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drawings/drawing3.xml" ContentType="application/vnd.openxmlformats-officedocument.drawing+xml"/>
  <Override PartName="/xl/comments3.xml" ContentType="application/vnd.openxmlformats-officedocument.spreadsheetml.comments+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drawings/drawing9.xml" ContentType="application/vnd.openxmlformats-officedocument.drawing+xml"/>
  <Override PartName="/xl/comments7.xml" ContentType="application/vnd.openxmlformats-officedocument.spreadsheetml.comments+xml"/>
  <Override PartName="/xl/charts/chart30.xml" ContentType="application/vnd.openxmlformats-officedocument.drawingml.chart+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gcgachonackr-my.sharepoint.com/personal/yohan0426_gc_gachon_ac_kr/Documents/L6790/Calculation Excel Sheet/variants/"/>
    </mc:Choice>
  </mc:AlternateContent>
  <xr:revisionPtr revIDLastSave="241" documentId="11_2EEF06C448CA4488C4F6BA1FA7F4AA936F848AA4" xr6:coauthVersionLast="47" xr6:coauthVersionMax="47" xr10:uidLastSave="{026F7125-FF9B-439D-8446-9D5FD64604E6}"/>
  <bookViews>
    <workbookView xWindow="105" yWindow="1290" windowWidth="28695" windowHeight="15345" tabRatio="500" firstSheet="1" activeTab="3" xr2:uid="{00000000-000D-0000-FFFF-FFFF00000000}"/>
  </bookViews>
  <sheets>
    <sheet name="CHANGELOG_rev0_6" sheetId="1" r:id="rId1"/>
    <sheet name="Design Spec" sheetId="2" r:id="rId2"/>
    <sheet name="Preliminary Calculation" sheetId="3" r:id="rId3"/>
    <sheet name="Res. Tank Design" sheetId="4" r:id="rId4"/>
    <sheet name="Power Components" sheetId="5" r:id="rId5"/>
    <sheet name="Device Setting" sheetId="6" r:id="rId6"/>
    <sheet name="CompensationNet&amp;Check" sheetId="7" r:id="rId7"/>
    <sheet name="BOM&amp;Schematics" sheetId="8" r:id="rId8"/>
    <sheet name="RTC" sheetId="9" r:id="rId9"/>
    <sheet name="CC" sheetId="10" r:id="rId10"/>
    <sheet name="OutCap_Sel_DB"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266" i="11" l="1"/>
  <c r="I266" i="11" s="1"/>
  <c r="J266" i="11" s="1"/>
  <c r="G266" i="11"/>
  <c r="H265" i="11"/>
  <c r="I265" i="11" s="1"/>
  <c r="J265" i="11" s="1"/>
  <c r="G265" i="11"/>
  <c r="H264" i="11"/>
  <c r="I264" i="11" s="1"/>
  <c r="J264" i="11" s="1"/>
  <c r="G264" i="11"/>
  <c r="H263" i="11"/>
  <c r="I263" i="11" s="1"/>
  <c r="J263" i="11" s="1"/>
  <c r="G263" i="11"/>
  <c r="H262" i="11"/>
  <c r="I262" i="11" s="1"/>
  <c r="J262" i="11" s="1"/>
  <c r="G262" i="11"/>
  <c r="H261" i="11"/>
  <c r="I261" i="11" s="1"/>
  <c r="J261" i="11" s="1"/>
  <c r="G261" i="11"/>
  <c r="H260" i="11"/>
  <c r="I260" i="11" s="1"/>
  <c r="J260" i="11" s="1"/>
  <c r="G260" i="11"/>
  <c r="H259" i="11"/>
  <c r="I259" i="11" s="1"/>
  <c r="J259" i="11" s="1"/>
  <c r="G259" i="11"/>
  <c r="H258" i="11"/>
  <c r="I258" i="11" s="1"/>
  <c r="J258" i="11" s="1"/>
  <c r="G258" i="11"/>
  <c r="I257" i="11"/>
  <c r="J257" i="11" s="1"/>
  <c r="H257" i="11"/>
  <c r="G257" i="11"/>
  <c r="H256" i="11"/>
  <c r="I256" i="11" s="1"/>
  <c r="J256" i="11" s="1"/>
  <c r="G256" i="11"/>
  <c r="H255" i="11"/>
  <c r="I255" i="11" s="1"/>
  <c r="J255" i="11" s="1"/>
  <c r="G255" i="11"/>
  <c r="H254" i="11"/>
  <c r="I254" i="11" s="1"/>
  <c r="J254" i="11" s="1"/>
  <c r="G254" i="11"/>
  <c r="I253" i="11"/>
  <c r="J253" i="11" s="1"/>
  <c r="H253" i="11"/>
  <c r="G253" i="11"/>
  <c r="H252" i="11"/>
  <c r="I252" i="11" s="1"/>
  <c r="J252" i="11" s="1"/>
  <c r="G252" i="11"/>
  <c r="H251" i="11"/>
  <c r="I251" i="11" s="1"/>
  <c r="J251" i="11" s="1"/>
  <c r="G251" i="11"/>
  <c r="H250" i="11"/>
  <c r="I250" i="11" s="1"/>
  <c r="J250" i="11" s="1"/>
  <c r="G250" i="11"/>
  <c r="H249" i="11"/>
  <c r="I249" i="11" s="1"/>
  <c r="J249" i="11" s="1"/>
  <c r="G249" i="11"/>
  <c r="H248" i="11"/>
  <c r="I248" i="11" s="1"/>
  <c r="J248" i="11" s="1"/>
  <c r="G248" i="11"/>
  <c r="H247" i="11"/>
  <c r="I247" i="11" s="1"/>
  <c r="J247" i="11" s="1"/>
  <c r="G247" i="11"/>
  <c r="H246" i="11"/>
  <c r="I246" i="11" s="1"/>
  <c r="J246" i="11" s="1"/>
  <c r="G246" i="11"/>
  <c r="H245" i="11"/>
  <c r="I245" i="11" s="1"/>
  <c r="J245" i="11" s="1"/>
  <c r="G245" i="11"/>
  <c r="H244" i="11"/>
  <c r="I244" i="11" s="1"/>
  <c r="J244" i="11" s="1"/>
  <c r="G244" i="11"/>
  <c r="H243" i="11"/>
  <c r="I243" i="11" s="1"/>
  <c r="J243" i="11" s="1"/>
  <c r="G243" i="11"/>
  <c r="H242" i="11"/>
  <c r="I242" i="11" s="1"/>
  <c r="J242" i="11" s="1"/>
  <c r="G242" i="11"/>
  <c r="H241" i="11"/>
  <c r="I241" i="11" s="1"/>
  <c r="J241" i="11" s="1"/>
  <c r="G241" i="11"/>
  <c r="H240" i="11"/>
  <c r="I240" i="11" s="1"/>
  <c r="J240" i="11" s="1"/>
  <c r="G240" i="11"/>
  <c r="H239" i="11"/>
  <c r="I239" i="11" s="1"/>
  <c r="J239" i="11" s="1"/>
  <c r="G239" i="11"/>
  <c r="H238" i="11"/>
  <c r="I238" i="11" s="1"/>
  <c r="J238" i="11" s="1"/>
  <c r="G238" i="11"/>
  <c r="H237" i="11"/>
  <c r="I237" i="11" s="1"/>
  <c r="J237" i="11" s="1"/>
  <c r="G237" i="11"/>
  <c r="H236" i="11"/>
  <c r="I236" i="11" s="1"/>
  <c r="J236" i="11" s="1"/>
  <c r="G236" i="11"/>
  <c r="H235" i="11"/>
  <c r="I235" i="11" s="1"/>
  <c r="J235" i="11" s="1"/>
  <c r="G235" i="11"/>
  <c r="H234" i="11"/>
  <c r="I234" i="11" s="1"/>
  <c r="J234" i="11" s="1"/>
  <c r="G234" i="11"/>
  <c r="H233" i="11"/>
  <c r="I233" i="11" s="1"/>
  <c r="J233" i="11" s="1"/>
  <c r="G233" i="11"/>
  <c r="I232" i="11"/>
  <c r="J232" i="11" s="1"/>
  <c r="H232" i="11"/>
  <c r="G232" i="11"/>
  <c r="H231" i="11"/>
  <c r="I231" i="11" s="1"/>
  <c r="J231" i="11" s="1"/>
  <c r="G231" i="11"/>
  <c r="H230" i="11"/>
  <c r="I230" i="11" s="1"/>
  <c r="J230" i="11" s="1"/>
  <c r="G230" i="11"/>
  <c r="H229" i="11"/>
  <c r="I229" i="11" s="1"/>
  <c r="J229" i="11" s="1"/>
  <c r="G229" i="11"/>
  <c r="H228" i="11"/>
  <c r="I228" i="11" s="1"/>
  <c r="J228" i="11" s="1"/>
  <c r="G228" i="11"/>
  <c r="H227" i="11"/>
  <c r="I227" i="11" s="1"/>
  <c r="J227" i="11" s="1"/>
  <c r="G227" i="11"/>
  <c r="H226" i="11"/>
  <c r="I226" i="11" s="1"/>
  <c r="J226" i="11" s="1"/>
  <c r="G226" i="11"/>
  <c r="H225" i="11"/>
  <c r="I225" i="11" s="1"/>
  <c r="J225" i="11" s="1"/>
  <c r="G225" i="11"/>
  <c r="H224" i="11"/>
  <c r="I224" i="11" s="1"/>
  <c r="J224" i="11" s="1"/>
  <c r="G224" i="11"/>
  <c r="H223" i="11"/>
  <c r="I223" i="11" s="1"/>
  <c r="J223" i="11" s="1"/>
  <c r="G223" i="11"/>
  <c r="H222" i="11"/>
  <c r="I222" i="11" s="1"/>
  <c r="J222" i="11" s="1"/>
  <c r="G222" i="11"/>
  <c r="H221" i="11"/>
  <c r="I221" i="11" s="1"/>
  <c r="J221" i="11" s="1"/>
  <c r="G221" i="11"/>
  <c r="H220" i="11"/>
  <c r="I220" i="11" s="1"/>
  <c r="J220" i="11" s="1"/>
  <c r="G220" i="11"/>
  <c r="H219" i="11"/>
  <c r="I219" i="11" s="1"/>
  <c r="J219" i="11" s="1"/>
  <c r="G219" i="11"/>
  <c r="H218" i="11"/>
  <c r="I218" i="11" s="1"/>
  <c r="J218" i="11" s="1"/>
  <c r="G218" i="11"/>
  <c r="H217" i="11"/>
  <c r="I217" i="11" s="1"/>
  <c r="J217" i="11" s="1"/>
  <c r="G217" i="11"/>
  <c r="H216" i="11"/>
  <c r="I216" i="11" s="1"/>
  <c r="J216" i="11" s="1"/>
  <c r="G216" i="11"/>
  <c r="H215" i="11"/>
  <c r="I215" i="11" s="1"/>
  <c r="J215" i="11" s="1"/>
  <c r="G215" i="11"/>
  <c r="H214" i="11"/>
  <c r="I214" i="11" s="1"/>
  <c r="J214" i="11" s="1"/>
  <c r="G214" i="11"/>
  <c r="J213" i="11"/>
  <c r="H213" i="11"/>
  <c r="I213" i="11" s="1"/>
  <c r="G213" i="11"/>
  <c r="H212" i="11"/>
  <c r="I212" i="11" s="1"/>
  <c r="J212" i="11" s="1"/>
  <c r="G212" i="11"/>
  <c r="H211" i="11"/>
  <c r="I211" i="11" s="1"/>
  <c r="J211" i="11" s="1"/>
  <c r="G211" i="11"/>
  <c r="H210" i="11"/>
  <c r="I210" i="11" s="1"/>
  <c r="J210" i="11" s="1"/>
  <c r="G210" i="11"/>
  <c r="H209" i="11"/>
  <c r="I209" i="11" s="1"/>
  <c r="J209" i="11" s="1"/>
  <c r="G209" i="11"/>
  <c r="H208" i="11"/>
  <c r="I208" i="11" s="1"/>
  <c r="J208" i="11" s="1"/>
  <c r="G208" i="11"/>
  <c r="H207" i="11"/>
  <c r="I207" i="11" s="1"/>
  <c r="J207" i="11" s="1"/>
  <c r="G207" i="11"/>
  <c r="H206" i="11"/>
  <c r="I206" i="11" s="1"/>
  <c r="J206" i="11" s="1"/>
  <c r="G206" i="11"/>
  <c r="H205" i="11"/>
  <c r="I205" i="11" s="1"/>
  <c r="J205" i="11" s="1"/>
  <c r="G205" i="11"/>
  <c r="H204" i="11"/>
  <c r="I204" i="11" s="1"/>
  <c r="J204" i="11" s="1"/>
  <c r="G204" i="11"/>
  <c r="H203" i="11"/>
  <c r="I203" i="11" s="1"/>
  <c r="J203" i="11" s="1"/>
  <c r="G203" i="11"/>
  <c r="H202" i="11"/>
  <c r="I202" i="11" s="1"/>
  <c r="J202" i="11" s="1"/>
  <c r="G202" i="11"/>
  <c r="H201" i="11"/>
  <c r="I201" i="11" s="1"/>
  <c r="J201" i="11" s="1"/>
  <c r="G201" i="11"/>
  <c r="H200" i="11"/>
  <c r="I200" i="11" s="1"/>
  <c r="J200" i="11" s="1"/>
  <c r="G200" i="11"/>
  <c r="H199" i="11"/>
  <c r="I199" i="11" s="1"/>
  <c r="J199" i="11" s="1"/>
  <c r="G199" i="11"/>
  <c r="H198" i="11"/>
  <c r="I198" i="11" s="1"/>
  <c r="J198" i="11" s="1"/>
  <c r="G198" i="11"/>
  <c r="H197" i="11"/>
  <c r="I197" i="11" s="1"/>
  <c r="J197" i="11" s="1"/>
  <c r="G197" i="11"/>
  <c r="H196" i="11"/>
  <c r="I196" i="11" s="1"/>
  <c r="J196" i="11" s="1"/>
  <c r="G196" i="11"/>
  <c r="H195" i="11"/>
  <c r="I195" i="11" s="1"/>
  <c r="J195" i="11" s="1"/>
  <c r="G195" i="11"/>
  <c r="H194" i="11"/>
  <c r="I194" i="11" s="1"/>
  <c r="J194" i="11" s="1"/>
  <c r="G194" i="11"/>
  <c r="H193" i="11"/>
  <c r="I193" i="11" s="1"/>
  <c r="J193" i="11" s="1"/>
  <c r="G193" i="11"/>
  <c r="H192" i="11"/>
  <c r="I192" i="11" s="1"/>
  <c r="J192" i="11" s="1"/>
  <c r="G192" i="11"/>
  <c r="H191" i="11"/>
  <c r="I191" i="11" s="1"/>
  <c r="J191" i="11" s="1"/>
  <c r="G191" i="11"/>
  <c r="H190" i="11"/>
  <c r="I190" i="11" s="1"/>
  <c r="J190" i="11" s="1"/>
  <c r="G190" i="11"/>
  <c r="H189" i="11"/>
  <c r="I189" i="11" s="1"/>
  <c r="J189" i="11" s="1"/>
  <c r="G189" i="11"/>
  <c r="H188" i="11"/>
  <c r="I188" i="11" s="1"/>
  <c r="J188" i="11" s="1"/>
  <c r="G188" i="11"/>
  <c r="H187" i="11"/>
  <c r="I187" i="11" s="1"/>
  <c r="J187" i="11" s="1"/>
  <c r="G187" i="11"/>
  <c r="H186" i="11"/>
  <c r="I186" i="11" s="1"/>
  <c r="J186" i="11" s="1"/>
  <c r="G186" i="11"/>
  <c r="H185" i="11"/>
  <c r="I185" i="11" s="1"/>
  <c r="J185" i="11" s="1"/>
  <c r="G185" i="11"/>
  <c r="H184" i="11"/>
  <c r="I184" i="11" s="1"/>
  <c r="J184" i="11" s="1"/>
  <c r="G184" i="11"/>
  <c r="H183" i="11"/>
  <c r="I183" i="11" s="1"/>
  <c r="J183" i="11" s="1"/>
  <c r="G183" i="11"/>
  <c r="H182" i="11"/>
  <c r="I182" i="11" s="1"/>
  <c r="J182" i="11" s="1"/>
  <c r="G182" i="11"/>
  <c r="H181" i="11"/>
  <c r="I181" i="11" s="1"/>
  <c r="J181" i="11" s="1"/>
  <c r="G181" i="11"/>
  <c r="H180" i="11"/>
  <c r="I180" i="11" s="1"/>
  <c r="J180" i="11" s="1"/>
  <c r="G180" i="11"/>
  <c r="H179" i="11"/>
  <c r="I179" i="11" s="1"/>
  <c r="J179" i="11" s="1"/>
  <c r="G179" i="11"/>
  <c r="I178" i="11"/>
  <c r="J178" i="11" s="1"/>
  <c r="H178" i="11"/>
  <c r="G178" i="11"/>
  <c r="H177" i="11"/>
  <c r="I177" i="11" s="1"/>
  <c r="J177" i="11" s="1"/>
  <c r="G177" i="11"/>
  <c r="H176" i="11"/>
  <c r="I176" i="11" s="1"/>
  <c r="J176" i="11" s="1"/>
  <c r="G176" i="11"/>
  <c r="H175" i="11"/>
  <c r="I175" i="11" s="1"/>
  <c r="J175" i="11" s="1"/>
  <c r="G175" i="11"/>
  <c r="H174" i="11"/>
  <c r="I174" i="11" s="1"/>
  <c r="J174" i="11" s="1"/>
  <c r="G174" i="11"/>
  <c r="I173" i="11"/>
  <c r="J173" i="11" s="1"/>
  <c r="H173" i="11"/>
  <c r="G173" i="11"/>
  <c r="H172" i="11"/>
  <c r="I172" i="11" s="1"/>
  <c r="J172" i="11" s="1"/>
  <c r="G172" i="11"/>
  <c r="H171" i="11"/>
  <c r="I171" i="11" s="1"/>
  <c r="J171" i="11" s="1"/>
  <c r="G171" i="11"/>
  <c r="H170" i="11"/>
  <c r="I170" i="11" s="1"/>
  <c r="J170" i="11" s="1"/>
  <c r="G170" i="11"/>
  <c r="H169" i="11"/>
  <c r="I169" i="11" s="1"/>
  <c r="J169" i="11" s="1"/>
  <c r="G169" i="11"/>
  <c r="H168" i="11"/>
  <c r="I168" i="11" s="1"/>
  <c r="J168" i="11" s="1"/>
  <c r="G168" i="11"/>
  <c r="H167" i="11"/>
  <c r="I167" i="11" s="1"/>
  <c r="J167" i="11" s="1"/>
  <c r="G167" i="11"/>
  <c r="H166" i="11"/>
  <c r="I166" i="11" s="1"/>
  <c r="J166" i="11" s="1"/>
  <c r="G166" i="11"/>
  <c r="H165" i="11"/>
  <c r="I165" i="11" s="1"/>
  <c r="J165" i="11" s="1"/>
  <c r="G165" i="11"/>
  <c r="H164" i="11"/>
  <c r="I164" i="11" s="1"/>
  <c r="J164" i="11" s="1"/>
  <c r="G164" i="11"/>
  <c r="H163" i="11"/>
  <c r="I163" i="11" s="1"/>
  <c r="J163" i="11" s="1"/>
  <c r="G163" i="11"/>
  <c r="H162" i="11"/>
  <c r="I162" i="11" s="1"/>
  <c r="J162" i="11" s="1"/>
  <c r="G162" i="11"/>
  <c r="H161" i="11"/>
  <c r="I161" i="11" s="1"/>
  <c r="J161" i="11" s="1"/>
  <c r="G161" i="11"/>
  <c r="H160" i="11"/>
  <c r="I160" i="11" s="1"/>
  <c r="J160" i="11" s="1"/>
  <c r="G160" i="11"/>
  <c r="H159" i="11"/>
  <c r="I159" i="11" s="1"/>
  <c r="J159" i="11" s="1"/>
  <c r="G159" i="11"/>
  <c r="H158" i="11"/>
  <c r="I158" i="11" s="1"/>
  <c r="J158" i="11" s="1"/>
  <c r="G158" i="11"/>
  <c r="H157" i="11"/>
  <c r="I157" i="11" s="1"/>
  <c r="J157" i="11" s="1"/>
  <c r="G157" i="11"/>
  <c r="H156" i="11"/>
  <c r="I156" i="11" s="1"/>
  <c r="J156" i="11" s="1"/>
  <c r="G156" i="11"/>
  <c r="H155" i="11"/>
  <c r="I155" i="11" s="1"/>
  <c r="J155" i="11" s="1"/>
  <c r="G155" i="11"/>
  <c r="H154" i="11"/>
  <c r="I154" i="11" s="1"/>
  <c r="J154" i="11" s="1"/>
  <c r="G154" i="11"/>
  <c r="H153" i="11"/>
  <c r="I153" i="11" s="1"/>
  <c r="J153" i="11" s="1"/>
  <c r="G153" i="11"/>
  <c r="H152" i="11"/>
  <c r="I152" i="11" s="1"/>
  <c r="J152" i="11" s="1"/>
  <c r="G152" i="11"/>
  <c r="H151" i="11"/>
  <c r="I151" i="11" s="1"/>
  <c r="J151" i="11" s="1"/>
  <c r="G151" i="11"/>
  <c r="H150" i="11"/>
  <c r="I150" i="11" s="1"/>
  <c r="J150" i="11" s="1"/>
  <c r="G150" i="11"/>
  <c r="H149" i="11"/>
  <c r="I149" i="11" s="1"/>
  <c r="J149" i="11" s="1"/>
  <c r="G149" i="11"/>
  <c r="H148" i="11"/>
  <c r="I148" i="11" s="1"/>
  <c r="J148" i="11" s="1"/>
  <c r="G148" i="11"/>
  <c r="H147" i="11"/>
  <c r="I147" i="11" s="1"/>
  <c r="J147" i="11" s="1"/>
  <c r="G147" i="11"/>
  <c r="H146" i="11"/>
  <c r="I146" i="11" s="1"/>
  <c r="J146" i="11" s="1"/>
  <c r="G146" i="11"/>
  <c r="H145" i="11"/>
  <c r="I145" i="11" s="1"/>
  <c r="J145" i="11" s="1"/>
  <c r="G145" i="11"/>
  <c r="H144" i="11"/>
  <c r="I144" i="11" s="1"/>
  <c r="J144" i="11" s="1"/>
  <c r="G144" i="11"/>
  <c r="H143" i="11"/>
  <c r="I143" i="11" s="1"/>
  <c r="J143" i="11" s="1"/>
  <c r="G143" i="11"/>
  <c r="H142" i="11"/>
  <c r="I142" i="11" s="1"/>
  <c r="J142" i="11" s="1"/>
  <c r="G142" i="11"/>
  <c r="H141" i="11"/>
  <c r="I141" i="11" s="1"/>
  <c r="J141" i="11" s="1"/>
  <c r="G141" i="11"/>
  <c r="I140" i="11"/>
  <c r="J140" i="11" s="1"/>
  <c r="H140" i="11"/>
  <c r="G140" i="11"/>
  <c r="H139" i="11"/>
  <c r="I139" i="11" s="1"/>
  <c r="J139" i="11" s="1"/>
  <c r="G139" i="11"/>
  <c r="H138" i="11"/>
  <c r="I138" i="11" s="1"/>
  <c r="J138" i="11" s="1"/>
  <c r="G138" i="11"/>
  <c r="H137" i="11"/>
  <c r="I137" i="11" s="1"/>
  <c r="J137" i="11" s="1"/>
  <c r="G137" i="11"/>
  <c r="H136" i="11"/>
  <c r="I136" i="11" s="1"/>
  <c r="J136" i="11" s="1"/>
  <c r="G136" i="11"/>
  <c r="I135" i="11"/>
  <c r="J135" i="11" s="1"/>
  <c r="H135" i="11"/>
  <c r="G135" i="11"/>
  <c r="H134" i="11"/>
  <c r="I134" i="11" s="1"/>
  <c r="J134" i="11" s="1"/>
  <c r="G134" i="11"/>
  <c r="H133" i="11"/>
  <c r="I133" i="11" s="1"/>
  <c r="J133" i="11" s="1"/>
  <c r="G133" i="11"/>
  <c r="H132" i="11"/>
  <c r="I132" i="11" s="1"/>
  <c r="J132" i="11" s="1"/>
  <c r="G132" i="11"/>
  <c r="H131" i="11"/>
  <c r="I131" i="11" s="1"/>
  <c r="J131" i="11" s="1"/>
  <c r="G131" i="11"/>
  <c r="H130" i="11"/>
  <c r="I130" i="11" s="1"/>
  <c r="J130" i="11" s="1"/>
  <c r="G130" i="11"/>
  <c r="H129" i="11"/>
  <c r="I129" i="11" s="1"/>
  <c r="J129" i="11" s="1"/>
  <c r="G129" i="11"/>
  <c r="H128" i="11"/>
  <c r="I128" i="11" s="1"/>
  <c r="J128" i="11" s="1"/>
  <c r="G128" i="11"/>
  <c r="H127" i="11"/>
  <c r="I127" i="11" s="1"/>
  <c r="J127" i="11" s="1"/>
  <c r="G127" i="11"/>
  <c r="H126" i="11"/>
  <c r="I126" i="11" s="1"/>
  <c r="J126" i="11" s="1"/>
  <c r="G126" i="11"/>
  <c r="H125" i="11"/>
  <c r="I125" i="11" s="1"/>
  <c r="J125" i="11" s="1"/>
  <c r="G125" i="11"/>
  <c r="H124" i="11"/>
  <c r="I124" i="11" s="1"/>
  <c r="J124" i="11" s="1"/>
  <c r="G124" i="11"/>
  <c r="H123" i="11"/>
  <c r="I123" i="11" s="1"/>
  <c r="J123" i="11" s="1"/>
  <c r="G123" i="11"/>
  <c r="H122" i="11"/>
  <c r="I122" i="11" s="1"/>
  <c r="J122" i="11" s="1"/>
  <c r="G122" i="11"/>
  <c r="I121" i="11"/>
  <c r="J121" i="11" s="1"/>
  <c r="H121" i="11"/>
  <c r="G121" i="11"/>
  <c r="H120" i="11"/>
  <c r="I120" i="11" s="1"/>
  <c r="J120" i="11" s="1"/>
  <c r="G120" i="11"/>
  <c r="H119" i="11"/>
  <c r="I119" i="11" s="1"/>
  <c r="J119" i="11" s="1"/>
  <c r="G119" i="11"/>
  <c r="H118" i="11"/>
  <c r="I118" i="11" s="1"/>
  <c r="J118" i="11" s="1"/>
  <c r="G118" i="11"/>
  <c r="H117" i="11"/>
  <c r="I117" i="11" s="1"/>
  <c r="J117" i="11" s="1"/>
  <c r="G117" i="11"/>
  <c r="H116" i="11"/>
  <c r="I116" i="11" s="1"/>
  <c r="J116" i="11" s="1"/>
  <c r="G116" i="11"/>
  <c r="I115" i="11"/>
  <c r="J115" i="11" s="1"/>
  <c r="H115" i="11"/>
  <c r="G115" i="11"/>
  <c r="H114" i="11"/>
  <c r="I114" i="11" s="1"/>
  <c r="J114" i="11" s="1"/>
  <c r="G114" i="11"/>
  <c r="H113" i="11"/>
  <c r="I113" i="11" s="1"/>
  <c r="J113" i="11" s="1"/>
  <c r="G113" i="11"/>
  <c r="H112" i="11"/>
  <c r="I112" i="11" s="1"/>
  <c r="J112" i="11" s="1"/>
  <c r="G112" i="11"/>
  <c r="H111" i="11"/>
  <c r="I111" i="11" s="1"/>
  <c r="J111" i="11" s="1"/>
  <c r="G111" i="11"/>
  <c r="H110" i="11"/>
  <c r="I110" i="11" s="1"/>
  <c r="J110" i="11" s="1"/>
  <c r="G110" i="11"/>
  <c r="H109" i="11"/>
  <c r="I109" i="11" s="1"/>
  <c r="J109" i="11" s="1"/>
  <c r="G109" i="11"/>
  <c r="H108" i="11"/>
  <c r="I108" i="11" s="1"/>
  <c r="J108" i="11" s="1"/>
  <c r="G108" i="11"/>
  <c r="H107" i="11"/>
  <c r="I107" i="11" s="1"/>
  <c r="J107" i="11" s="1"/>
  <c r="G107" i="11"/>
  <c r="H106" i="11"/>
  <c r="I106" i="11" s="1"/>
  <c r="J106" i="11" s="1"/>
  <c r="G106" i="11"/>
  <c r="H105" i="11"/>
  <c r="I105" i="11" s="1"/>
  <c r="J105" i="11" s="1"/>
  <c r="G105" i="11"/>
  <c r="H104" i="11"/>
  <c r="I104" i="11" s="1"/>
  <c r="J104" i="11" s="1"/>
  <c r="G104" i="11"/>
  <c r="H103" i="11"/>
  <c r="I103" i="11" s="1"/>
  <c r="J103" i="11" s="1"/>
  <c r="G103" i="11"/>
  <c r="H102" i="11"/>
  <c r="I102" i="11" s="1"/>
  <c r="J102" i="11" s="1"/>
  <c r="G102" i="11"/>
  <c r="H101" i="11"/>
  <c r="I101" i="11" s="1"/>
  <c r="J101" i="11" s="1"/>
  <c r="G101" i="11"/>
  <c r="H100" i="11"/>
  <c r="I100" i="11" s="1"/>
  <c r="J100" i="11" s="1"/>
  <c r="G100" i="11"/>
  <c r="I99" i="11"/>
  <c r="J99" i="11" s="1"/>
  <c r="H99" i="11"/>
  <c r="G99" i="11"/>
  <c r="H98" i="11"/>
  <c r="I98" i="11" s="1"/>
  <c r="J98" i="11" s="1"/>
  <c r="G98" i="11"/>
  <c r="H97" i="11"/>
  <c r="I97" i="11" s="1"/>
  <c r="J97" i="11" s="1"/>
  <c r="G97" i="11"/>
  <c r="H96" i="11"/>
  <c r="I96" i="11" s="1"/>
  <c r="J96" i="11" s="1"/>
  <c r="G96" i="11"/>
  <c r="H95" i="11"/>
  <c r="I95" i="11" s="1"/>
  <c r="J95" i="11" s="1"/>
  <c r="G95" i="11"/>
  <c r="H94" i="11"/>
  <c r="I94" i="11" s="1"/>
  <c r="J94" i="11" s="1"/>
  <c r="G94" i="11"/>
  <c r="H93" i="11"/>
  <c r="I93" i="11" s="1"/>
  <c r="J93" i="11" s="1"/>
  <c r="G93" i="11"/>
  <c r="I92" i="11"/>
  <c r="J92" i="11" s="1"/>
  <c r="H92" i="11"/>
  <c r="G92" i="11"/>
  <c r="H91" i="11"/>
  <c r="I91" i="11" s="1"/>
  <c r="J91" i="11" s="1"/>
  <c r="G91" i="11"/>
  <c r="H90" i="11"/>
  <c r="I90" i="11" s="1"/>
  <c r="J90" i="11" s="1"/>
  <c r="G90" i="11"/>
  <c r="H89" i="11"/>
  <c r="I89" i="11" s="1"/>
  <c r="J89" i="11" s="1"/>
  <c r="G89" i="11"/>
  <c r="H88" i="11"/>
  <c r="I88" i="11" s="1"/>
  <c r="J88" i="11" s="1"/>
  <c r="G88" i="11"/>
  <c r="H87" i="11"/>
  <c r="I87" i="11" s="1"/>
  <c r="J87" i="11" s="1"/>
  <c r="G87" i="11"/>
  <c r="H86" i="11"/>
  <c r="I86" i="11" s="1"/>
  <c r="J86" i="11" s="1"/>
  <c r="G86" i="11"/>
  <c r="H85" i="11"/>
  <c r="I85" i="11" s="1"/>
  <c r="J85" i="11" s="1"/>
  <c r="G85" i="11"/>
  <c r="H84" i="11"/>
  <c r="I84" i="11" s="1"/>
  <c r="J84" i="11" s="1"/>
  <c r="G84" i="11"/>
  <c r="I83" i="11"/>
  <c r="J83" i="11" s="1"/>
  <c r="H83" i="11"/>
  <c r="G83" i="11"/>
  <c r="H82" i="11"/>
  <c r="I82" i="11" s="1"/>
  <c r="J82" i="11" s="1"/>
  <c r="G82" i="11"/>
  <c r="H81" i="11"/>
  <c r="I81" i="11" s="1"/>
  <c r="J81" i="11" s="1"/>
  <c r="G81" i="11"/>
  <c r="H80" i="11"/>
  <c r="I80" i="11" s="1"/>
  <c r="J80" i="11" s="1"/>
  <c r="G80" i="11"/>
  <c r="H79" i="11"/>
  <c r="I79" i="11" s="1"/>
  <c r="J79" i="11" s="1"/>
  <c r="G79" i="11"/>
  <c r="H78" i="11"/>
  <c r="I78" i="11" s="1"/>
  <c r="J78" i="11" s="1"/>
  <c r="G78" i="11"/>
  <c r="H77" i="11"/>
  <c r="I77" i="11" s="1"/>
  <c r="J77" i="11" s="1"/>
  <c r="G77" i="11"/>
  <c r="H76" i="11"/>
  <c r="I76" i="11" s="1"/>
  <c r="J76" i="11" s="1"/>
  <c r="G76" i="11"/>
  <c r="I75" i="11"/>
  <c r="J75" i="11" s="1"/>
  <c r="H75" i="11"/>
  <c r="G75" i="11"/>
  <c r="H74" i="11"/>
  <c r="I74" i="11" s="1"/>
  <c r="J74" i="11" s="1"/>
  <c r="G74" i="11"/>
  <c r="H73" i="11"/>
  <c r="I73" i="11" s="1"/>
  <c r="J73" i="11" s="1"/>
  <c r="G73" i="11"/>
  <c r="H72" i="11"/>
  <c r="I72" i="11" s="1"/>
  <c r="J72" i="11" s="1"/>
  <c r="G72" i="11"/>
  <c r="I71" i="11"/>
  <c r="J71" i="11" s="1"/>
  <c r="H71" i="11"/>
  <c r="G71" i="11"/>
  <c r="H70" i="11"/>
  <c r="I70" i="11" s="1"/>
  <c r="J70" i="11" s="1"/>
  <c r="G70" i="11"/>
  <c r="H69" i="11"/>
  <c r="I69" i="11" s="1"/>
  <c r="J69" i="11" s="1"/>
  <c r="G69" i="11"/>
  <c r="H68" i="11"/>
  <c r="I68" i="11" s="1"/>
  <c r="J68" i="11" s="1"/>
  <c r="G68" i="11"/>
  <c r="H67" i="11"/>
  <c r="I67" i="11" s="1"/>
  <c r="J67" i="11" s="1"/>
  <c r="G67" i="11"/>
  <c r="H66" i="11"/>
  <c r="I66" i="11" s="1"/>
  <c r="J66" i="11" s="1"/>
  <c r="G66" i="11"/>
  <c r="H65" i="11"/>
  <c r="I65" i="11" s="1"/>
  <c r="J65" i="11" s="1"/>
  <c r="G65" i="11"/>
  <c r="H64" i="11"/>
  <c r="I64" i="11" s="1"/>
  <c r="J64" i="11" s="1"/>
  <c r="G64" i="11"/>
  <c r="H63" i="11"/>
  <c r="I63" i="11" s="1"/>
  <c r="J63" i="11" s="1"/>
  <c r="G63" i="11"/>
  <c r="H62" i="11"/>
  <c r="I62" i="11" s="1"/>
  <c r="J62" i="11" s="1"/>
  <c r="G62" i="11"/>
  <c r="H61" i="11"/>
  <c r="I61" i="11" s="1"/>
  <c r="J61" i="11" s="1"/>
  <c r="G61" i="11"/>
  <c r="H60" i="11"/>
  <c r="I60" i="11" s="1"/>
  <c r="J60" i="11" s="1"/>
  <c r="G60" i="11"/>
  <c r="H59" i="11"/>
  <c r="I59" i="11" s="1"/>
  <c r="J59" i="11" s="1"/>
  <c r="G59" i="11"/>
  <c r="H58" i="11"/>
  <c r="I58" i="11" s="1"/>
  <c r="J58" i="11" s="1"/>
  <c r="G58" i="11"/>
  <c r="H57" i="11"/>
  <c r="I57" i="11" s="1"/>
  <c r="J57" i="11" s="1"/>
  <c r="G57" i="11"/>
  <c r="H56" i="11"/>
  <c r="I56" i="11" s="1"/>
  <c r="J56" i="11" s="1"/>
  <c r="G56" i="11"/>
  <c r="H55" i="11"/>
  <c r="I55" i="11" s="1"/>
  <c r="J55" i="11" s="1"/>
  <c r="G55" i="11"/>
  <c r="H54" i="11"/>
  <c r="I54" i="11" s="1"/>
  <c r="J54" i="11" s="1"/>
  <c r="G54" i="11"/>
  <c r="J53" i="11"/>
  <c r="H53" i="11"/>
  <c r="I53" i="11" s="1"/>
  <c r="G53" i="11"/>
  <c r="H52" i="11"/>
  <c r="I52" i="11" s="1"/>
  <c r="J52" i="11" s="1"/>
  <c r="G52" i="11"/>
  <c r="I51" i="11"/>
  <c r="J51" i="11" s="1"/>
  <c r="H51" i="11"/>
  <c r="G51" i="11"/>
  <c r="H50" i="11"/>
  <c r="I50" i="11" s="1"/>
  <c r="J50" i="11" s="1"/>
  <c r="G50" i="11"/>
  <c r="H49" i="11"/>
  <c r="I49" i="11" s="1"/>
  <c r="J49" i="11" s="1"/>
  <c r="G49" i="11"/>
  <c r="H48" i="11"/>
  <c r="I48" i="11" s="1"/>
  <c r="J48" i="11" s="1"/>
  <c r="G48" i="11"/>
  <c r="I47" i="11"/>
  <c r="J47" i="11" s="1"/>
  <c r="H47" i="11"/>
  <c r="G47" i="11"/>
  <c r="H46" i="11"/>
  <c r="I46" i="11" s="1"/>
  <c r="J46" i="11" s="1"/>
  <c r="G46" i="11"/>
  <c r="H45" i="11"/>
  <c r="I45" i="11" s="1"/>
  <c r="J45" i="11" s="1"/>
  <c r="G45" i="11"/>
  <c r="H44" i="11"/>
  <c r="I44" i="11" s="1"/>
  <c r="J44" i="11" s="1"/>
  <c r="G44" i="11"/>
  <c r="H43" i="11"/>
  <c r="I43" i="11" s="1"/>
  <c r="J43" i="11" s="1"/>
  <c r="G43" i="11"/>
  <c r="H42" i="11"/>
  <c r="I42" i="11" s="1"/>
  <c r="J42" i="11" s="1"/>
  <c r="G42" i="11"/>
  <c r="H41" i="11"/>
  <c r="I41" i="11" s="1"/>
  <c r="J41" i="11" s="1"/>
  <c r="G41" i="11"/>
  <c r="H40" i="11"/>
  <c r="I40" i="11" s="1"/>
  <c r="J40" i="11" s="1"/>
  <c r="G40" i="11"/>
  <c r="H39" i="11"/>
  <c r="I39" i="11" s="1"/>
  <c r="J39" i="11" s="1"/>
  <c r="G39" i="11"/>
  <c r="H38" i="11"/>
  <c r="I38" i="11" s="1"/>
  <c r="J38" i="11" s="1"/>
  <c r="G38" i="11"/>
  <c r="H37" i="11"/>
  <c r="I37" i="11" s="1"/>
  <c r="J37" i="11" s="1"/>
  <c r="G37" i="11"/>
  <c r="H36" i="11"/>
  <c r="I36" i="11" s="1"/>
  <c r="J36" i="11" s="1"/>
  <c r="G36" i="11"/>
  <c r="H35" i="11"/>
  <c r="I35" i="11" s="1"/>
  <c r="J35" i="11" s="1"/>
  <c r="G35" i="11"/>
  <c r="H34" i="11"/>
  <c r="I34" i="11" s="1"/>
  <c r="J34" i="11" s="1"/>
  <c r="G34" i="11"/>
  <c r="H33" i="11"/>
  <c r="I33" i="11" s="1"/>
  <c r="J33" i="11" s="1"/>
  <c r="G33" i="11"/>
  <c r="I32" i="11"/>
  <c r="J32" i="11" s="1"/>
  <c r="H32" i="11"/>
  <c r="G32" i="11"/>
  <c r="H31" i="11"/>
  <c r="I31" i="11" s="1"/>
  <c r="J31" i="11" s="1"/>
  <c r="G31" i="11"/>
  <c r="H30" i="11"/>
  <c r="I30" i="11" s="1"/>
  <c r="J30" i="11" s="1"/>
  <c r="G30" i="11"/>
  <c r="H29" i="11"/>
  <c r="I29" i="11" s="1"/>
  <c r="J29" i="11" s="1"/>
  <c r="G29" i="11"/>
  <c r="H28" i="11"/>
  <c r="I28" i="11" s="1"/>
  <c r="J28" i="11" s="1"/>
  <c r="G28" i="11"/>
  <c r="I27" i="11"/>
  <c r="J27" i="11" s="1"/>
  <c r="H27" i="11"/>
  <c r="G27" i="11"/>
  <c r="H26" i="11"/>
  <c r="I26" i="11" s="1"/>
  <c r="J26" i="11" s="1"/>
  <c r="G26" i="11"/>
  <c r="H25" i="11"/>
  <c r="I25" i="11" s="1"/>
  <c r="J25" i="11" s="1"/>
  <c r="G25" i="11"/>
  <c r="H24" i="11"/>
  <c r="I24" i="11" s="1"/>
  <c r="J24" i="11" s="1"/>
  <c r="G24" i="11"/>
  <c r="H23" i="11"/>
  <c r="I23" i="11" s="1"/>
  <c r="J23" i="11" s="1"/>
  <c r="G23" i="11"/>
  <c r="H22" i="11"/>
  <c r="I22" i="11" s="1"/>
  <c r="J22" i="11" s="1"/>
  <c r="G22" i="11"/>
  <c r="H21" i="11"/>
  <c r="I21" i="11" s="1"/>
  <c r="J21" i="11" s="1"/>
  <c r="G21" i="11"/>
  <c r="H20" i="11"/>
  <c r="I20" i="11" s="1"/>
  <c r="J20" i="11" s="1"/>
  <c r="G20" i="11"/>
  <c r="H19" i="11"/>
  <c r="I19" i="11" s="1"/>
  <c r="J19" i="11" s="1"/>
  <c r="G19" i="11"/>
  <c r="H18" i="11"/>
  <c r="I18" i="11" s="1"/>
  <c r="J18" i="11" s="1"/>
  <c r="G18" i="11"/>
  <c r="I17" i="11"/>
  <c r="J17" i="11" s="1"/>
  <c r="H17" i="11"/>
  <c r="G17" i="11"/>
  <c r="H16" i="11"/>
  <c r="I16" i="11" s="1"/>
  <c r="J16" i="11" s="1"/>
  <c r="G16" i="11"/>
  <c r="H15" i="11"/>
  <c r="I15" i="11" s="1"/>
  <c r="J15" i="11" s="1"/>
  <c r="G15" i="11"/>
  <c r="H14" i="11"/>
  <c r="I14" i="11" s="1"/>
  <c r="J14" i="11" s="1"/>
  <c r="G14" i="11"/>
  <c r="H13" i="11"/>
  <c r="I13" i="11" s="1"/>
  <c r="J13" i="11" s="1"/>
  <c r="G13" i="11"/>
  <c r="H12" i="11"/>
  <c r="I12" i="11" s="1"/>
  <c r="J12" i="11" s="1"/>
  <c r="G12" i="11"/>
  <c r="I11" i="11"/>
  <c r="J11" i="11" s="1"/>
  <c r="H11" i="11"/>
  <c r="G11" i="11"/>
  <c r="H10" i="11"/>
  <c r="I10" i="11" s="1"/>
  <c r="J10" i="11" s="1"/>
  <c r="G10" i="11"/>
  <c r="H9" i="11"/>
  <c r="I9" i="11" s="1"/>
  <c r="J9" i="11" s="1"/>
  <c r="G9" i="11"/>
  <c r="H8" i="11"/>
  <c r="I8" i="11" s="1"/>
  <c r="J8" i="11" s="1"/>
  <c r="G8" i="11"/>
  <c r="H7" i="11"/>
  <c r="I7" i="11" s="1"/>
  <c r="J7" i="11" s="1"/>
  <c r="G7" i="11"/>
  <c r="J6" i="11"/>
  <c r="I6" i="11"/>
  <c r="H6" i="11"/>
  <c r="G6" i="11"/>
  <c r="H5" i="11"/>
  <c r="I5" i="11" s="1"/>
  <c r="J5" i="11" s="1"/>
  <c r="G5" i="11"/>
  <c r="H4" i="11"/>
  <c r="I4" i="11" s="1"/>
  <c r="J4" i="11" s="1"/>
  <c r="G4" i="11"/>
  <c r="C18" i="10"/>
  <c r="AM9" i="10"/>
  <c r="AL9" i="10"/>
  <c r="AK9" i="10"/>
  <c r="AJ9" i="10"/>
  <c r="AI9" i="10"/>
  <c r="AH9" i="10"/>
  <c r="AG9" i="10"/>
  <c r="AF9" i="10"/>
  <c r="AE9" i="10"/>
  <c r="AD9" i="10"/>
  <c r="AC9" i="10"/>
  <c r="AB9" i="10"/>
  <c r="AA9" i="10"/>
  <c r="Z9" i="10"/>
  <c r="Y9" i="10"/>
  <c r="X9" i="10"/>
  <c r="W9" i="10"/>
  <c r="V9" i="10"/>
  <c r="U9" i="10"/>
  <c r="T9" i="10"/>
  <c r="S9" i="10"/>
  <c r="R9" i="10"/>
  <c r="Q9" i="10"/>
  <c r="P9" i="10"/>
  <c r="O9" i="10"/>
  <c r="N9" i="10"/>
  <c r="M9" i="10"/>
  <c r="L9" i="10"/>
  <c r="K9" i="10"/>
  <c r="J9" i="10"/>
  <c r="I9" i="10"/>
  <c r="H9" i="10"/>
  <c r="G9" i="10"/>
  <c r="F9" i="10"/>
  <c r="E9" i="10"/>
  <c r="D9" i="10"/>
  <c r="C9" i="10"/>
  <c r="AM4" i="10"/>
  <c r="AL4" i="10"/>
  <c r="AK4" i="10"/>
  <c r="AJ4" i="10"/>
  <c r="AI4" i="10"/>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E4" i="10"/>
  <c r="D4" i="10"/>
  <c r="C4" i="10"/>
  <c r="BC218" i="9"/>
  <c r="BE202" i="9"/>
  <c r="BE201" i="9"/>
  <c r="BE200" i="9"/>
  <c r="BE199" i="9"/>
  <c r="BE198" i="9"/>
  <c r="BE197" i="9"/>
  <c r="BE178" i="9"/>
  <c r="BE177" i="9"/>
  <c r="BE176" i="9"/>
  <c r="BE175" i="9"/>
  <c r="BE174" i="9"/>
  <c r="BE173" i="9"/>
  <c r="BE154" i="9"/>
  <c r="BE153" i="9"/>
  <c r="BE152" i="9"/>
  <c r="BE151" i="9"/>
  <c r="BE150" i="9"/>
  <c r="BE149" i="9"/>
  <c r="CJ143" i="9"/>
  <c r="CK143" i="9" s="1"/>
  <c r="CI154" i="9" s="1"/>
  <c r="CJ141" i="9"/>
  <c r="CI151" i="9" s="1"/>
  <c r="CJ139" i="9"/>
  <c r="CI152" i="9" s="1"/>
  <c r="BD40" i="9"/>
  <c r="CG38" i="9"/>
  <c r="CF38" i="9"/>
  <c r="CE38" i="9"/>
  <c r="CD38" i="9"/>
  <c r="CC38" i="9"/>
  <c r="CB38" i="9"/>
  <c r="CA38" i="9"/>
  <c r="BZ38" i="9"/>
  <c r="BY38" i="9"/>
  <c r="BX38" i="9"/>
  <c r="BW38" i="9"/>
  <c r="BV38" i="9"/>
  <c r="BU38" i="9"/>
  <c r="BT38" i="9"/>
  <c r="BS38" i="9"/>
  <c r="BR38" i="9"/>
  <c r="BQ38" i="9"/>
  <c r="BP38" i="9"/>
  <c r="BO38" i="9"/>
  <c r="BN38" i="9"/>
  <c r="BM38" i="9"/>
  <c r="BL38" i="9"/>
  <c r="BK38" i="9"/>
  <c r="BJ38" i="9"/>
  <c r="BI38" i="9"/>
  <c r="BH38" i="9"/>
  <c r="BG38" i="9"/>
  <c r="BF38" i="9"/>
  <c r="BE38" i="9"/>
  <c r="BD38" i="9"/>
  <c r="BC38" i="9"/>
  <c r="BB38" i="9"/>
  <c r="BA38" i="9"/>
  <c r="AZ38" i="9"/>
  <c r="AY38" i="9"/>
  <c r="AX38" i="9"/>
  <c r="AW38" i="9"/>
  <c r="AV38" i="9"/>
  <c r="AU38" i="9"/>
  <c r="AT38" i="9"/>
  <c r="AS38" i="9"/>
  <c r="AR38" i="9"/>
  <c r="AQ38" i="9"/>
  <c r="AP38" i="9"/>
  <c r="AO38" i="9"/>
  <c r="AN38" i="9"/>
  <c r="AM38" i="9"/>
  <c r="AL38" i="9"/>
  <c r="AK38" i="9"/>
  <c r="AJ38" i="9"/>
  <c r="AI38" i="9"/>
  <c r="AH38" i="9"/>
  <c r="AG38" i="9"/>
  <c r="AF38" i="9"/>
  <c r="AE38" i="9"/>
  <c r="AD38" i="9"/>
  <c r="AC38" i="9"/>
  <c r="AB38" i="9"/>
  <c r="AA38" i="9"/>
  <c r="Z38" i="9"/>
  <c r="Y38" i="9"/>
  <c r="X38" i="9"/>
  <c r="W38" i="9"/>
  <c r="V38" i="9"/>
  <c r="U38" i="9"/>
  <c r="T38" i="9"/>
  <c r="S38" i="9"/>
  <c r="R38" i="9"/>
  <c r="Q38" i="9"/>
  <c r="P38" i="9"/>
  <c r="O38" i="9"/>
  <c r="N38" i="9"/>
  <c r="M38" i="9"/>
  <c r="L38" i="9"/>
  <c r="K38" i="9"/>
  <c r="J38" i="9"/>
  <c r="I38" i="9"/>
  <c r="H38" i="9"/>
  <c r="G38" i="9"/>
  <c r="F38" i="9"/>
  <c r="E38" i="9"/>
  <c r="D38" i="9"/>
  <c r="C38" i="9"/>
  <c r="CG37" i="9"/>
  <c r="CF37" i="9"/>
  <c r="CE37" i="9"/>
  <c r="CD37" i="9"/>
  <c r="CC37" i="9"/>
  <c r="CB37" i="9"/>
  <c r="CA37" i="9"/>
  <c r="BZ37" i="9"/>
  <c r="BY37" i="9"/>
  <c r="BX37" i="9"/>
  <c r="BW37" i="9"/>
  <c r="BV37" i="9"/>
  <c r="BU37" i="9"/>
  <c r="BT37" i="9"/>
  <c r="BS37" i="9"/>
  <c r="BR37" i="9"/>
  <c r="BQ37" i="9"/>
  <c r="BP37" i="9"/>
  <c r="BO37" i="9"/>
  <c r="BN37" i="9"/>
  <c r="BM37" i="9"/>
  <c r="BL37" i="9"/>
  <c r="BK37" i="9"/>
  <c r="BJ37" i="9"/>
  <c r="BI37" i="9"/>
  <c r="BH37" i="9"/>
  <c r="BG37" i="9"/>
  <c r="BF37" i="9"/>
  <c r="BE37" i="9"/>
  <c r="BD37" i="9"/>
  <c r="BC37" i="9"/>
  <c r="BB37" i="9"/>
  <c r="BA37" i="9"/>
  <c r="AZ37" i="9"/>
  <c r="AY37" i="9"/>
  <c r="AX37" i="9"/>
  <c r="AW37" i="9"/>
  <c r="AV37" i="9"/>
  <c r="AU37" i="9"/>
  <c r="AT37" i="9"/>
  <c r="AS37" i="9"/>
  <c r="AR37" i="9"/>
  <c r="AQ37" i="9"/>
  <c r="AP37" i="9"/>
  <c r="AO37" i="9"/>
  <c r="AN37" i="9"/>
  <c r="AM37" i="9"/>
  <c r="AL37" i="9"/>
  <c r="AK37" i="9"/>
  <c r="AJ37" i="9"/>
  <c r="AI37" i="9"/>
  <c r="AH37" i="9"/>
  <c r="AG37" i="9"/>
  <c r="AF37" i="9"/>
  <c r="AE37" i="9"/>
  <c r="AD37" i="9"/>
  <c r="AC37" i="9"/>
  <c r="AB37" i="9"/>
  <c r="AA37" i="9"/>
  <c r="Z37" i="9"/>
  <c r="Y37" i="9"/>
  <c r="X37" i="9"/>
  <c r="W37" i="9"/>
  <c r="V37" i="9"/>
  <c r="U37" i="9"/>
  <c r="T37" i="9"/>
  <c r="S37" i="9"/>
  <c r="R37" i="9"/>
  <c r="Q37" i="9"/>
  <c r="P37" i="9"/>
  <c r="O37" i="9"/>
  <c r="N37" i="9"/>
  <c r="M37" i="9"/>
  <c r="L37" i="9"/>
  <c r="K37" i="9"/>
  <c r="J37" i="9"/>
  <c r="I37" i="9"/>
  <c r="H37" i="9"/>
  <c r="G37" i="9"/>
  <c r="F37" i="9"/>
  <c r="E37" i="9"/>
  <c r="D37" i="9"/>
  <c r="C37" i="9"/>
  <c r="CG36" i="9"/>
  <c r="CF36" i="9"/>
  <c r="CE36" i="9"/>
  <c r="CD36" i="9"/>
  <c r="CC36" i="9"/>
  <c r="CB36" i="9"/>
  <c r="CA36" i="9"/>
  <c r="BZ36" i="9"/>
  <c r="BY36" i="9"/>
  <c r="BX36" i="9"/>
  <c r="BW36" i="9"/>
  <c r="BV36" i="9"/>
  <c r="BU36" i="9"/>
  <c r="BT36" i="9"/>
  <c r="BS36" i="9"/>
  <c r="BR36" i="9"/>
  <c r="BQ36" i="9"/>
  <c r="BP36" i="9"/>
  <c r="BO36" i="9"/>
  <c r="BN36" i="9"/>
  <c r="BM36" i="9"/>
  <c r="BL36" i="9"/>
  <c r="BK36" i="9"/>
  <c r="BJ36" i="9"/>
  <c r="BI36" i="9"/>
  <c r="BH36" i="9"/>
  <c r="BG36" i="9"/>
  <c r="BF36" i="9"/>
  <c r="BE36" i="9"/>
  <c r="BD36" i="9"/>
  <c r="BC36" i="9"/>
  <c r="BB36" i="9"/>
  <c r="BA36" i="9"/>
  <c r="AZ36" i="9"/>
  <c r="AY36" i="9"/>
  <c r="AX36" i="9"/>
  <c r="AW36" i="9"/>
  <c r="AV36" i="9"/>
  <c r="AU36" i="9"/>
  <c r="AT36" i="9"/>
  <c r="AS36" i="9"/>
  <c r="AR36" i="9"/>
  <c r="AQ36" i="9"/>
  <c r="AP36" i="9"/>
  <c r="AO36" i="9"/>
  <c r="AN36" i="9"/>
  <c r="AM36" i="9"/>
  <c r="AL36" i="9"/>
  <c r="AK36" i="9"/>
  <c r="AJ36" i="9"/>
  <c r="AI36" i="9"/>
  <c r="AH36" i="9"/>
  <c r="AG36" i="9"/>
  <c r="AF36" i="9"/>
  <c r="AE36" i="9"/>
  <c r="AD36" i="9"/>
  <c r="AC36" i="9"/>
  <c r="AB36" i="9"/>
  <c r="AA36" i="9"/>
  <c r="Z36" i="9"/>
  <c r="Y36" i="9"/>
  <c r="X36" i="9"/>
  <c r="W36" i="9"/>
  <c r="V36" i="9"/>
  <c r="U36" i="9"/>
  <c r="T36" i="9"/>
  <c r="S36" i="9"/>
  <c r="R36" i="9"/>
  <c r="Q36" i="9"/>
  <c r="P36" i="9"/>
  <c r="O36" i="9"/>
  <c r="N36" i="9"/>
  <c r="M36" i="9"/>
  <c r="L36" i="9"/>
  <c r="K36" i="9"/>
  <c r="J36" i="9"/>
  <c r="I36" i="9"/>
  <c r="H36" i="9"/>
  <c r="G36" i="9"/>
  <c r="F36" i="9"/>
  <c r="E36" i="9"/>
  <c r="D36" i="9"/>
  <c r="C36" i="9"/>
  <c r="CG35" i="9"/>
  <c r="CF35" i="9"/>
  <c r="CE35" i="9"/>
  <c r="CD35" i="9"/>
  <c r="CC35" i="9"/>
  <c r="CB35" i="9"/>
  <c r="CA35" i="9"/>
  <c r="BZ35" i="9"/>
  <c r="BY35" i="9"/>
  <c r="BX35" i="9"/>
  <c r="BW35" i="9"/>
  <c r="BV35" i="9"/>
  <c r="BU35" i="9"/>
  <c r="BT35" i="9"/>
  <c r="BS35" i="9"/>
  <c r="BR35" i="9"/>
  <c r="BQ35" i="9"/>
  <c r="BP35" i="9"/>
  <c r="BO35" i="9"/>
  <c r="BN35" i="9"/>
  <c r="BM35" i="9"/>
  <c r="BL35" i="9"/>
  <c r="BK35" i="9"/>
  <c r="BJ35" i="9"/>
  <c r="BI35" i="9"/>
  <c r="BH35" i="9"/>
  <c r="BG35" i="9"/>
  <c r="BF35" i="9"/>
  <c r="BE35" i="9"/>
  <c r="BD35" i="9"/>
  <c r="BC35" i="9"/>
  <c r="BB35" i="9"/>
  <c r="BA35" i="9"/>
  <c r="AZ35" i="9"/>
  <c r="AY35" i="9"/>
  <c r="AX35" i="9"/>
  <c r="AW35" i="9"/>
  <c r="AV35" i="9"/>
  <c r="AU35" i="9"/>
  <c r="AT35" i="9"/>
  <c r="AS35" i="9"/>
  <c r="AR35" i="9"/>
  <c r="AQ35" i="9"/>
  <c r="AP35" i="9"/>
  <c r="AO35" i="9"/>
  <c r="AN35" i="9"/>
  <c r="AM35" i="9"/>
  <c r="AL35" i="9"/>
  <c r="AK35" i="9"/>
  <c r="AJ35" i="9"/>
  <c r="AI35" i="9"/>
  <c r="AH35" i="9"/>
  <c r="AG35" i="9"/>
  <c r="AF35" i="9"/>
  <c r="AE35" i="9"/>
  <c r="AD35" i="9"/>
  <c r="AC35" i="9"/>
  <c r="AB35" i="9"/>
  <c r="AA35" i="9"/>
  <c r="Z35" i="9"/>
  <c r="Y35" i="9"/>
  <c r="X35" i="9"/>
  <c r="W35" i="9"/>
  <c r="V35" i="9"/>
  <c r="U35" i="9"/>
  <c r="T35" i="9"/>
  <c r="S35" i="9"/>
  <c r="R35" i="9"/>
  <c r="Q35" i="9"/>
  <c r="P35" i="9"/>
  <c r="O35" i="9"/>
  <c r="N35" i="9"/>
  <c r="M35" i="9"/>
  <c r="L35" i="9"/>
  <c r="K35" i="9"/>
  <c r="J35" i="9"/>
  <c r="I35" i="9"/>
  <c r="H35" i="9"/>
  <c r="G35" i="9"/>
  <c r="F35" i="9"/>
  <c r="E35" i="9"/>
  <c r="D35" i="9"/>
  <c r="C35" i="9"/>
  <c r="CG34" i="9"/>
  <c r="CF34" i="9"/>
  <c r="CE34" i="9"/>
  <c r="CD34" i="9"/>
  <c r="CC34" i="9"/>
  <c r="CB34" i="9"/>
  <c r="CA34" i="9"/>
  <c r="BZ34" i="9"/>
  <c r="BY34" i="9"/>
  <c r="BX34" i="9"/>
  <c r="BW34" i="9"/>
  <c r="BV34" i="9"/>
  <c r="BU34" i="9"/>
  <c r="BT34" i="9"/>
  <c r="BS34" i="9"/>
  <c r="BR34" i="9"/>
  <c r="BQ34" i="9"/>
  <c r="BP34" i="9"/>
  <c r="BO34" i="9"/>
  <c r="BN34" i="9"/>
  <c r="BM34" i="9"/>
  <c r="BL34" i="9"/>
  <c r="BK34" i="9"/>
  <c r="BJ34" i="9"/>
  <c r="BI34" i="9"/>
  <c r="BH34" i="9"/>
  <c r="BG34" i="9"/>
  <c r="BF34" i="9"/>
  <c r="BE34" i="9"/>
  <c r="BD34" i="9"/>
  <c r="BC34" i="9"/>
  <c r="BB34" i="9"/>
  <c r="BA34" i="9"/>
  <c r="AZ34" i="9"/>
  <c r="AY34" i="9"/>
  <c r="AX34" i="9"/>
  <c r="AW34" i="9"/>
  <c r="AV34" i="9"/>
  <c r="AU34" i="9"/>
  <c r="AT34" i="9"/>
  <c r="AS34" i="9"/>
  <c r="AR34" i="9"/>
  <c r="AQ34" i="9"/>
  <c r="AP34" i="9"/>
  <c r="AO34" i="9"/>
  <c r="AN34" i="9"/>
  <c r="AM34" i="9"/>
  <c r="AL34" i="9"/>
  <c r="AK34" i="9"/>
  <c r="AJ34" i="9"/>
  <c r="AI34" i="9"/>
  <c r="AH34" i="9"/>
  <c r="AG34" i="9"/>
  <c r="AF34" i="9"/>
  <c r="AE34" i="9"/>
  <c r="AD34" i="9"/>
  <c r="AC34" i="9"/>
  <c r="AB34" i="9"/>
  <c r="AA34" i="9"/>
  <c r="Z34" i="9"/>
  <c r="Y34" i="9"/>
  <c r="X34" i="9"/>
  <c r="W34" i="9"/>
  <c r="V34" i="9"/>
  <c r="U34" i="9"/>
  <c r="T34" i="9"/>
  <c r="S34" i="9"/>
  <c r="R34" i="9"/>
  <c r="Q34" i="9"/>
  <c r="P34" i="9"/>
  <c r="O34" i="9"/>
  <c r="N34" i="9"/>
  <c r="M34" i="9"/>
  <c r="L34" i="9"/>
  <c r="K34" i="9"/>
  <c r="J34" i="9"/>
  <c r="I34" i="9"/>
  <c r="H34" i="9"/>
  <c r="G34" i="9"/>
  <c r="F34" i="9"/>
  <c r="E34" i="9"/>
  <c r="D34" i="9"/>
  <c r="C34" i="9"/>
  <c r="CG33" i="9"/>
  <c r="CF33" i="9"/>
  <c r="CE33" i="9"/>
  <c r="CD33" i="9"/>
  <c r="CC33" i="9"/>
  <c r="CB33" i="9"/>
  <c r="CA33" i="9"/>
  <c r="BZ33" i="9"/>
  <c r="BY33" i="9"/>
  <c r="BX33" i="9"/>
  <c r="BW33" i="9"/>
  <c r="BV33" i="9"/>
  <c r="BU33" i="9"/>
  <c r="BT33" i="9"/>
  <c r="BS33" i="9"/>
  <c r="BR33" i="9"/>
  <c r="BQ33" i="9"/>
  <c r="BP33" i="9"/>
  <c r="BO33" i="9"/>
  <c r="BN33" i="9"/>
  <c r="BM33" i="9"/>
  <c r="BL33" i="9"/>
  <c r="BK33" i="9"/>
  <c r="BJ33" i="9"/>
  <c r="BI33" i="9"/>
  <c r="BH33" i="9"/>
  <c r="BG33" i="9"/>
  <c r="BF33" i="9"/>
  <c r="BE33" i="9"/>
  <c r="BD33" i="9"/>
  <c r="BC33" i="9"/>
  <c r="BB33" i="9"/>
  <c r="BA33" i="9"/>
  <c r="AZ33" i="9"/>
  <c r="AY33" i="9"/>
  <c r="AX33" i="9"/>
  <c r="AW33" i="9"/>
  <c r="AV33" i="9"/>
  <c r="AU33" i="9"/>
  <c r="AT33" i="9"/>
  <c r="AS33" i="9"/>
  <c r="AR33" i="9"/>
  <c r="AQ33" i="9"/>
  <c r="AP33" i="9"/>
  <c r="AO33" i="9"/>
  <c r="AN33" i="9"/>
  <c r="AM33" i="9"/>
  <c r="AL33" i="9"/>
  <c r="AK33" i="9"/>
  <c r="AJ33" i="9"/>
  <c r="AI33" i="9"/>
  <c r="AH33" i="9"/>
  <c r="AG33" i="9"/>
  <c r="AF33" i="9"/>
  <c r="AE33" i="9"/>
  <c r="AD33" i="9"/>
  <c r="AC33" i="9"/>
  <c r="AB33" i="9"/>
  <c r="AA33" i="9"/>
  <c r="Z33" i="9"/>
  <c r="Y33" i="9"/>
  <c r="X33" i="9"/>
  <c r="W33" i="9"/>
  <c r="V33" i="9"/>
  <c r="U33" i="9"/>
  <c r="T33" i="9"/>
  <c r="S33" i="9"/>
  <c r="R33" i="9"/>
  <c r="Q33" i="9"/>
  <c r="P33" i="9"/>
  <c r="O33" i="9"/>
  <c r="N33" i="9"/>
  <c r="M33" i="9"/>
  <c r="L33" i="9"/>
  <c r="K33" i="9"/>
  <c r="J33" i="9"/>
  <c r="I33" i="9"/>
  <c r="H33" i="9"/>
  <c r="G33" i="9"/>
  <c r="F33" i="9"/>
  <c r="E33" i="9"/>
  <c r="D33" i="9"/>
  <c r="C33" i="9"/>
  <c r="S14" i="9"/>
  <c r="S21" i="9" s="1"/>
  <c r="CG12" i="9"/>
  <c r="BU12" i="9"/>
  <c r="BQ12" i="9"/>
  <c r="BO12" i="9"/>
  <c r="BL12" i="9"/>
  <c r="BL15" i="9" s="1"/>
  <c r="BE12" i="9"/>
  <c r="AY12" i="9"/>
  <c r="AY14" i="9" s="1"/>
  <c r="AO12" i="9"/>
  <c r="AJ12" i="9"/>
  <c r="AI12" i="9"/>
  <c r="AI14" i="9" s="1"/>
  <c r="W12" i="9"/>
  <c r="S12" i="9"/>
  <c r="S15" i="9" s="1"/>
  <c r="S22" i="9" s="1"/>
  <c r="Q12" i="9"/>
  <c r="G12" i="9"/>
  <c r="CF11" i="9"/>
  <c r="BV11" i="9"/>
  <c r="BT11" i="9"/>
  <c r="BQ11" i="9"/>
  <c r="BP11" i="9"/>
  <c r="BD11" i="9"/>
  <c r="AZ11" i="9"/>
  <c r="AR11" i="9"/>
  <c r="S11" i="9"/>
  <c r="F11" i="9"/>
  <c r="CG10" i="9"/>
  <c r="CF10" i="9"/>
  <c r="CE10" i="9"/>
  <c r="CD10" i="9"/>
  <c r="CC10" i="9"/>
  <c r="CB10" i="9"/>
  <c r="CA10" i="9"/>
  <c r="BZ10" i="9"/>
  <c r="BY10" i="9"/>
  <c r="BX10" i="9"/>
  <c r="BW10" i="9"/>
  <c r="BV10" i="9"/>
  <c r="BU10" i="9"/>
  <c r="BT10" i="9"/>
  <c r="BS10" i="9"/>
  <c r="BR10" i="9"/>
  <c r="BQ10" i="9"/>
  <c r="BP10" i="9"/>
  <c r="BO10" i="9"/>
  <c r="BN10" i="9"/>
  <c r="BM10" i="9"/>
  <c r="BL10" i="9"/>
  <c r="BK10" i="9"/>
  <c r="BJ10" i="9"/>
  <c r="BI10" i="9"/>
  <c r="BH10" i="9"/>
  <c r="BG10" i="9"/>
  <c r="BF10" i="9"/>
  <c r="BE10" i="9"/>
  <c r="BD10" i="9"/>
  <c r="BC10" i="9"/>
  <c r="BB10" i="9"/>
  <c r="BA10" i="9"/>
  <c r="AZ10" i="9"/>
  <c r="AY10" i="9"/>
  <c r="AX10" i="9"/>
  <c r="AW10" i="9"/>
  <c r="AV10" i="9"/>
  <c r="AU10" i="9"/>
  <c r="AT10" i="9"/>
  <c r="AS10" i="9"/>
  <c r="AR10" i="9"/>
  <c r="AQ10" i="9"/>
  <c r="AP10" i="9"/>
  <c r="AO10" i="9"/>
  <c r="AN10" i="9"/>
  <c r="AM10" i="9"/>
  <c r="AL10" i="9"/>
  <c r="AK10" i="9"/>
  <c r="AJ10" i="9"/>
  <c r="AI10" i="9"/>
  <c r="AH10" i="9"/>
  <c r="AG10" i="9"/>
  <c r="AF10" i="9"/>
  <c r="AE10" i="9"/>
  <c r="AD10" i="9"/>
  <c r="AC10" i="9"/>
  <c r="AB10" i="9"/>
  <c r="AA10" i="9"/>
  <c r="Z10" i="9"/>
  <c r="Y10" i="9"/>
  <c r="X10" i="9"/>
  <c r="W10" i="9"/>
  <c r="V10" i="9"/>
  <c r="U10" i="9"/>
  <c r="T10" i="9"/>
  <c r="S10" i="9"/>
  <c r="R10" i="9"/>
  <c r="Q10" i="9"/>
  <c r="P10" i="9"/>
  <c r="O10" i="9"/>
  <c r="N10" i="9"/>
  <c r="M10" i="9"/>
  <c r="L10" i="9"/>
  <c r="K10" i="9"/>
  <c r="J10" i="9"/>
  <c r="I10" i="9"/>
  <c r="H10" i="9"/>
  <c r="G10" i="9"/>
  <c r="F10" i="9"/>
  <c r="E10" i="9"/>
  <c r="D10" i="9"/>
  <c r="C10" i="9"/>
  <c r="CF6" i="9"/>
  <c r="CC6" i="9"/>
  <c r="CA6" i="9"/>
  <c r="BT6" i="9"/>
  <c r="BP6" i="9"/>
  <c r="AU6" i="9"/>
  <c r="AP6" i="9"/>
  <c r="AJ6" i="9"/>
  <c r="AE6" i="9"/>
  <c r="AB6" i="9"/>
  <c r="Y6" i="9"/>
  <c r="X6" i="9"/>
  <c r="R6" i="9"/>
  <c r="L6" i="9"/>
  <c r="J6" i="9"/>
  <c r="AO5" i="9"/>
  <c r="AM5" i="9"/>
  <c r="AJ5" i="9"/>
  <c r="D90" i="8"/>
  <c r="G89" i="8" s="1"/>
  <c r="D85" i="8"/>
  <c r="G85" i="8" s="1"/>
  <c r="G84" i="8"/>
  <c r="E80" i="8"/>
  <c r="G80" i="8" s="1"/>
  <c r="E75" i="8"/>
  <c r="G75" i="8" s="1"/>
  <c r="G74" i="8"/>
  <c r="E60" i="8"/>
  <c r="G60" i="8" s="1"/>
  <c r="E59" i="8"/>
  <c r="G59" i="8" s="1"/>
  <c r="E58" i="8"/>
  <c r="G58" i="8" s="1"/>
  <c r="E57" i="8"/>
  <c r="G56" i="8"/>
  <c r="E56" i="8"/>
  <c r="E55" i="8"/>
  <c r="G55" i="8" s="1"/>
  <c r="E50" i="8"/>
  <c r="G50" i="8" s="1"/>
  <c r="E49" i="8"/>
  <c r="G49" i="8" s="1"/>
  <c r="E48" i="8"/>
  <c r="G48" i="8" s="1"/>
  <c r="E47" i="8"/>
  <c r="G47" i="8" s="1"/>
  <c r="E46" i="8"/>
  <c r="G46" i="8" s="1"/>
  <c r="E45" i="8"/>
  <c r="G45" i="8" s="1"/>
  <c r="E44" i="8"/>
  <c r="G44" i="8" s="1"/>
  <c r="E43" i="8"/>
  <c r="G43" i="8" s="1"/>
  <c r="G38" i="8"/>
  <c r="E38" i="8"/>
  <c r="D38" i="8"/>
  <c r="E37" i="8"/>
  <c r="G37" i="8" s="1"/>
  <c r="D37" i="8"/>
  <c r="D36" i="8"/>
  <c r="D31" i="8"/>
  <c r="G31" i="8" s="1"/>
  <c r="E22" i="8"/>
  <c r="G22" i="8" s="1"/>
  <c r="E20" i="8"/>
  <c r="G20" i="8" s="1"/>
  <c r="E19" i="8"/>
  <c r="G19" i="8" s="1"/>
  <c r="E18" i="8"/>
  <c r="G13" i="8"/>
  <c r="F13" i="8"/>
  <c r="E13" i="8"/>
  <c r="F12" i="8"/>
  <c r="E12" i="8"/>
  <c r="G12" i="8" s="1"/>
  <c r="E11" i="8"/>
  <c r="E10" i="8"/>
  <c r="G10" i="8" s="1"/>
  <c r="E9" i="8"/>
  <c r="G9" i="8" s="1"/>
  <c r="M141" i="7"/>
  <c r="AS139" i="7"/>
  <c r="AR139" i="7"/>
  <c r="AK139" i="7"/>
  <c r="AI139" i="7"/>
  <c r="AH139" i="7"/>
  <c r="AD139" i="7"/>
  <c r="AC139" i="7"/>
  <c r="AB139" i="7"/>
  <c r="AA139" i="7"/>
  <c r="Z139" i="7"/>
  <c r="Y139" i="7"/>
  <c r="X139" i="7"/>
  <c r="N139" i="7"/>
  <c r="L139" i="7"/>
  <c r="K139" i="7"/>
  <c r="J139" i="7"/>
  <c r="I139" i="7"/>
  <c r="AP134" i="7"/>
  <c r="AO134" i="7"/>
  <c r="AN134" i="7"/>
  <c r="AM134" i="7"/>
  <c r="AL134" i="7"/>
  <c r="AE134" i="7"/>
  <c r="Z134" i="7"/>
  <c r="Y134" i="7"/>
  <c r="X134" i="7"/>
  <c r="W134" i="7"/>
  <c r="V134" i="7"/>
  <c r="U134" i="7"/>
  <c r="T134" i="7"/>
  <c r="R134" i="7"/>
  <c r="Q134" i="7"/>
  <c r="AL132" i="7"/>
  <c r="AL133" i="7" s="1"/>
  <c r="AI132" i="7"/>
  <c r="AI133" i="7" s="1"/>
  <c r="AH132" i="7"/>
  <c r="AH133" i="7" s="1"/>
  <c r="AB132" i="7"/>
  <c r="AB133" i="7" s="1"/>
  <c r="X132" i="7"/>
  <c r="X133" i="7" s="1"/>
  <c r="V132" i="7"/>
  <c r="V133" i="7" s="1"/>
  <c r="D130" i="7"/>
  <c r="E125" i="7"/>
  <c r="AV122" i="7"/>
  <c r="D112" i="7"/>
  <c r="D104" i="7"/>
  <c r="D103" i="7"/>
  <c r="D102" i="7"/>
  <c r="AM139" i="7" s="1"/>
  <c r="D101" i="7"/>
  <c r="AR132" i="7" s="1"/>
  <c r="AR133" i="7" s="1"/>
  <c r="D96" i="7"/>
  <c r="E78" i="7"/>
  <c r="D78" i="7"/>
  <c r="E77" i="7"/>
  <c r="E74" i="7"/>
  <c r="E73" i="7"/>
  <c r="E46" i="7"/>
  <c r="D46" i="7"/>
  <c r="D44" i="7"/>
  <c r="D43" i="7"/>
  <c r="D42" i="7"/>
  <c r="D41" i="7"/>
  <c r="D38" i="7"/>
  <c r="G23" i="2" s="1"/>
  <c r="E31" i="7"/>
  <c r="D5" i="7"/>
  <c r="D109" i="6"/>
  <c r="D108" i="6"/>
  <c r="D95" i="6"/>
  <c r="D97" i="6" s="1"/>
  <c r="D94" i="6"/>
  <c r="D96" i="6" s="1"/>
  <c r="D98" i="6" s="1"/>
  <c r="D99" i="6" s="1"/>
  <c r="D90" i="6"/>
  <c r="D64" i="6"/>
  <c r="D65" i="6" s="1"/>
  <c r="D46" i="6"/>
  <c r="D61" i="6" s="1"/>
  <c r="I45" i="6"/>
  <c r="D29" i="6"/>
  <c r="D28" i="6"/>
  <c r="D27" i="6"/>
  <c r="B81" i="5"/>
  <c r="D77" i="5"/>
  <c r="D74" i="5"/>
  <c r="D64" i="5"/>
  <c r="G49" i="5"/>
  <c r="D48" i="5"/>
  <c r="D47" i="5"/>
  <c r="D27" i="5"/>
  <c r="D26" i="5"/>
  <c r="D18" i="5"/>
  <c r="D17" i="5"/>
  <c r="D16" i="5"/>
  <c r="D15" i="5"/>
  <c r="D14" i="5"/>
  <c r="D12" i="5"/>
  <c r="D114" i="2"/>
  <c r="D113" i="2"/>
  <c r="D112" i="2"/>
  <c r="D31" i="4" s="1"/>
  <c r="D111" i="2"/>
  <c r="E109" i="2"/>
  <c r="D109" i="2"/>
  <c r="C109" i="2"/>
  <c r="B109" i="2"/>
  <c r="D108" i="2"/>
  <c r="D107" i="2"/>
  <c r="BG11" i="9" s="1"/>
  <c r="D106" i="2"/>
  <c r="BW6" i="9" s="1"/>
  <c r="D103" i="2"/>
  <c r="D102" i="2"/>
  <c r="D44" i="4" s="1"/>
  <c r="D99" i="2"/>
  <c r="D98" i="2"/>
  <c r="BR12" i="9" s="1"/>
  <c r="D97" i="2"/>
  <c r="W8" i="11" s="1"/>
  <c r="E96" i="2"/>
  <c r="D96" i="2"/>
  <c r="C96" i="2"/>
  <c r="B96" i="2"/>
  <c r="D95" i="2"/>
  <c r="AH5" i="9" s="1"/>
  <c r="D92" i="2"/>
  <c r="W13" i="11" s="1"/>
  <c r="W14" i="11" s="1"/>
  <c r="D91" i="2"/>
  <c r="D7" i="7" s="1"/>
  <c r="D90" i="2"/>
  <c r="D6" i="7" s="1"/>
  <c r="D81" i="2"/>
  <c r="D78" i="2"/>
  <c r="D102" i="6" s="1"/>
  <c r="E59" i="2"/>
  <c r="D43" i="2"/>
  <c r="D104" i="2" s="1"/>
  <c r="D20" i="2"/>
  <c r="F20" i="2" s="1"/>
  <c r="E15" i="2"/>
  <c r="B15" i="2"/>
  <c r="D57" i="4"/>
  <c r="D58" i="4" s="1"/>
  <c r="D55" i="4"/>
  <c r="D4" i="6" s="1"/>
  <c r="E54" i="4"/>
  <c r="D53" i="4"/>
  <c r="D52" i="4"/>
  <c r="Z40" i="9" s="1"/>
  <c r="E51" i="4"/>
  <c r="E50" i="4"/>
  <c r="D50" i="4"/>
  <c r="E42" i="4"/>
  <c r="D42" i="4"/>
  <c r="E29" i="4"/>
  <c r="E28" i="4"/>
  <c r="E26" i="4"/>
  <c r="E20" i="4"/>
  <c r="E19" i="4"/>
  <c r="E18" i="4"/>
  <c r="E16" i="4"/>
  <c r="D15" i="4"/>
  <c r="E14" i="4"/>
  <c r="E13" i="4"/>
  <c r="E12" i="4"/>
  <c r="D12" i="4"/>
  <c r="D13" i="4" s="1"/>
  <c r="E11" i="4"/>
  <c r="E10" i="4"/>
  <c r="E9" i="4"/>
  <c r="BA23" i="9" l="1"/>
  <c r="BX23" i="9"/>
  <c r="W23" i="9"/>
  <c r="J23" i="9"/>
  <c r="J31" i="9" s="1"/>
  <c r="G23" i="9"/>
  <c r="G31" i="9" s="1"/>
  <c r="BA5" i="9"/>
  <c r="BB5" i="9"/>
  <c r="BE5" i="9"/>
  <c r="G90" i="8"/>
  <c r="AN132" i="7"/>
  <c r="AN133" i="7" s="1"/>
  <c r="E5" i="9"/>
  <c r="BK5" i="9"/>
  <c r="D4" i="7"/>
  <c r="D37" i="7" s="1"/>
  <c r="AD134" i="7"/>
  <c r="M139" i="7"/>
  <c r="AJ139" i="7"/>
  <c r="I5" i="9"/>
  <c r="BS5" i="9"/>
  <c r="AQ6" i="9"/>
  <c r="L11" i="9"/>
  <c r="H12" i="9"/>
  <c r="H19" i="9" s="1"/>
  <c r="O5" i="9"/>
  <c r="AS5" i="9"/>
  <c r="I134" i="7"/>
  <c r="AF134" i="7"/>
  <c r="R139" i="7"/>
  <c r="AL139" i="7"/>
  <c r="Q5" i="9"/>
  <c r="BW5" i="9"/>
  <c r="AX6" i="9"/>
  <c r="V11" i="9"/>
  <c r="CI150" i="9"/>
  <c r="J134" i="7"/>
  <c r="AG134" i="7"/>
  <c r="S139" i="7"/>
  <c r="AN139" i="7"/>
  <c r="U5" i="9"/>
  <c r="BY5" i="9"/>
  <c r="BB6" i="9"/>
  <c r="X11" i="9"/>
  <c r="BY40" i="9"/>
  <c r="N134" i="7"/>
  <c r="AO139" i="7"/>
  <c r="W5" i="9"/>
  <c r="CD5" i="9"/>
  <c r="BH6" i="9"/>
  <c r="AB11" i="9"/>
  <c r="D48" i="6"/>
  <c r="AH134" i="7"/>
  <c r="BJ40" i="9"/>
  <c r="BG5" i="9"/>
  <c r="BT5" i="9"/>
  <c r="T139" i="7"/>
  <c r="D80" i="2"/>
  <c r="C110" i="6" s="1"/>
  <c r="D49" i="6"/>
  <c r="O134" i="7"/>
  <c r="AJ134" i="7"/>
  <c r="U139" i="7"/>
  <c r="AP139" i="7"/>
  <c r="AA5" i="9"/>
  <c r="F6" i="9"/>
  <c r="BJ6" i="9"/>
  <c r="AN11" i="9"/>
  <c r="P134" i="7"/>
  <c r="AK134" i="7"/>
  <c r="V139" i="7"/>
  <c r="AQ139" i="7"/>
  <c r="G6" i="9"/>
  <c r="BN6" i="9"/>
  <c r="AO11" i="9"/>
  <c r="AM12" i="9"/>
  <c r="BA31" i="9"/>
  <c r="D16" i="4"/>
  <c r="W19" i="9"/>
  <c r="W14" i="9"/>
  <c r="W21" i="9" s="1"/>
  <c r="W13" i="9"/>
  <c r="W20" i="9" s="1"/>
  <c r="W15" i="9"/>
  <c r="W22" i="9" s="1"/>
  <c r="AJ23" i="9"/>
  <c r="CB40" i="9"/>
  <c r="G18" i="8"/>
  <c r="AI15" i="9"/>
  <c r="AI13" i="9"/>
  <c r="AK23" i="9"/>
  <c r="BF154" i="9"/>
  <c r="BF202" i="9"/>
  <c r="BF178" i="9"/>
  <c r="AJ15" i="9"/>
  <c r="AJ14" i="9"/>
  <c r="AJ13" i="9"/>
  <c r="AN23" i="9"/>
  <c r="AM14" i="9"/>
  <c r="AM13" i="9"/>
  <c r="AM15" i="9"/>
  <c r="W31" i="9"/>
  <c r="CC23" i="9"/>
  <c r="BM23" i="9"/>
  <c r="AW23" i="9"/>
  <c r="AG23" i="9"/>
  <c r="Q23" i="9"/>
  <c r="CG23" i="9"/>
  <c r="BP23" i="9"/>
  <c r="AY23" i="9"/>
  <c r="AH23" i="9"/>
  <c r="P23" i="9"/>
  <c r="CF23" i="9"/>
  <c r="BO23" i="9"/>
  <c r="AX23" i="9"/>
  <c r="AF23" i="9"/>
  <c r="O23" i="9"/>
  <c r="CE23" i="9"/>
  <c r="BN23" i="9"/>
  <c r="AV23" i="9"/>
  <c r="AE23" i="9"/>
  <c r="N23" i="9"/>
  <c r="CD23" i="9"/>
  <c r="BL23" i="9"/>
  <c r="AU23" i="9"/>
  <c r="AD23" i="9"/>
  <c r="M23" i="9"/>
  <c r="CB23" i="9"/>
  <c r="BK23" i="9"/>
  <c r="AT23" i="9"/>
  <c r="AC23" i="9"/>
  <c r="L23" i="9"/>
  <c r="CA23" i="9"/>
  <c r="BJ23" i="9"/>
  <c r="AS23" i="9"/>
  <c r="AB23" i="9"/>
  <c r="K23" i="9"/>
  <c r="BF23" i="9"/>
  <c r="AI23" i="9"/>
  <c r="E23" i="9"/>
  <c r="BE23" i="9"/>
  <c r="AA23" i="9"/>
  <c r="D23" i="9"/>
  <c r="BD23" i="9"/>
  <c r="Z23" i="9"/>
  <c r="C23" i="9"/>
  <c r="BZ23" i="9"/>
  <c r="BC23" i="9"/>
  <c r="Y23" i="9"/>
  <c r="D54" i="4"/>
  <c r="D56" i="4" s="1"/>
  <c r="BY23" i="9"/>
  <c r="BB23" i="9"/>
  <c r="X23" i="9"/>
  <c r="BW23" i="9"/>
  <c r="AZ23" i="9"/>
  <c r="V23" i="9"/>
  <c r="D51" i="4"/>
  <c r="D59" i="4" s="1"/>
  <c r="BT23" i="9"/>
  <c r="BV23" i="9"/>
  <c r="AR23" i="9"/>
  <c r="U23" i="9"/>
  <c r="S23" i="9"/>
  <c r="BU23" i="9"/>
  <c r="AQ23" i="9"/>
  <c r="T23" i="9"/>
  <c r="AP23" i="9"/>
  <c r="BS23" i="9"/>
  <c r="AO23" i="9"/>
  <c r="R23" i="9"/>
  <c r="BQ23" i="9"/>
  <c r="AM23" i="9"/>
  <c r="I23" i="9"/>
  <c r="BI23" i="9"/>
  <c r="AL23" i="9"/>
  <c r="H23" i="9"/>
  <c r="BG23" i="9"/>
  <c r="BR15" i="9"/>
  <c r="BR14" i="9"/>
  <c r="BR13" i="9"/>
  <c r="AY15" i="9"/>
  <c r="AY13" i="9"/>
  <c r="BH23" i="9"/>
  <c r="Q19" i="9"/>
  <c r="Q15" i="9"/>
  <c r="Q22" i="9" s="1"/>
  <c r="Q14" i="9"/>
  <c r="Q21" i="9" s="1"/>
  <c r="Q13" i="9"/>
  <c r="Q20" i="9" s="1"/>
  <c r="G54" i="8" a="1"/>
  <c r="G54" i="8" s="1"/>
  <c r="G57" i="8"/>
  <c r="BE14" i="9"/>
  <c r="BE13" i="9"/>
  <c r="BE15" i="9"/>
  <c r="BR23" i="9"/>
  <c r="BE214" i="9"/>
  <c r="BE217" i="9"/>
  <c r="BE207" i="9"/>
  <c r="BE190" i="9"/>
  <c r="BE186" i="9"/>
  <c r="BE182" i="9"/>
  <c r="BE210" i="9"/>
  <c r="BE194" i="9"/>
  <c r="BE185" i="9"/>
  <c r="BE166" i="9"/>
  <c r="BE213" i="9"/>
  <c r="BE209" i="9"/>
  <c r="BE218" i="9"/>
  <c r="BE161" i="9"/>
  <c r="BE189" i="9"/>
  <c r="BE170" i="9"/>
  <c r="BE184" i="9"/>
  <c r="BE165" i="9"/>
  <c r="BE160" i="9"/>
  <c r="BE212" i="9"/>
  <c r="BE208" i="9"/>
  <c r="BE193" i="9"/>
  <c r="BE169" i="9"/>
  <c r="BE164" i="9"/>
  <c r="BE216" i="9"/>
  <c r="BE188" i="9"/>
  <c r="BE215" i="9"/>
  <c r="BE206" i="9"/>
  <c r="BE167" i="9"/>
  <c r="BE158" i="9"/>
  <c r="BE162" i="9"/>
  <c r="BE192" i="9"/>
  <c r="BE159" i="9"/>
  <c r="BE191" i="9"/>
  <c r="BE187" i="9"/>
  <c r="BE168" i="9"/>
  <c r="BE183" i="9"/>
  <c r="BE163" i="9"/>
  <c r="BE211" i="9"/>
  <c r="BX31" i="9"/>
  <c r="BO15" i="9"/>
  <c r="BO14" i="9"/>
  <c r="BO13" i="9"/>
  <c r="L132" i="7"/>
  <c r="L133" i="7" s="1"/>
  <c r="BU14" i="9"/>
  <c r="BU13" i="9"/>
  <c r="BU15" i="9"/>
  <c r="Y40" i="9"/>
  <c r="G11" i="8"/>
  <c r="G8" i="8" a="1"/>
  <c r="G8" i="8" s="1"/>
  <c r="CG15" i="9"/>
  <c r="CG14" i="9"/>
  <c r="CG13" i="9"/>
  <c r="H13" i="9"/>
  <c r="H20" i="9" s="1"/>
  <c r="BS40" i="9"/>
  <c r="BC40" i="9"/>
  <c r="AM40" i="9"/>
  <c r="W40" i="9"/>
  <c r="G40" i="9"/>
  <c r="BR40" i="9"/>
  <c r="BB40" i="9"/>
  <c r="AL40" i="9"/>
  <c r="V40" i="9"/>
  <c r="F40" i="9"/>
  <c r="CG40" i="9"/>
  <c r="BQ40" i="9"/>
  <c r="BA40" i="9"/>
  <c r="AK40" i="9"/>
  <c r="U40" i="9"/>
  <c r="E40" i="9"/>
  <c r="CF40" i="9"/>
  <c r="BP40" i="9"/>
  <c r="AZ40" i="9"/>
  <c r="AJ40" i="9"/>
  <c r="T40" i="9"/>
  <c r="D40" i="9"/>
  <c r="CE40" i="9"/>
  <c r="BO40" i="9"/>
  <c r="AY40" i="9"/>
  <c r="AI40" i="9"/>
  <c r="S40" i="9"/>
  <c r="C40" i="9"/>
  <c r="CD40" i="9"/>
  <c r="BN40" i="9"/>
  <c r="AX40" i="9"/>
  <c r="AH40" i="9"/>
  <c r="R40" i="9"/>
  <c r="CC40" i="9"/>
  <c r="BM40" i="9"/>
  <c r="AW40" i="9"/>
  <c r="AG40" i="9"/>
  <c r="Q40" i="9"/>
  <c r="BX40" i="9"/>
  <c r="AT40" i="9"/>
  <c r="P40" i="9"/>
  <c r="BW40" i="9"/>
  <c r="AS40" i="9"/>
  <c r="O40" i="9"/>
  <c r="BV40" i="9"/>
  <c r="AR40" i="9"/>
  <c r="N40" i="9"/>
  <c r="BU40" i="9"/>
  <c r="AQ40" i="9"/>
  <c r="M40" i="9"/>
  <c r="BT40" i="9"/>
  <c r="AP40" i="9"/>
  <c r="L40" i="9"/>
  <c r="BL40" i="9"/>
  <c r="AO40" i="9"/>
  <c r="K40" i="9"/>
  <c r="BK40" i="9"/>
  <c r="AN40" i="9"/>
  <c r="J40" i="9"/>
  <c r="BI40" i="9"/>
  <c r="X40" i="9"/>
  <c r="BH40" i="9"/>
  <c r="I40" i="9"/>
  <c r="BG40" i="9"/>
  <c r="H40" i="9"/>
  <c r="BF40" i="9"/>
  <c r="BE40" i="9"/>
  <c r="AV40" i="9"/>
  <c r="AU40" i="9"/>
  <c r="AF40" i="9"/>
  <c r="AE40" i="9"/>
  <c r="AD40" i="9"/>
  <c r="CA40" i="9"/>
  <c r="AB40" i="9"/>
  <c r="BZ40" i="9"/>
  <c r="AA40" i="9"/>
  <c r="BL14" i="9"/>
  <c r="BL13" i="9"/>
  <c r="H15" i="9"/>
  <c r="H22" i="9" s="1"/>
  <c r="AG132" i="7"/>
  <c r="AG133" i="7" s="1"/>
  <c r="Q132" i="7"/>
  <c r="Q133" i="7" s="1"/>
  <c r="AF132" i="7"/>
  <c r="AF133" i="7" s="1"/>
  <c r="P132" i="7"/>
  <c r="P133" i="7" s="1"/>
  <c r="AV132" i="7"/>
  <c r="D125" i="7" s="1"/>
  <c r="AE132" i="7"/>
  <c r="AE133" i="7" s="1"/>
  <c r="O132" i="7"/>
  <c r="O133" i="7" s="1"/>
  <c r="AD132" i="7"/>
  <c r="AD133" i="7" s="1"/>
  <c r="N132" i="7"/>
  <c r="N133" i="7" s="1"/>
  <c r="AS132" i="7"/>
  <c r="AS133" i="7" s="1"/>
  <c r="AC132" i="7"/>
  <c r="AC133" i="7" s="1"/>
  <c r="M132" i="7"/>
  <c r="M133" i="7" s="1"/>
  <c r="AQ132" i="7"/>
  <c r="AQ133" i="7" s="1"/>
  <c r="AA132" i="7"/>
  <c r="AA133" i="7" s="1"/>
  <c r="K132" i="7"/>
  <c r="K133" i="7" s="1"/>
  <c r="AP132" i="7"/>
  <c r="AP133" i="7" s="1"/>
  <c r="Z132" i="7"/>
  <c r="Z133" i="7" s="1"/>
  <c r="J132" i="7"/>
  <c r="J133" i="7" s="1"/>
  <c r="AO132" i="7"/>
  <c r="AO133" i="7" s="1"/>
  <c r="Y132" i="7"/>
  <c r="Y133" i="7" s="1"/>
  <c r="I132" i="7"/>
  <c r="I133" i="7" s="1"/>
  <c r="AM132" i="7"/>
  <c r="AM133" i="7" s="1"/>
  <c r="W132" i="7"/>
  <c r="W133" i="7" s="1"/>
  <c r="AK132" i="7"/>
  <c r="AK133" i="7" s="1"/>
  <c r="U132" i="7"/>
  <c r="U133" i="7" s="1"/>
  <c r="AJ132" i="7"/>
  <c r="AJ133" i="7" s="1"/>
  <c r="T132" i="7"/>
  <c r="T133" i="7" s="1"/>
  <c r="D87" i="2"/>
  <c r="D83" i="2"/>
  <c r="C111" i="6"/>
  <c r="D14" i="4"/>
  <c r="R132" i="7"/>
  <c r="R133" i="7" s="1"/>
  <c r="S132" i="7"/>
  <c r="S133" i="7" s="1"/>
  <c r="G19" i="9"/>
  <c r="G14" i="9"/>
  <c r="G21" i="9" s="1"/>
  <c r="G13" i="9"/>
  <c r="G20" i="9" s="1"/>
  <c r="G15" i="9"/>
  <c r="G22" i="9" s="1"/>
  <c r="F23" i="9"/>
  <c r="AC40" i="9"/>
  <c r="AE5" i="10"/>
  <c r="O5" i="10"/>
  <c r="AD5" i="10"/>
  <c r="N5" i="10"/>
  <c r="AC5" i="10"/>
  <c r="M5" i="10"/>
  <c r="AB5" i="10"/>
  <c r="L5" i="10"/>
  <c r="C17" i="10"/>
  <c r="AA5" i="10"/>
  <c r="K5" i="10"/>
  <c r="Z5" i="10"/>
  <c r="J5" i="10"/>
  <c r="Y5" i="10"/>
  <c r="I5" i="10"/>
  <c r="X5" i="10"/>
  <c r="H5" i="10"/>
  <c r="AM5" i="10"/>
  <c r="W5" i="10"/>
  <c r="G5" i="10"/>
  <c r="U5" i="10"/>
  <c r="T5" i="10"/>
  <c r="S5" i="10"/>
  <c r="R5" i="10"/>
  <c r="Q5" i="10"/>
  <c r="P5" i="10"/>
  <c r="F5" i="10"/>
  <c r="E5" i="10"/>
  <c r="AL5" i="10"/>
  <c r="D5" i="10"/>
  <c r="AJ5" i="10"/>
  <c r="AH5" i="10"/>
  <c r="AG5" i="10"/>
  <c r="W7" i="11"/>
  <c r="W9" i="11" s="1"/>
  <c r="AK5" i="10"/>
  <c r="AI5" i="10"/>
  <c r="AF5" i="10"/>
  <c r="V5" i="10"/>
  <c r="C5" i="10"/>
  <c r="CE5" i="9"/>
  <c r="BO5" i="9"/>
  <c r="AY5" i="9"/>
  <c r="AI5" i="9"/>
  <c r="S5" i="9"/>
  <c r="C5" i="9"/>
  <c r="CB5" i="9"/>
  <c r="BL5" i="9"/>
  <c r="AV5" i="9"/>
  <c r="AF5" i="9"/>
  <c r="P5" i="9"/>
  <c r="D89" i="5"/>
  <c r="G49" i="6"/>
  <c r="E36" i="8"/>
  <c r="R5" i="9"/>
  <c r="AK5" i="9"/>
  <c r="BC5" i="9"/>
  <c r="BU5" i="9"/>
  <c r="H6" i="9"/>
  <c r="Z6" i="9"/>
  <c r="AR6" i="9"/>
  <c r="BK6" i="9"/>
  <c r="CD6" i="9"/>
  <c r="T11" i="9"/>
  <c r="AP11" i="9"/>
  <c r="BR11" i="9"/>
  <c r="I12" i="9"/>
  <c r="AK12" i="9"/>
  <c r="BM12" i="9"/>
  <c r="BF197" i="9"/>
  <c r="BF149" i="9"/>
  <c r="BF173" i="9"/>
  <c r="T5" i="9"/>
  <c r="AL5" i="9"/>
  <c r="BD5" i="9"/>
  <c r="BV5" i="9"/>
  <c r="I6" i="9"/>
  <c r="AA6" i="9"/>
  <c r="AT6" i="9"/>
  <c r="BM6" i="9"/>
  <c r="CE6" i="9"/>
  <c r="U11" i="9"/>
  <c r="AQ11" i="9"/>
  <c r="BS11" i="9"/>
  <c r="P12" i="9"/>
  <c r="AL12" i="9"/>
  <c r="BN12" i="9"/>
  <c r="D5" i="9"/>
  <c r="V5" i="9"/>
  <c r="AN5" i="9"/>
  <c r="BF5" i="9"/>
  <c r="BX5" i="9"/>
  <c r="K6" i="9"/>
  <c r="AD6" i="9"/>
  <c r="AW6" i="9"/>
  <c r="BO6" i="9"/>
  <c r="CG6" i="9"/>
  <c r="W11" i="9"/>
  <c r="AY11" i="9"/>
  <c r="BU11" i="9"/>
  <c r="R12" i="9"/>
  <c r="AN12" i="9"/>
  <c r="BP12" i="9"/>
  <c r="D67" i="6"/>
  <c r="D78" i="6" s="1"/>
  <c r="K134" i="7"/>
  <c r="AA134" i="7"/>
  <c r="AQ134" i="7"/>
  <c r="O139" i="7"/>
  <c r="AE139" i="7"/>
  <c r="F5" i="9"/>
  <c r="X5" i="9"/>
  <c r="AP5" i="9"/>
  <c r="BH5" i="9"/>
  <c r="BZ5" i="9"/>
  <c r="N6" i="9"/>
  <c r="AG6" i="9"/>
  <c r="AY6" i="9"/>
  <c r="BQ6" i="9"/>
  <c r="C11" i="9"/>
  <c r="Y11" i="9"/>
  <c r="BA11" i="9"/>
  <c r="BW11" i="9"/>
  <c r="T12" i="9"/>
  <c r="AV12" i="9"/>
  <c r="AO14" i="9"/>
  <c r="AO13" i="9"/>
  <c r="AM14" i="10"/>
  <c r="W14" i="10"/>
  <c r="G14" i="10"/>
  <c r="G15" i="10" s="1"/>
  <c r="AA10" i="10"/>
  <c r="K10" i="10"/>
  <c r="E36" i="10"/>
  <c r="AL14" i="10"/>
  <c r="V14" i="10"/>
  <c r="F14" i="10"/>
  <c r="Z10" i="10"/>
  <c r="J10" i="10"/>
  <c r="C49" i="10"/>
  <c r="AI14" i="10"/>
  <c r="S14" i="10"/>
  <c r="C14" i="10"/>
  <c r="AM10" i="10"/>
  <c r="W10" i="10"/>
  <c r="G10" i="10"/>
  <c r="AH14" i="10"/>
  <c r="R14" i="10"/>
  <c r="R15" i="10" s="1"/>
  <c r="AL10" i="10"/>
  <c r="V10" i="10"/>
  <c r="F10" i="10"/>
  <c r="AG14" i="10"/>
  <c r="Q14" i="10"/>
  <c r="AK10" i="10"/>
  <c r="U10" i="10"/>
  <c r="E10" i="10"/>
  <c r="F23" i="10"/>
  <c r="AK14" i="10"/>
  <c r="M14" i="10"/>
  <c r="T10" i="10"/>
  <c r="AJ14" i="10"/>
  <c r="L14" i="10"/>
  <c r="L15" i="10" s="1"/>
  <c r="S10" i="10"/>
  <c r="AF14" i="10"/>
  <c r="K14" i="10"/>
  <c r="K15" i="10" s="1"/>
  <c r="R10" i="10"/>
  <c r="AE14" i="10"/>
  <c r="J14" i="10"/>
  <c r="Q10" i="10"/>
  <c r="AD14" i="10"/>
  <c r="I14" i="10"/>
  <c r="P10" i="10"/>
  <c r="AC14" i="10"/>
  <c r="H14" i="10"/>
  <c r="AJ10" i="10"/>
  <c r="O10" i="10"/>
  <c r="AB14" i="10"/>
  <c r="E14" i="10"/>
  <c r="E15" i="10" s="1"/>
  <c r="AI10" i="10"/>
  <c r="N10" i="10"/>
  <c r="H23" i="10"/>
  <c r="AA14" i="10"/>
  <c r="AA15" i="10" s="1"/>
  <c r="D14" i="10"/>
  <c r="AH10" i="10"/>
  <c r="M10" i="10"/>
  <c r="G23" i="10"/>
  <c r="Z14" i="10"/>
  <c r="AG10" i="10"/>
  <c r="L10" i="10"/>
  <c r="E49" i="10"/>
  <c r="E23" i="10"/>
  <c r="Y14" i="10"/>
  <c r="T14" i="10"/>
  <c r="D49" i="10"/>
  <c r="D23" i="10"/>
  <c r="X14" i="10"/>
  <c r="C23" i="10"/>
  <c r="U14" i="10"/>
  <c r="AF10" i="10"/>
  <c r="P14" i="10"/>
  <c r="AE10" i="10"/>
  <c r="D36" i="10"/>
  <c r="O14" i="10"/>
  <c r="AD10" i="10"/>
  <c r="C36" i="10"/>
  <c r="N14" i="10"/>
  <c r="N15" i="10" s="1"/>
  <c r="AC10" i="10"/>
  <c r="Y10" i="10"/>
  <c r="I10" i="10"/>
  <c r="H10" i="10"/>
  <c r="X10" i="10"/>
  <c r="D10" i="10"/>
  <c r="C10" i="10"/>
  <c r="AB10" i="10"/>
  <c r="CA12" i="9"/>
  <c r="BK12" i="9"/>
  <c r="AU12" i="9"/>
  <c r="AE12" i="9"/>
  <c r="O12" i="9"/>
  <c r="BZ12" i="9"/>
  <c r="BJ12" i="9"/>
  <c r="AT12" i="9"/>
  <c r="AD12" i="9"/>
  <c r="N12" i="9"/>
  <c r="BY12" i="9"/>
  <c r="BI12" i="9"/>
  <c r="AS12" i="9"/>
  <c r="AC12" i="9"/>
  <c r="M12" i="9"/>
  <c r="BX12" i="9"/>
  <c r="BH12" i="9"/>
  <c r="AR12" i="9"/>
  <c r="AB12" i="9"/>
  <c r="L12" i="9"/>
  <c r="BW12" i="9"/>
  <c r="BG12" i="9"/>
  <c r="AQ12" i="9"/>
  <c r="AA12" i="9"/>
  <c r="K12" i="9"/>
  <c r="BV12" i="9"/>
  <c r="BF12" i="9"/>
  <c r="AP12" i="9"/>
  <c r="Z12" i="9"/>
  <c r="J12" i="9"/>
  <c r="D7" i="3"/>
  <c r="D13" i="5" s="1"/>
  <c r="D100" i="6"/>
  <c r="L134" i="7"/>
  <c r="AB134" i="7"/>
  <c r="AR134" i="7"/>
  <c r="P139" i="7"/>
  <c r="AF139" i="7"/>
  <c r="G5" i="9"/>
  <c r="Y5" i="9"/>
  <c r="AQ5" i="9"/>
  <c r="BI5" i="9"/>
  <c r="CA5" i="9"/>
  <c r="O6" i="9"/>
  <c r="AH6" i="9"/>
  <c r="AZ6" i="9"/>
  <c r="BR6" i="9"/>
  <c r="D11" i="9"/>
  <c r="Z11" i="9"/>
  <c r="BB11" i="9"/>
  <c r="BX11" i="9"/>
  <c r="U12" i="9"/>
  <c r="AW12" i="9"/>
  <c r="BS12" i="9"/>
  <c r="BQ15" i="9"/>
  <c r="BQ14" i="9"/>
  <c r="D8" i="3"/>
  <c r="M134" i="7"/>
  <c r="AC134" i="7"/>
  <c r="AS134" i="7"/>
  <c r="Q139" i="7"/>
  <c r="AG139" i="7"/>
  <c r="E21" i="8"/>
  <c r="G21" i="8" s="1"/>
  <c r="H5" i="9"/>
  <c r="Z5" i="9"/>
  <c r="AR5" i="9"/>
  <c r="BJ5" i="9"/>
  <c r="CC5" i="9"/>
  <c r="Q6" i="9"/>
  <c r="AI6" i="9"/>
  <c r="BA6" i="9"/>
  <c r="BS6" i="9"/>
  <c r="E11" i="9"/>
  <c r="AA11" i="9"/>
  <c r="BC11" i="9"/>
  <c r="CE11" i="9"/>
  <c r="V12" i="9"/>
  <c r="AX12" i="9"/>
  <c r="BT12" i="9"/>
  <c r="G42" i="8" a="1"/>
  <c r="G42" i="8" s="1"/>
  <c r="G79" i="8"/>
  <c r="J5" i="9"/>
  <c r="AB5" i="9"/>
  <c r="AT5" i="9"/>
  <c r="BM5" i="9"/>
  <c r="CF5" i="9"/>
  <c r="S6" i="9"/>
  <c r="AK6" i="9"/>
  <c r="BC6" i="9"/>
  <c r="BU6" i="9"/>
  <c r="G11" i="9"/>
  <c r="AI11" i="9"/>
  <c r="BE11" i="9"/>
  <c r="CG11" i="9"/>
  <c r="X12" i="9"/>
  <c r="AZ12" i="9"/>
  <c r="CB12" i="9"/>
  <c r="S13" i="9"/>
  <c r="S20" i="9" s="1"/>
  <c r="BQ13" i="9"/>
  <c r="C80" i="8"/>
  <c r="K5" i="9"/>
  <c r="AC5" i="9"/>
  <c r="AU5" i="9"/>
  <c r="BN5" i="9"/>
  <c r="CG5" i="9"/>
  <c r="T6" i="9"/>
  <c r="AL6" i="9"/>
  <c r="BD6" i="9"/>
  <c r="BV6" i="9"/>
  <c r="H11" i="9"/>
  <c r="AJ11" i="9"/>
  <c r="BF11" i="9"/>
  <c r="C12" i="9"/>
  <c r="Y12" i="9"/>
  <c r="BA12" i="9"/>
  <c r="CC12" i="9"/>
  <c r="D80" i="8"/>
  <c r="L5" i="9"/>
  <c r="AD5" i="9"/>
  <c r="AW5" i="9"/>
  <c r="BP5" i="9"/>
  <c r="C6" i="9"/>
  <c r="U6" i="9"/>
  <c r="AM6" i="9"/>
  <c r="BE6" i="9"/>
  <c r="I11" i="9"/>
  <c r="AK11" i="9"/>
  <c r="D12" i="9"/>
  <c r="AF12" i="9"/>
  <c r="BB12" i="9"/>
  <c r="CD12" i="9"/>
  <c r="AA6" i="10"/>
  <c r="Z6" i="10"/>
  <c r="Y6" i="10"/>
  <c r="AC6" i="10"/>
  <c r="J6" i="10"/>
  <c r="AB6" i="10"/>
  <c r="I6" i="10"/>
  <c r="X6" i="10"/>
  <c r="H6" i="10"/>
  <c r="W6" i="10"/>
  <c r="G6" i="10"/>
  <c r="V6" i="10"/>
  <c r="F6" i="10"/>
  <c r="U6" i="10"/>
  <c r="E6" i="10"/>
  <c r="AM6" i="10"/>
  <c r="T6" i="10"/>
  <c r="D6" i="10"/>
  <c r="AL6" i="10"/>
  <c r="S6" i="10"/>
  <c r="C6" i="10"/>
  <c r="AK6" i="10"/>
  <c r="R6" i="10"/>
  <c r="AD6" i="10"/>
  <c r="Q6" i="10"/>
  <c r="P6" i="10"/>
  <c r="O6" i="10"/>
  <c r="N6" i="10"/>
  <c r="M6" i="10"/>
  <c r="L6" i="10"/>
  <c r="K6" i="10"/>
  <c r="AJ6" i="10"/>
  <c r="AH6" i="10"/>
  <c r="AG6" i="10"/>
  <c r="AE6" i="10"/>
  <c r="AI6" i="10"/>
  <c r="AF6" i="10"/>
  <c r="CB6" i="9"/>
  <c r="BL6" i="9"/>
  <c r="AV6" i="9"/>
  <c r="AF6" i="9"/>
  <c r="P6" i="9"/>
  <c r="BY6" i="9"/>
  <c r="BI6" i="9"/>
  <c r="AS6" i="9"/>
  <c r="AC6" i="9"/>
  <c r="M6" i="9"/>
  <c r="CD11" i="9"/>
  <c r="BN11" i="9"/>
  <c r="AX11" i="9"/>
  <c r="AH11" i="9"/>
  <c r="R11" i="9"/>
  <c r="CC11" i="9"/>
  <c r="BM11" i="9"/>
  <c r="AW11" i="9"/>
  <c r="AG11" i="9"/>
  <c r="Q11" i="9"/>
  <c r="CB11" i="9"/>
  <c r="BL11" i="9"/>
  <c r="AV11" i="9"/>
  <c r="AF11" i="9"/>
  <c r="P11" i="9"/>
  <c r="CA11" i="9"/>
  <c r="BK11" i="9"/>
  <c r="AU11" i="9"/>
  <c r="AE11" i="9"/>
  <c r="O11" i="9"/>
  <c r="BZ11" i="9"/>
  <c r="BJ11" i="9"/>
  <c r="AT11" i="9"/>
  <c r="AD11" i="9"/>
  <c r="N11" i="9"/>
  <c r="BY11" i="9"/>
  <c r="BI11" i="9"/>
  <c r="AS11" i="9"/>
  <c r="AC11" i="9"/>
  <c r="M11" i="9"/>
  <c r="D52" i="7"/>
  <c r="M5" i="9"/>
  <c r="AE5" i="9"/>
  <c r="AX5" i="9"/>
  <c r="BQ5" i="9"/>
  <c r="D6" i="9"/>
  <c r="V6" i="9"/>
  <c r="AN6" i="9"/>
  <c r="BF6" i="9"/>
  <c r="BX6" i="9"/>
  <c r="J11" i="9"/>
  <c r="AL11" i="9"/>
  <c r="BH11" i="9"/>
  <c r="E12" i="9"/>
  <c r="AG12" i="9"/>
  <c r="BC12" i="9"/>
  <c r="CE12" i="9"/>
  <c r="S19" i="9"/>
  <c r="BF177" i="9"/>
  <c r="BF201" i="9"/>
  <c r="BF153" i="9"/>
  <c r="E22" i="10"/>
  <c r="D22" i="10"/>
  <c r="E35" i="10"/>
  <c r="E48" i="10"/>
  <c r="D35" i="10"/>
  <c r="D48" i="10"/>
  <c r="C35" i="10"/>
  <c r="BF217" i="9"/>
  <c r="BF210" i="9"/>
  <c r="BF194" i="9"/>
  <c r="BF213" i="9"/>
  <c r="H22" i="10"/>
  <c r="BF185" i="9"/>
  <c r="BF166" i="9"/>
  <c r="C48" i="10"/>
  <c r="BF214" i="9"/>
  <c r="BF209" i="9"/>
  <c r="BF190" i="9"/>
  <c r="BF218" i="9"/>
  <c r="BF161" i="9"/>
  <c r="BF189" i="9"/>
  <c r="BF170" i="9"/>
  <c r="BF184" i="9"/>
  <c r="BF165" i="9"/>
  <c r="BF160" i="9"/>
  <c r="G22" i="10"/>
  <c r="BF212" i="9"/>
  <c r="BF208" i="9"/>
  <c r="BF193" i="9"/>
  <c r="BF169" i="9"/>
  <c r="BF164" i="9"/>
  <c r="F22" i="10"/>
  <c r="BF216" i="9"/>
  <c r="BF188" i="9"/>
  <c r="C22" i="10"/>
  <c r="BF183" i="9"/>
  <c r="BF168" i="9"/>
  <c r="BF159" i="9"/>
  <c r="BF192" i="9"/>
  <c r="BF163" i="9"/>
  <c r="BF207" i="9"/>
  <c r="BF191" i="9"/>
  <c r="BF158" i="9"/>
  <c r="BF206" i="9"/>
  <c r="BF187" i="9"/>
  <c r="BF167" i="9"/>
  <c r="BF215" i="9"/>
  <c r="BF186" i="9"/>
  <c r="BF182" i="9"/>
  <c r="BF211" i="9"/>
  <c r="BF162" i="9"/>
  <c r="D61" i="7"/>
  <c r="S134" i="7"/>
  <c r="AI134" i="7"/>
  <c r="W139" i="7"/>
  <c r="N5" i="9"/>
  <c r="AG5" i="9"/>
  <c r="AZ5" i="9"/>
  <c r="BR5" i="9"/>
  <c r="E6" i="9"/>
  <c r="W6" i="9"/>
  <c r="AO6" i="9"/>
  <c r="BG6" i="9"/>
  <c r="BZ6" i="9"/>
  <c r="K11" i="9"/>
  <c r="AM11" i="9"/>
  <c r="BO11" i="9"/>
  <c r="F12" i="9"/>
  <c r="AH12" i="9"/>
  <c r="BD12" i="9"/>
  <c r="CF12" i="9"/>
  <c r="AO15" i="9"/>
  <c r="BF150" i="9"/>
  <c r="BF174" i="9"/>
  <c r="BF198" i="9"/>
  <c r="BF151" i="9"/>
  <c r="BF175" i="9"/>
  <c r="BF199" i="9"/>
  <c r="BF200" i="9"/>
  <c r="BF176" i="9"/>
  <c r="BF152" i="9"/>
  <c r="CK141" i="9"/>
  <c r="CI153" i="9" s="1"/>
  <c r="AM15" i="10" l="1"/>
  <c r="D128" i="7"/>
  <c r="D129" i="7" s="1"/>
  <c r="AJ15" i="10"/>
  <c r="AK15" i="10"/>
  <c r="O15" i="10"/>
  <c r="Z15" i="10"/>
  <c r="I15" i="10"/>
  <c r="D116" i="7"/>
  <c r="F15" i="10"/>
  <c r="W15" i="10"/>
  <c r="Q15" i="10"/>
  <c r="P15" i="10"/>
  <c r="AG15" i="10"/>
  <c r="D79" i="2"/>
  <c r="H14" i="9"/>
  <c r="H21" i="9" s="1"/>
  <c r="Y15" i="10"/>
  <c r="H15" i="10"/>
  <c r="AD15" i="10"/>
  <c r="AE15" i="10"/>
  <c r="BG207" i="9"/>
  <c r="BG213" i="9"/>
  <c r="BG216" i="9"/>
  <c r="BD182" i="9"/>
  <c r="BG214" i="9"/>
  <c r="BG209" i="9"/>
  <c r="BG218" i="9"/>
  <c r="BD218" i="9"/>
  <c r="BG212" i="9"/>
  <c r="BG208" i="9"/>
  <c r="BD194" i="9"/>
  <c r="BD170" i="9"/>
  <c r="BG217" i="9"/>
  <c r="BG211" i="9"/>
  <c r="BG210" i="9"/>
  <c r="BG206" i="9"/>
  <c r="BD158" i="9"/>
  <c r="BD206" i="9"/>
  <c r="BG215" i="9"/>
  <c r="BZ24" i="9"/>
  <c r="BJ24" i="9"/>
  <c r="AT24" i="9"/>
  <c r="AD24" i="9"/>
  <c r="N24" i="9"/>
  <c r="BR24" i="9"/>
  <c r="BA24" i="9"/>
  <c r="AJ24" i="9"/>
  <c r="S24" i="9"/>
  <c r="BQ24" i="9"/>
  <c r="AZ24" i="9"/>
  <c r="AI24" i="9"/>
  <c r="R24" i="9"/>
  <c r="CG24" i="9"/>
  <c r="BP24" i="9"/>
  <c r="AY24" i="9"/>
  <c r="AH24" i="9"/>
  <c r="Q24" i="9"/>
  <c r="CF24" i="9"/>
  <c r="BO24" i="9"/>
  <c r="AX24" i="9"/>
  <c r="AG24" i="9"/>
  <c r="P24" i="9"/>
  <c r="CE24" i="9"/>
  <c r="BN24" i="9"/>
  <c r="AW24" i="9"/>
  <c r="AF24" i="9"/>
  <c r="O24" i="9"/>
  <c r="CD24" i="9"/>
  <c r="BM24" i="9"/>
  <c r="AV24" i="9"/>
  <c r="AE24" i="9"/>
  <c r="M24" i="9"/>
  <c r="BF24" i="9"/>
  <c r="AB24" i="9"/>
  <c r="E24" i="9"/>
  <c r="CC24" i="9"/>
  <c r="BE24" i="9"/>
  <c r="AA24" i="9"/>
  <c r="D24" i="9"/>
  <c r="CB24" i="9"/>
  <c r="BD24" i="9"/>
  <c r="Z24" i="9"/>
  <c r="C24" i="9"/>
  <c r="CA24" i="9"/>
  <c r="BC24" i="9"/>
  <c r="Y24" i="9"/>
  <c r="BY24" i="9"/>
  <c r="BB24" i="9"/>
  <c r="X24" i="9"/>
  <c r="BW24" i="9"/>
  <c r="AS24" i="9"/>
  <c r="V24" i="9"/>
  <c r="BT24" i="9"/>
  <c r="BV24" i="9"/>
  <c r="AR24" i="9"/>
  <c r="U24" i="9"/>
  <c r="D1" i="6"/>
  <c r="AP24" i="9"/>
  <c r="BU24" i="9"/>
  <c r="AQ24" i="9"/>
  <c r="T24" i="9"/>
  <c r="L24" i="9"/>
  <c r="BS24" i="9"/>
  <c r="AO24" i="9"/>
  <c r="K24" i="9"/>
  <c r="BK24" i="9"/>
  <c r="AM24" i="9"/>
  <c r="I24" i="9"/>
  <c r="BI24" i="9"/>
  <c r="AL24" i="9"/>
  <c r="H24" i="9"/>
  <c r="AC24" i="9"/>
  <c r="F24" i="9"/>
  <c r="W24" i="9"/>
  <c r="J24" i="9"/>
  <c r="G24" i="9"/>
  <c r="AU24" i="9"/>
  <c r="AN24" i="9"/>
  <c r="BX24" i="9"/>
  <c r="BL24" i="9"/>
  <c r="BH24" i="9"/>
  <c r="BG24" i="9"/>
  <c r="AK24" i="9"/>
  <c r="T31" i="9"/>
  <c r="Y31" i="9"/>
  <c r="CA31" i="9"/>
  <c r="O31" i="9"/>
  <c r="AQ31" i="9"/>
  <c r="CE31" i="9"/>
  <c r="BG13" i="9"/>
  <c r="BG15" i="9"/>
  <c r="BG14" i="9"/>
  <c r="BZ13" i="9"/>
  <c r="BZ15" i="9"/>
  <c r="BZ14" i="9"/>
  <c r="AD11" i="10"/>
  <c r="AD12" i="10"/>
  <c r="AD13" i="10"/>
  <c r="AG12" i="10"/>
  <c r="AG11" i="10"/>
  <c r="AG13" i="10"/>
  <c r="P12" i="10"/>
  <c r="P11" i="10"/>
  <c r="P13" i="10"/>
  <c r="E11" i="10"/>
  <c r="E12" i="10"/>
  <c r="E13" i="10"/>
  <c r="BC166" i="9"/>
  <c r="BC160" i="9"/>
  <c r="E15" i="9"/>
  <c r="E22" i="9" s="1"/>
  <c r="E19" i="9"/>
  <c r="E14" i="9"/>
  <c r="E21" i="9" s="1"/>
  <c r="E13" i="9"/>
  <c r="E20" i="9" s="1"/>
  <c r="V84" i="9"/>
  <c r="BC158" i="9"/>
  <c r="BC164" i="9"/>
  <c r="BJ31" i="9"/>
  <c r="AG19" i="9"/>
  <c r="AG15" i="9"/>
  <c r="AG22" i="9" s="1"/>
  <c r="AG14" i="9"/>
  <c r="AG21" i="9" s="1"/>
  <c r="AG13" i="9"/>
  <c r="AG20" i="9" s="1"/>
  <c r="BC206" i="9"/>
  <c r="BC212" i="9"/>
  <c r="U11" i="10"/>
  <c r="U13" i="10"/>
  <c r="U12" i="10"/>
  <c r="D20" i="4"/>
  <c r="D45" i="4"/>
  <c r="J12" i="10"/>
  <c r="J13" i="10"/>
  <c r="J11" i="10"/>
  <c r="BW13" i="9"/>
  <c r="BW15" i="9"/>
  <c r="BW14" i="9"/>
  <c r="O14" i="9"/>
  <c r="O21" i="9" s="1"/>
  <c r="O19" i="9"/>
  <c r="O13" i="9"/>
  <c r="O20" i="9" s="1"/>
  <c r="O15" i="9"/>
  <c r="O22" i="9" s="1"/>
  <c r="BM15" i="9"/>
  <c r="BM14" i="9"/>
  <c r="BM13" i="9"/>
  <c r="BC31" i="9"/>
  <c r="BT14" i="9"/>
  <c r="BT13" i="9"/>
  <c r="BT15" i="9"/>
  <c r="AB13" i="9"/>
  <c r="AB15" i="9"/>
  <c r="AB22" i="9" s="1"/>
  <c r="AB14" i="9"/>
  <c r="AB21" i="9" s="1"/>
  <c r="AB19" i="9"/>
  <c r="AU13" i="9"/>
  <c r="AU15" i="9"/>
  <c r="AU14" i="9"/>
  <c r="AE12" i="10"/>
  <c r="AE13" i="10"/>
  <c r="AE11" i="10"/>
  <c r="M12" i="10"/>
  <c r="M11" i="10"/>
  <c r="M13" i="10"/>
  <c r="Q12" i="10"/>
  <c r="Q11" i="10"/>
  <c r="Q13" i="10"/>
  <c r="AK15" i="9"/>
  <c r="AK14" i="9"/>
  <c r="AK13" i="9"/>
  <c r="S31" i="9"/>
  <c r="BZ31" i="9"/>
  <c r="AC31" i="9"/>
  <c r="AX31" i="9"/>
  <c r="L13" i="9"/>
  <c r="L20" i="9" s="1"/>
  <c r="L15" i="9"/>
  <c r="L22" i="9" s="1"/>
  <c r="L14" i="9"/>
  <c r="L21" i="9" s="1"/>
  <c r="L19" i="9"/>
  <c r="G36" i="8"/>
  <c r="G35" i="8" a="1"/>
  <c r="G35" i="8" s="1"/>
  <c r="AF31" i="9"/>
  <c r="AX15" i="9"/>
  <c r="AX13" i="9"/>
  <c r="AX14" i="9"/>
  <c r="AR13" i="9"/>
  <c r="AR14" i="9"/>
  <c r="AR15" i="9"/>
  <c r="BK15" i="9"/>
  <c r="BK13" i="9"/>
  <c r="BK14" i="9"/>
  <c r="AH11" i="10"/>
  <c r="AH12" i="10"/>
  <c r="AH13" i="10"/>
  <c r="J15" i="10"/>
  <c r="V15" i="10"/>
  <c r="AV13" i="9"/>
  <c r="AV15" i="9"/>
  <c r="AV14" i="9"/>
  <c r="I14" i="9"/>
  <c r="I21" i="9" s="1"/>
  <c r="I13" i="9"/>
  <c r="I15" i="9"/>
  <c r="I22" i="9" s="1"/>
  <c r="I19" i="9"/>
  <c r="BH31" i="9"/>
  <c r="U31" i="9"/>
  <c r="C28" i="9"/>
  <c r="C30" i="9" s="1"/>
  <c r="C31" i="9"/>
  <c r="AT31" i="9"/>
  <c r="BO31" i="9"/>
  <c r="AK11" i="10"/>
  <c r="AK12" i="10"/>
  <c r="AK13" i="10"/>
  <c r="BU31" i="9"/>
  <c r="L31" i="9"/>
  <c r="V15" i="9"/>
  <c r="V22" i="9" s="1"/>
  <c r="V19" i="9"/>
  <c r="V14" i="9"/>
  <c r="V21" i="9" s="1"/>
  <c r="V13" i="9"/>
  <c r="V20" i="9" s="1"/>
  <c r="BH13" i="9"/>
  <c r="BH15" i="9"/>
  <c r="BH14" i="9"/>
  <c r="CA13" i="9"/>
  <c r="CA15" i="9"/>
  <c r="CA14" i="9"/>
  <c r="AF12" i="10"/>
  <c r="AF11" i="10"/>
  <c r="AF13" i="10"/>
  <c r="D15" i="10"/>
  <c r="F11" i="10"/>
  <c r="F13" i="10"/>
  <c r="F12" i="10"/>
  <c r="AL15" i="10"/>
  <c r="T15" i="9"/>
  <c r="T22" i="9" s="1"/>
  <c r="T19" i="9"/>
  <c r="T14" i="9"/>
  <c r="T21" i="9" s="1"/>
  <c r="T13" i="9"/>
  <c r="T20" i="9" s="1"/>
  <c r="L265" i="11"/>
  <c r="M265" i="11" s="1"/>
  <c r="L261" i="11"/>
  <c r="M261" i="11" s="1"/>
  <c r="L266" i="11"/>
  <c r="M266" i="11" s="1"/>
  <c r="L262" i="11"/>
  <c r="M262" i="11" s="1"/>
  <c r="L263" i="11"/>
  <c r="M263" i="11" s="1"/>
  <c r="L250" i="11"/>
  <c r="M250" i="11" s="1"/>
  <c r="L235" i="11"/>
  <c r="M235" i="11" s="1"/>
  <c r="L233" i="11"/>
  <c r="M233" i="11" s="1"/>
  <c r="L248" i="11"/>
  <c r="M248" i="11" s="1"/>
  <c r="L211" i="11"/>
  <c r="M211" i="11" s="1"/>
  <c r="L195" i="11"/>
  <c r="M195" i="11" s="1"/>
  <c r="L179" i="11"/>
  <c r="M179" i="11" s="1"/>
  <c r="L163" i="11"/>
  <c r="M163" i="11" s="1"/>
  <c r="L246" i="11"/>
  <c r="M246" i="11" s="1"/>
  <c r="L231" i="11"/>
  <c r="M231" i="11" s="1"/>
  <c r="L229" i="11"/>
  <c r="M229" i="11" s="1"/>
  <c r="L218" i="11"/>
  <c r="L209" i="11"/>
  <c r="M209" i="11" s="1"/>
  <c r="L202" i="11"/>
  <c r="M202" i="11" s="1"/>
  <c r="L193" i="11"/>
  <c r="M193" i="11" s="1"/>
  <c r="L186" i="11"/>
  <c r="M186" i="11" s="1"/>
  <c r="L177" i="11"/>
  <c r="M177" i="11" s="1"/>
  <c r="L170" i="11"/>
  <c r="M170" i="11" s="1"/>
  <c r="L161" i="11"/>
  <c r="M161" i="11" s="1"/>
  <c r="L154" i="11"/>
  <c r="M154" i="11" s="1"/>
  <c r="L244" i="11"/>
  <c r="M244" i="11" s="1"/>
  <c r="L216" i="11"/>
  <c r="M216" i="11" s="1"/>
  <c r="L200" i="11"/>
  <c r="M200" i="11" s="1"/>
  <c r="L184" i="11"/>
  <c r="M184" i="11" s="1"/>
  <c r="L168" i="11"/>
  <c r="M168" i="11" s="1"/>
  <c r="L151" i="11"/>
  <c r="M151" i="11" s="1"/>
  <c r="L147" i="11"/>
  <c r="M147" i="11" s="1"/>
  <c r="L143" i="11"/>
  <c r="M143" i="11" s="1"/>
  <c r="L139" i="11"/>
  <c r="L135" i="11"/>
  <c r="M135" i="11" s="1"/>
  <c r="L131" i="11"/>
  <c r="M131" i="11" s="1"/>
  <c r="L127" i="11"/>
  <c r="M127" i="11" s="1"/>
  <c r="L123" i="11"/>
  <c r="M123" i="11" s="1"/>
  <c r="L119" i="11"/>
  <c r="M119" i="11" s="1"/>
  <c r="L259" i="11"/>
  <c r="M259" i="11" s="1"/>
  <c r="L257" i="11"/>
  <c r="M257" i="11" s="1"/>
  <c r="L242" i="11"/>
  <c r="L227" i="11"/>
  <c r="M227" i="11" s="1"/>
  <c r="L225" i="11"/>
  <c r="M225" i="11" s="1"/>
  <c r="L255" i="11"/>
  <c r="M255" i="11" s="1"/>
  <c r="L253" i="11"/>
  <c r="M253" i="11" s="1"/>
  <c r="L238" i="11"/>
  <c r="M238" i="11" s="1"/>
  <c r="L223" i="11"/>
  <c r="M223" i="11" s="1"/>
  <c r="L221" i="11"/>
  <c r="L214" i="11"/>
  <c r="M214" i="11" s="1"/>
  <c r="L205" i="11"/>
  <c r="M205" i="11" s="1"/>
  <c r="L198" i="11"/>
  <c r="M198" i="11" s="1"/>
  <c r="L189" i="11"/>
  <c r="L182" i="11"/>
  <c r="M182" i="11" s="1"/>
  <c r="L173" i="11"/>
  <c r="M173" i="11" s="1"/>
  <c r="L166" i="11"/>
  <c r="L157" i="11"/>
  <c r="M157" i="11" s="1"/>
  <c r="L256" i="11"/>
  <c r="M256" i="11" s="1"/>
  <c r="L241" i="11"/>
  <c r="M241" i="11" s="1"/>
  <c r="L203" i="11"/>
  <c r="M203" i="11" s="1"/>
  <c r="L188" i="11"/>
  <c r="M188" i="11" s="1"/>
  <c r="L183" i="11"/>
  <c r="M183" i="11" s="1"/>
  <c r="L180" i="11"/>
  <c r="M180" i="11" s="1"/>
  <c r="L175" i="11"/>
  <c r="M175" i="11" s="1"/>
  <c r="L149" i="11"/>
  <c r="M149" i="11" s="1"/>
  <c r="L132" i="11"/>
  <c r="M132" i="11" s="1"/>
  <c r="L115" i="11"/>
  <c r="M115" i="11" s="1"/>
  <c r="L112" i="11"/>
  <c r="M112" i="11" s="1"/>
  <c r="L249" i="11"/>
  <c r="M249" i="11" s="1"/>
  <c r="L165" i="11"/>
  <c r="M165" i="11" s="1"/>
  <c r="L160" i="11"/>
  <c r="M160" i="11" s="1"/>
  <c r="L145" i="11"/>
  <c r="M145" i="11" s="1"/>
  <c r="L134" i="11"/>
  <c r="M134" i="11" s="1"/>
  <c r="L118" i="11"/>
  <c r="M118" i="11" s="1"/>
  <c r="L109" i="11"/>
  <c r="M109" i="11" s="1"/>
  <c r="L103" i="11"/>
  <c r="M103" i="11" s="1"/>
  <c r="L100" i="11"/>
  <c r="M100" i="11" s="1"/>
  <c r="L87" i="11"/>
  <c r="M87" i="11" s="1"/>
  <c r="L80" i="11"/>
  <c r="M80" i="11" s="1"/>
  <c r="L258" i="11"/>
  <c r="M258" i="11" s="1"/>
  <c r="L252" i="11"/>
  <c r="M252" i="11" s="1"/>
  <c r="L185" i="11"/>
  <c r="M185" i="11" s="1"/>
  <c r="L155" i="11"/>
  <c r="M155" i="11" s="1"/>
  <c r="L106" i="11"/>
  <c r="M106" i="11" s="1"/>
  <c r="L97" i="11"/>
  <c r="M97" i="11" s="1"/>
  <c r="L228" i="11"/>
  <c r="M228" i="11" s="1"/>
  <c r="L210" i="11"/>
  <c r="M210" i="11" s="1"/>
  <c r="L190" i="11"/>
  <c r="M190" i="11" s="1"/>
  <c r="L141" i="11"/>
  <c r="M141" i="11" s="1"/>
  <c r="L128" i="11"/>
  <c r="M128" i="11" s="1"/>
  <c r="L121" i="11"/>
  <c r="M121" i="11" s="1"/>
  <c r="L94" i="11"/>
  <c r="M94" i="11" s="1"/>
  <c r="L91" i="11"/>
  <c r="M91" i="11" s="1"/>
  <c r="L84" i="11"/>
  <c r="M84" i="11" s="1"/>
  <c r="L66" i="11"/>
  <c r="M66" i="11" s="1"/>
  <c r="L220" i="11"/>
  <c r="M220" i="11" s="1"/>
  <c r="L215" i="11"/>
  <c r="M215" i="11" s="1"/>
  <c r="L212" i="11"/>
  <c r="L207" i="11"/>
  <c r="M207" i="11" s="1"/>
  <c r="L130" i="11"/>
  <c r="M130" i="11" s="1"/>
  <c r="L77" i="11"/>
  <c r="M77" i="11" s="1"/>
  <c r="L243" i="11"/>
  <c r="L240" i="11"/>
  <c r="L197" i="11"/>
  <c r="M197" i="11" s="1"/>
  <c r="L192" i="11"/>
  <c r="L162" i="11"/>
  <c r="M162" i="11" s="1"/>
  <c r="L152" i="11"/>
  <c r="M152" i="11" s="1"/>
  <c r="L116" i="11"/>
  <c r="L251" i="11"/>
  <c r="M251" i="11" s="1"/>
  <c r="L230" i="11"/>
  <c r="M230" i="11" s="1"/>
  <c r="L217" i="11"/>
  <c r="M217" i="11" s="1"/>
  <c r="L187" i="11"/>
  <c r="L172" i="11"/>
  <c r="M172" i="11" s="1"/>
  <c r="L167" i="11"/>
  <c r="M167" i="11" s="1"/>
  <c r="L164" i="11"/>
  <c r="L159" i="11"/>
  <c r="M159" i="11" s="1"/>
  <c r="L148" i="11"/>
  <c r="M148" i="11" s="1"/>
  <c r="L137" i="11"/>
  <c r="M137" i="11" s="1"/>
  <c r="L124" i="11"/>
  <c r="M124" i="11" s="1"/>
  <c r="L113" i="11"/>
  <c r="M113" i="11" s="1"/>
  <c r="L107" i="11"/>
  <c r="M107" i="11" s="1"/>
  <c r="L104" i="11"/>
  <c r="M104" i="11" s="1"/>
  <c r="L81" i="11"/>
  <c r="M81" i="11" s="1"/>
  <c r="L254" i="11"/>
  <c r="M254" i="11" s="1"/>
  <c r="L222" i="11"/>
  <c r="M222" i="11" s="1"/>
  <c r="L144" i="11"/>
  <c r="M144" i="11" s="1"/>
  <c r="L126" i="11"/>
  <c r="M126" i="11" s="1"/>
  <c r="L110" i="11"/>
  <c r="M110" i="11" s="1"/>
  <c r="L101" i="11"/>
  <c r="M101" i="11" s="1"/>
  <c r="L95" i="11"/>
  <c r="M95" i="11" s="1"/>
  <c r="L92" i="11"/>
  <c r="M92" i="11" s="1"/>
  <c r="L264" i="11"/>
  <c r="M264" i="11" s="1"/>
  <c r="L237" i="11"/>
  <c r="M237" i="11" s="1"/>
  <c r="L169" i="11"/>
  <c r="L150" i="11"/>
  <c r="M150" i="11" s="1"/>
  <c r="L98" i="11"/>
  <c r="M98" i="11" s="1"/>
  <c r="L85" i="11"/>
  <c r="M85" i="11" s="1"/>
  <c r="L260" i="11"/>
  <c r="M260" i="11" s="1"/>
  <c r="L219" i="11"/>
  <c r="L204" i="11"/>
  <c r="M204" i="11" s="1"/>
  <c r="L199" i="11"/>
  <c r="M199" i="11" s="1"/>
  <c r="L196" i="11"/>
  <c r="M196" i="11" s="1"/>
  <c r="L191" i="11"/>
  <c r="M191" i="11" s="1"/>
  <c r="L140" i="11"/>
  <c r="M140" i="11" s="1"/>
  <c r="L122" i="11"/>
  <c r="M122" i="11" s="1"/>
  <c r="L234" i="11"/>
  <c r="M234" i="11" s="1"/>
  <c r="L224" i="11"/>
  <c r="M224" i="11" s="1"/>
  <c r="L181" i="11"/>
  <c r="M181" i="11" s="1"/>
  <c r="L176" i="11"/>
  <c r="M176" i="11" s="1"/>
  <c r="L142" i="11"/>
  <c r="L120" i="11"/>
  <c r="M120" i="11" s="1"/>
  <c r="L117" i="11"/>
  <c r="M117" i="11" s="1"/>
  <c r="L111" i="11"/>
  <c r="L108" i="11"/>
  <c r="M108" i="11" s="1"/>
  <c r="L82" i="11"/>
  <c r="M82" i="11" s="1"/>
  <c r="L75" i="11"/>
  <c r="M75" i="11" s="1"/>
  <c r="L68" i="11"/>
  <c r="M68" i="11" s="1"/>
  <c r="L201" i="11"/>
  <c r="M201" i="11" s="1"/>
  <c r="L171" i="11"/>
  <c r="M171" i="11" s="1"/>
  <c r="L156" i="11"/>
  <c r="M156" i="11" s="1"/>
  <c r="L129" i="11"/>
  <c r="M129" i="11" s="1"/>
  <c r="L114" i="11"/>
  <c r="M114" i="11" s="1"/>
  <c r="L105" i="11"/>
  <c r="M105" i="11" s="1"/>
  <c r="L239" i="11"/>
  <c r="M239" i="11" s="1"/>
  <c r="L206" i="11"/>
  <c r="M206" i="11" s="1"/>
  <c r="L136" i="11"/>
  <c r="M136" i="11" s="1"/>
  <c r="L102" i="11"/>
  <c r="M102" i="11" s="1"/>
  <c r="L93" i="11"/>
  <c r="M93" i="11" s="1"/>
  <c r="L213" i="11"/>
  <c r="M213" i="11" s="1"/>
  <c r="L208" i="11"/>
  <c r="M208" i="11" s="1"/>
  <c r="L78" i="11"/>
  <c r="M78" i="11" s="1"/>
  <c r="L61" i="11"/>
  <c r="M61" i="11" s="1"/>
  <c r="L8" i="11"/>
  <c r="M8" i="11" s="1"/>
  <c r="L89" i="11"/>
  <c r="M89" i="11" s="1"/>
  <c r="L46" i="11"/>
  <c r="L42" i="11"/>
  <c r="M42" i="11" s="1"/>
  <c r="L38" i="11"/>
  <c r="M38" i="11" s="1"/>
  <c r="L34" i="11"/>
  <c r="M34" i="11" s="1"/>
  <c r="L30" i="11"/>
  <c r="M30" i="11" s="1"/>
  <c r="L26" i="11"/>
  <c r="M26" i="11" s="1"/>
  <c r="L22" i="11"/>
  <c r="M22" i="11" s="1"/>
  <c r="L18" i="11"/>
  <c r="M18" i="11" s="1"/>
  <c r="L71" i="11"/>
  <c r="L64" i="11"/>
  <c r="M64" i="11" s="1"/>
  <c r="L14" i="11"/>
  <c r="M14" i="11" s="1"/>
  <c r="L73" i="11"/>
  <c r="M73" i="11" s="1"/>
  <c r="L50" i="11"/>
  <c r="M50" i="11" s="1"/>
  <c r="L9" i="11"/>
  <c r="M9" i="11" s="1"/>
  <c r="L146" i="11"/>
  <c r="M146" i="11" s="1"/>
  <c r="L125" i="11"/>
  <c r="M125" i="11" s="1"/>
  <c r="L59" i="11"/>
  <c r="M59" i="11" s="1"/>
  <c r="L56" i="11"/>
  <c r="M56" i="11" s="1"/>
  <c r="L53" i="11"/>
  <c r="M53" i="11" s="1"/>
  <c r="L232" i="11"/>
  <c r="M232" i="11" s="1"/>
  <c r="L138" i="11"/>
  <c r="M138" i="11" s="1"/>
  <c r="L133" i="11"/>
  <c r="M133" i="11" s="1"/>
  <c r="L88" i="11"/>
  <c r="L86" i="11"/>
  <c r="M86" i="11" s="1"/>
  <c r="L67" i="11"/>
  <c r="L62" i="11"/>
  <c r="M62" i="11" s="1"/>
  <c r="L10" i="11"/>
  <c r="M10" i="11" s="1"/>
  <c r="L247" i="11"/>
  <c r="M247" i="11" s="1"/>
  <c r="L51" i="11"/>
  <c r="L174" i="11"/>
  <c r="M174" i="11" s="1"/>
  <c r="L96" i="11"/>
  <c r="M96" i="11" s="1"/>
  <c r="L74" i="11"/>
  <c r="M74" i="11" s="1"/>
  <c r="L70" i="11"/>
  <c r="M70" i="11" s="1"/>
  <c r="L245" i="11"/>
  <c r="L194" i="11"/>
  <c r="L90" i="11"/>
  <c r="M90" i="11" s="1"/>
  <c r="L83" i="11"/>
  <c r="M83" i="11" s="1"/>
  <c r="L63" i="11"/>
  <c r="M63" i="11" s="1"/>
  <c r="L12" i="11"/>
  <c r="M12" i="11" s="1"/>
  <c r="L99" i="11"/>
  <c r="M99" i="11" s="1"/>
  <c r="L45" i="11"/>
  <c r="L41" i="11"/>
  <c r="M41" i="11" s="1"/>
  <c r="L37" i="11"/>
  <c r="M37" i="11" s="1"/>
  <c r="L33" i="11"/>
  <c r="M33" i="11" s="1"/>
  <c r="L29" i="11"/>
  <c r="M29" i="11" s="1"/>
  <c r="L25" i="11"/>
  <c r="M25" i="11" s="1"/>
  <c r="L21" i="11"/>
  <c r="M21" i="11" s="1"/>
  <c r="L17" i="11"/>
  <c r="M17" i="11" s="1"/>
  <c r="L7" i="11"/>
  <c r="M7" i="11" s="1"/>
  <c r="L57" i="11"/>
  <c r="M57" i="11" s="1"/>
  <c r="L54" i="11"/>
  <c r="M54" i="11" s="1"/>
  <c r="L23" i="11"/>
  <c r="M23" i="11" s="1"/>
  <c r="L20" i="11"/>
  <c r="M20" i="11" s="1"/>
  <c r="L60" i="11"/>
  <c r="M60" i="11" s="1"/>
  <c r="L31" i="11"/>
  <c r="M31" i="11" s="1"/>
  <c r="L28" i="11"/>
  <c r="M28" i="11" s="1"/>
  <c r="L39" i="11"/>
  <c r="M39" i="11" s="1"/>
  <c r="L36" i="11"/>
  <c r="M36" i="11" s="1"/>
  <c r="L11" i="11"/>
  <c r="M11" i="11" s="1"/>
  <c r="L69" i="11"/>
  <c r="L47" i="11"/>
  <c r="M47" i="11" s="1"/>
  <c r="L44" i="11"/>
  <c r="M44" i="11" s="1"/>
  <c r="L178" i="11"/>
  <c r="M178" i="11" s="1"/>
  <c r="L72" i="11"/>
  <c r="M72" i="11" s="1"/>
  <c r="L19" i="11"/>
  <c r="M19" i="11" s="1"/>
  <c r="L16" i="11"/>
  <c r="M16" i="11" s="1"/>
  <c r="L6" i="11"/>
  <c r="M6" i="11" s="1"/>
  <c r="L4" i="11"/>
  <c r="M4" i="11" s="1"/>
  <c r="L76" i="11"/>
  <c r="M76" i="11" s="1"/>
  <c r="L27" i="11"/>
  <c r="M27" i="11" s="1"/>
  <c r="L24" i="11"/>
  <c r="M24" i="11" s="1"/>
  <c r="L13" i="11"/>
  <c r="M13" i="11" s="1"/>
  <c r="L153" i="11"/>
  <c r="M153" i="11" s="1"/>
  <c r="L79" i="11"/>
  <c r="M79" i="11" s="1"/>
  <c r="L55" i="11"/>
  <c r="M55" i="11" s="1"/>
  <c r="L43" i="11"/>
  <c r="M43" i="11" s="1"/>
  <c r="L58" i="11"/>
  <c r="M58" i="11" s="1"/>
  <c r="L226" i="11"/>
  <c r="M226" i="11" s="1"/>
  <c r="L49" i="11"/>
  <c r="M49" i="11" s="1"/>
  <c r="L5" i="11"/>
  <c r="M5" i="11" s="1"/>
  <c r="L48" i="11"/>
  <c r="M48" i="11" s="1"/>
  <c r="L158" i="11"/>
  <c r="M158" i="11" s="1"/>
  <c r="L65" i="11"/>
  <c r="M65" i="11" s="1"/>
  <c r="L15" i="11"/>
  <c r="M15" i="11" s="1"/>
  <c r="L40" i="11"/>
  <c r="M40" i="11" s="1"/>
  <c r="L35" i="11"/>
  <c r="M35" i="11" s="1"/>
  <c r="L236" i="11"/>
  <c r="M236" i="11" s="1"/>
  <c r="L52" i="11"/>
  <c r="M52" i="11" s="1"/>
  <c r="L32" i="11"/>
  <c r="M32" i="11" s="1"/>
  <c r="AR31" i="9"/>
  <c r="Z31" i="9"/>
  <c r="BK31" i="9"/>
  <c r="CF31" i="9"/>
  <c r="CF15" i="9"/>
  <c r="CF14" i="9"/>
  <c r="CF13" i="9"/>
  <c r="CD15" i="9"/>
  <c r="CD14" i="9"/>
  <c r="CD13" i="9"/>
  <c r="BX83" i="9"/>
  <c r="BH55" i="9"/>
  <c r="AB70" i="9"/>
  <c r="BX13" i="9"/>
  <c r="BX15" i="9"/>
  <c r="BX14" i="9"/>
  <c r="AB13" i="10"/>
  <c r="AB12" i="10"/>
  <c r="AB11" i="10"/>
  <c r="U15" i="10"/>
  <c r="R11" i="10"/>
  <c r="R12" i="10"/>
  <c r="R13" i="10"/>
  <c r="V11" i="10"/>
  <c r="V13" i="10"/>
  <c r="V12" i="10"/>
  <c r="BB69" i="9"/>
  <c r="BP15" i="9"/>
  <c r="BP14" i="9"/>
  <c r="BP13" i="9"/>
  <c r="H31" i="9"/>
  <c r="BV31" i="9"/>
  <c r="BD31" i="9"/>
  <c r="CB31" i="9"/>
  <c r="P31" i="9"/>
  <c r="AN31" i="9"/>
  <c r="BB15" i="9"/>
  <c r="BB14" i="9"/>
  <c r="BB13" i="9"/>
  <c r="AW55" i="9"/>
  <c r="AW18" i="9"/>
  <c r="AW26" i="9" s="1"/>
  <c r="AW27" i="9" s="1"/>
  <c r="AW67" i="9"/>
  <c r="D21" i="5"/>
  <c r="W10" i="11" s="1"/>
  <c r="D31" i="5"/>
  <c r="M15" i="9"/>
  <c r="M19" i="9"/>
  <c r="M13" i="9"/>
  <c r="M14" i="9"/>
  <c r="C13" i="10"/>
  <c r="C11" i="10"/>
  <c r="C12" i="10"/>
  <c r="AL11" i="10"/>
  <c r="AL13" i="10"/>
  <c r="AL12" i="10"/>
  <c r="K13" i="10"/>
  <c r="K12" i="10"/>
  <c r="K11" i="10"/>
  <c r="AN14" i="9"/>
  <c r="AN13" i="9"/>
  <c r="AN15" i="9"/>
  <c r="AL31" i="9"/>
  <c r="BT31" i="9"/>
  <c r="D31" i="9"/>
  <c r="M31" i="9"/>
  <c r="AH31" i="9"/>
  <c r="G17" i="8" a="1"/>
  <c r="G17" i="8" s="1"/>
  <c r="BH57" i="9"/>
  <c r="BC161" i="9"/>
  <c r="BC167" i="9"/>
  <c r="BD14" i="9"/>
  <c r="BD13" i="9"/>
  <c r="BD15" i="9"/>
  <c r="BC191" i="9"/>
  <c r="BC185" i="9"/>
  <c r="AG54" i="9"/>
  <c r="AH15" i="9"/>
  <c r="AH14" i="9"/>
  <c r="AH19" i="9"/>
  <c r="AH13" i="9"/>
  <c r="AH20" i="9" s="1"/>
  <c r="BC162" i="9"/>
  <c r="BC168" i="9"/>
  <c r="AF15" i="9"/>
  <c r="AF22" i="9" s="1"/>
  <c r="AF14" i="9"/>
  <c r="AF21" i="9" s="1"/>
  <c r="AF19" i="9"/>
  <c r="AF13" i="9"/>
  <c r="J13" i="9"/>
  <c r="J15" i="9"/>
  <c r="J22" i="9" s="1"/>
  <c r="J14" i="9"/>
  <c r="J21" i="9" s="1"/>
  <c r="J19" i="9"/>
  <c r="AC13" i="9"/>
  <c r="AC15" i="9"/>
  <c r="AC19" i="9"/>
  <c r="AC14" i="9"/>
  <c r="AC21" i="9" s="1"/>
  <c r="D11" i="10"/>
  <c r="D13" i="10"/>
  <c r="D12" i="10"/>
  <c r="X15" i="10"/>
  <c r="N12" i="10"/>
  <c r="N11" i="10"/>
  <c r="N13" i="10"/>
  <c r="AF15" i="10"/>
  <c r="AA13" i="10"/>
  <c r="AA12" i="10"/>
  <c r="AA11" i="10"/>
  <c r="R15" i="9"/>
  <c r="R14" i="9"/>
  <c r="R19" i="9"/>
  <c r="R13" i="9"/>
  <c r="AG53" i="9"/>
  <c r="BU84" i="9"/>
  <c r="BI31" i="9"/>
  <c r="AA31" i="9"/>
  <c r="AD31" i="9"/>
  <c r="AY31" i="9"/>
  <c r="AE15" i="9"/>
  <c r="AE22" i="9" s="1"/>
  <c r="AE19" i="9"/>
  <c r="AE14" i="9"/>
  <c r="AE21" i="9" s="1"/>
  <c r="AE13" i="9"/>
  <c r="AE20" i="9" s="1"/>
  <c r="Z13" i="10"/>
  <c r="Z11" i="10"/>
  <c r="Z12" i="10"/>
  <c r="BC209" i="9"/>
  <c r="BC215" i="9"/>
  <c r="BC213" i="9"/>
  <c r="BC207" i="9"/>
  <c r="F15" i="9"/>
  <c r="F19" i="9"/>
  <c r="F14" i="9"/>
  <c r="F13" i="9"/>
  <c r="F20" i="9" s="1"/>
  <c r="BC216" i="9"/>
  <c r="BC210" i="9"/>
  <c r="D15" i="9"/>
  <c r="D22" i="9" s="1"/>
  <c r="D19" i="9"/>
  <c r="D14" i="9"/>
  <c r="D21" i="9" s="1"/>
  <c r="D13" i="9"/>
  <c r="D20" i="9" s="1"/>
  <c r="BS14" i="9"/>
  <c r="BS13" i="9"/>
  <c r="BS15" i="9"/>
  <c r="Z13" i="9"/>
  <c r="Z19" i="9"/>
  <c r="Z15" i="9"/>
  <c r="Z14" i="9"/>
  <c r="AS14" i="9"/>
  <c r="AS13" i="9"/>
  <c r="AS15" i="9"/>
  <c r="X13" i="10"/>
  <c r="X11" i="10"/>
  <c r="X12" i="10"/>
  <c r="AI12" i="10"/>
  <c r="AI11" i="10"/>
  <c r="AI13" i="10"/>
  <c r="S12" i="10"/>
  <c r="S13" i="10"/>
  <c r="S11" i="10"/>
  <c r="AH15" i="10"/>
  <c r="F31" i="9"/>
  <c r="BR31" i="9"/>
  <c r="BU68" i="9"/>
  <c r="I31" i="9"/>
  <c r="BE31" i="9"/>
  <c r="AU31" i="9"/>
  <c r="BP31" i="9"/>
  <c r="BC183" i="9"/>
  <c r="BC189" i="9"/>
  <c r="BC192" i="9"/>
  <c r="BC186" i="9"/>
  <c r="J17" i="9"/>
  <c r="AW15" i="9"/>
  <c r="AW13" i="9"/>
  <c r="AW14" i="9"/>
  <c r="AP13" i="9"/>
  <c r="AP14" i="9"/>
  <c r="AP15" i="9"/>
  <c r="BI15" i="9"/>
  <c r="BI14" i="9"/>
  <c r="BI13" i="9"/>
  <c r="H13" i="10"/>
  <c r="H11" i="10"/>
  <c r="H12" i="10"/>
  <c r="G13" i="10"/>
  <c r="G11" i="10"/>
  <c r="G12" i="10"/>
  <c r="AK8" i="10"/>
  <c r="U8" i="10"/>
  <c r="E8" i="10"/>
  <c r="D8" i="10"/>
  <c r="AG8" i="10"/>
  <c r="AF8" i="10"/>
  <c r="AE8" i="10"/>
  <c r="O8" i="10"/>
  <c r="R8" i="10"/>
  <c r="N8" i="10"/>
  <c r="AM8" i="10"/>
  <c r="M8" i="10"/>
  <c r="AL8" i="10"/>
  <c r="L8" i="10"/>
  <c r="AI8" i="10"/>
  <c r="J8" i="10"/>
  <c r="AD8" i="10"/>
  <c r="AC8" i="10"/>
  <c r="AB8" i="10"/>
  <c r="G8" i="10"/>
  <c r="AA8" i="10"/>
  <c r="Z8" i="10"/>
  <c r="Y8" i="10"/>
  <c r="X8" i="10"/>
  <c r="V8" i="10"/>
  <c r="F8" i="10"/>
  <c r="C8" i="10"/>
  <c r="BT9" i="9"/>
  <c r="BD9" i="9"/>
  <c r="X9" i="9"/>
  <c r="X72" i="9" s="1"/>
  <c r="BS9" i="9"/>
  <c r="BC9" i="9"/>
  <c r="BC72" i="9" s="1"/>
  <c r="AM9" i="9"/>
  <c r="AM69" i="9" s="1"/>
  <c r="W9" i="9"/>
  <c r="W71" i="9" s="1"/>
  <c r="G9" i="9"/>
  <c r="G68" i="9" s="1"/>
  <c r="BR9" i="9"/>
  <c r="BR72" i="9" s="1"/>
  <c r="BB9" i="9"/>
  <c r="BB71" i="9" s="1"/>
  <c r="AL9" i="9"/>
  <c r="AL72" i="9" s="1"/>
  <c r="V9" i="9"/>
  <c r="V71" i="9" s="1"/>
  <c r="BQ9" i="9"/>
  <c r="BA9" i="9"/>
  <c r="U9" i="9"/>
  <c r="CF9" i="9"/>
  <c r="CF68" i="9" s="1"/>
  <c r="BP9" i="9"/>
  <c r="AZ9" i="9"/>
  <c r="AJ9" i="9"/>
  <c r="AJ70" i="9" s="1"/>
  <c r="T9" i="9"/>
  <c r="T68" i="9" s="1"/>
  <c r="D9" i="9"/>
  <c r="D67" i="9" s="1"/>
  <c r="CE9" i="9"/>
  <c r="CE68" i="9" s="1"/>
  <c r="BO9" i="9"/>
  <c r="BO69" i="9" s="1"/>
  <c r="AY9" i="9"/>
  <c r="C9" i="9"/>
  <c r="BZ9" i="9"/>
  <c r="AB9" i="9"/>
  <c r="AB18" i="9" s="1"/>
  <c r="AB26" i="9" s="1"/>
  <c r="AB27" i="9" s="1"/>
  <c r="D2" i="7"/>
  <c r="BY9" i="9"/>
  <c r="BY70" i="9" s="1"/>
  <c r="AW9" i="9"/>
  <c r="AW68" i="9" s="1"/>
  <c r="AA9" i="9"/>
  <c r="AA18" i="9" s="1"/>
  <c r="AA26" i="9" s="1"/>
  <c r="AA27" i="9" s="1"/>
  <c r="BX9" i="9"/>
  <c r="BX67" i="9" s="1"/>
  <c r="AV9" i="9"/>
  <c r="AV18" i="9" s="1"/>
  <c r="AV26" i="9" s="1"/>
  <c r="AV27" i="9" s="1"/>
  <c r="Z9" i="9"/>
  <c r="Z71" i="9" s="1"/>
  <c r="BW9" i="9"/>
  <c r="AU9" i="9"/>
  <c r="Y9" i="9"/>
  <c r="Y71" i="9" s="1"/>
  <c r="R9" i="9"/>
  <c r="BN9" i="9"/>
  <c r="P9" i="9"/>
  <c r="P69" i="9" s="1"/>
  <c r="BK9" i="9"/>
  <c r="BK72" i="9" s="1"/>
  <c r="BM9" i="9"/>
  <c r="BM68" i="9" s="1"/>
  <c r="AQ9" i="9"/>
  <c r="O9" i="9"/>
  <c r="M9" i="9"/>
  <c r="M68" i="9" s="1"/>
  <c r="BL9" i="9"/>
  <c r="BL71" i="9" s="1"/>
  <c r="AP9" i="9"/>
  <c r="N9" i="9"/>
  <c r="N18" i="9" s="1"/>
  <c r="N26" i="9" s="1"/>
  <c r="N27" i="9" s="1"/>
  <c r="AO9" i="9"/>
  <c r="AO68" i="9" s="1"/>
  <c r="BJ9" i="9"/>
  <c r="CD9" i="9"/>
  <c r="CD18" i="9" s="1"/>
  <c r="CD26" i="9" s="1"/>
  <c r="CD27" i="9" s="1"/>
  <c r="BH9" i="9"/>
  <c r="J9" i="9"/>
  <c r="J69" i="9" s="1"/>
  <c r="CC9" i="9"/>
  <c r="BG9" i="9"/>
  <c r="BG18" i="9" s="1"/>
  <c r="BG26" i="9" s="1"/>
  <c r="BG27" i="9" s="1"/>
  <c r="AE9" i="9"/>
  <c r="AE68" i="9" s="1"/>
  <c r="I9" i="9"/>
  <c r="I18" i="9" s="1"/>
  <c r="I26" i="9" s="1"/>
  <c r="I27" i="9" s="1"/>
  <c r="CB9" i="9"/>
  <c r="CB70" i="9" s="1"/>
  <c r="CA9" i="9"/>
  <c r="Q9" i="9"/>
  <c r="K9" i="9"/>
  <c r="K67" i="9" s="1"/>
  <c r="BU9" i="9"/>
  <c r="BU71" i="9" s="1"/>
  <c r="BI9" i="9"/>
  <c r="BI18" i="9" s="1"/>
  <c r="BI26" i="9" s="1"/>
  <c r="BI27" i="9" s="1"/>
  <c r="BE9" i="9"/>
  <c r="AS9" i="9"/>
  <c r="AD9" i="9"/>
  <c r="AD18" i="9" s="1"/>
  <c r="AD26" i="9" s="1"/>
  <c r="AD27" i="9" s="1"/>
  <c r="AE54" i="9"/>
  <c r="AM31" i="9"/>
  <c r="V31" i="9"/>
  <c r="E31" i="9"/>
  <c r="BL31" i="9"/>
  <c r="CG31" i="9"/>
  <c r="BC187" i="9"/>
  <c r="BC193" i="9"/>
  <c r="BC208" i="9"/>
  <c r="BC214" i="9"/>
  <c r="BC190" i="9"/>
  <c r="BC184" i="9"/>
  <c r="BC165" i="9"/>
  <c r="BC159" i="9"/>
  <c r="N84" i="9"/>
  <c r="CB14" i="9"/>
  <c r="CB13" i="9"/>
  <c r="CB15" i="9"/>
  <c r="AP71" i="9"/>
  <c r="BD84" i="9"/>
  <c r="U15" i="9"/>
  <c r="U19" i="9"/>
  <c r="U14" i="9"/>
  <c r="U13" i="9"/>
  <c r="BF13" i="9"/>
  <c r="BF14" i="9"/>
  <c r="BF15" i="9"/>
  <c r="BY13" i="9"/>
  <c r="BY15" i="9"/>
  <c r="BY14" i="9"/>
  <c r="I11" i="10"/>
  <c r="I12" i="10"/>
  <c r="I13" i="10"/>
  <c r="T15" i="10"/>
  <c r="AB15" i="10"/>
  <c r="W13" i="10"/>
  <c r="W11" i="10"/>
  <c r="W12" i="10"/>
  <c r="I68" i="9"/>
  <c r="AE70" i="9"/>
  <c r="BQ31" i="9"/>
  <c r="AZ31" i="9"/>
  <c r="AI31" i="9"/>
  <c r="CD31" i="9"/>
  <c r="Q31" i="9"/>
  <c r="BC211" i="9"/>
  <c r="BC217" i="9"/>
  <c r="BN15" i="9"/>
  <c r="BN14" i="9"/>
  <c r="BN13" i="9"/>
  <c r="O68" i="9"/>
  <c r="R31" i="9"/>
  <c r="BW31" i="9"/>
  <c r="BF31" i="9"/>
  <c r="N31" i="9"/>
  <c r="AG31" i="9"/>
  <c r="BC169" i="9"/>
  <c r="BC163" i="9"/>
  <c r="AJ31" i="9"/>
  <c r="BV13" i="9"/>
  <c r="BV14" i="9"/>
  <c r="BV15" i="9"/>
  <c r="N14" i="9"/>
  <c r="N13" i="9"/>
  <c r="N15" i="9"/>
  <c r="N19" i="9"/>
  <c r="Y13" i="10"/>
  <c r="Y11" i="10"/>
  <c r="Y12" i="10"/>
  <c r="O12" i="10"/>
  <c r="O13" i="10"/>
  <c r="O11" i="10"/>
  <c r="T13" i="10"/>
  <c r="T11" i="10"/>
  <c r="T12" i="10"/>
  <c r="AM13" i="10"/>
  <c r="AM12" i="10"/>
  <c r="AM11" i="10"/>
  <c r="D84" i="9"/>
  <c r="CD86" i="9"/>
  <c r="AH53" i="9"/>
  <c r="BL68" i="9"/>
  <c r="P70" i="9"/>
  <c r="AD72" i="9"/>
  <c r="BA15" i="9"/>
  <c r="BA14" i="9"/>
  <c r="BA13" i="9"/>
  <c r="X19" i="9"/>
  <c r="X14" i="9"/>
  <c r="X21" i="9" s="1"/>
  <c r="X13" i="9"/>
  <c r="X20" i="9" s="1"/>
  <c r="X15" i="9"/>
  <c r="X22" i="9" s="1"/>
  <c r="J72" i="9"/>
  <c r="K13" i="9"/>
  <c r="K20" i="9" s="1"/>
  <c r="K15" i="9"/>
  <c r="K22" i="9" s="1"/>
  <c r="K14" i="9"/>
  <c r="K19" i="9"/>
  <c r="AD14" i="9"/>
  <c r="AD21" i="9" s="1"/>
  <c r="AD19" i="9"/>
  <c r="AD15" i="9"/>
  <c r="AD22" i="9" s="1"/>
  <c r="AD13" i="9"/>
  <c r="AD20" i="9" s="1"/>
  <c r="AC12" i="10"/>
  <c r="AC13" i="10"/>
  <c r="AC11" i="10"/>
  <c r="AJ12" i="10"/>
  <c r="AJ13" i="10"/>
  <c r="AJ11" i="10"/>
  <c r="M15" i="10"/>
  <c r="C15" i="10"/>
  <c r="AL15" i="9"/>
  <c r="AL14" i="9"/>
  <c r="AL13" i="9"/>
  <c r="Z7" i="10"/>
  <c r="AL7" i="10"/>
  <c r="V7" i="10"/>
  <c r="F7" i="10"/>
  <c r="AK7" i="10"/>
  <c r="U7" i="10"/>
  <c r="E7" i="10"/>
  <c r="AJ7" i="10"/>
  <c r="T7" i="10"/>
  <c r="D7" i="10"/>
  <c r="AE7" i="10"/>
  <c r="K7" i="10"/>
  <c r="AD7" i="10"/>
  <c r="J7" i="10"/>
  <c r="AC7" i="10"/>
  <c r="I7" i="10"/>
  <c r="AB7" i="10"/>
  <c r="H7" i="10"/>
  <c r="AA7" i="10"/>
  <c r="G7" i="10"/>
  <c r="Y7" i="10"/>
  <c r="C7" i="10"/>
  <c r="X7" i="10"/>
  <c r="W7" i="10"/>
  <c r="S7" i="10"/>
  <c r="AH7" i="10"/>
  <c r="AG7" i="10"/>
  <c r="AF7" i="10"/>
  <c r="R7" i="10"/>
  <c r="Q7" i="10"/>
  <c r="P7" i="10"/>
  <c r="O7" i="10"/>
  <c r="N7" i="10"/>
  <c r="M7" i="10"/>
  <c r="AM7" i="10"/>
  <c r="L7" i="10"/>
  <c r="AI7" i="10"/>
  <c r="BZ7" i="9"/>
  <c r="BJ7" i="9"/>
  <c r="BY7" i="9"/>
  <c r="BI7" i="9"/>
  <c r="AS7" i="9"/>
  <c r="AS53" i="9" s="1"/>
  <c r="AC7" i="9"/>
  <c r="AC16" i="9" s="1"/>
  <c r="M7" i="9"/>
  <c r="M57" i="9" s="1"/>
  <c r="BV7" i="9"/>
  <c r="BV55" i="9" s="1"/>
  <c r="BF7" i="9"/>
  <c r="BF55" i="9" s="1"/>
  <c r="AP7" i="9"/>
  <c r="Z7" i="9"/>
  <c r="Z16" i="9" s="1"/>
  <c r="J7" i="9"/>
  <c r="J16" i="9" s="1"/>
  <c r="BU7" i="9"/>
  <c r="BU57" i="9" s="1"/>
  <c r="BE7" i="9"/>
  <c r="BE56" i="9" s="1"/>
  <c r="AO7" i="9"/>
  <c r="BS7" i="9"/>
  <c r="BS58" i="9" s="1"/>
  <c r="AY7" i="9"/>
  <c r="AY55" i="9" s="1"/>
  <c r="AF7" i="9"/>
  <c r="N7" i="9"/>
  <c r="D3" i="7"/>
  <c r="BR7" i="9"/>
  <c r="BR58" i="9" s="1"/>
  <c r="AX7" i="9"/>
  <c r="AE7" i="9"/>
  <c r="L7" i="9"/>
  <c r="L16" i="9" s="1"/>
  <c r="BQ7" i="9"/>
  <c r="BQ56" i="9" s="1"/>
  <c r="AW7" i="9"/>
  <c r="AD7" i="9"/>
  <c r="K7" i="9"/>
  <c r="K57" i="9" s="1"/>
  <c r="BP7" i="9"/>
  <c r="AV7" i="9"/>
  <c r="AB7" i="9"/>
  <c r="I7" i="9"/>
  <c r="I53" i="9" s="1"/>
  <c r="BO7" i="9"/>
  <c r="AU7" i="9"/>
  <c r="AA7" i="9"/>
  <c r="H7" i="9"/>
  <c r="CG7" i="9"/>
  <c r="CG57" i="9" s="1"/>
  <c r="BM7" i="9"/>
  <c r="AR7" i="9"/>
  <c r="X7" i="9"/>
  <c r="F7" i="9"/>
  <c r="AM7" i="9"/>
  <c r="AM57" i="9" s="1"/>
  <c r="CF7" i="9"/>
  <c r="CF54" i="9" s="1"/>
  <c r="BL7" i="9"/>
  <c r="AQ7" i="9"/>
  <c r="W7" i="9"/>
  <c r="W54" i="9" s="1"/>
  <c r="E7" i="9"/>
  <c r="CD7" i="9"/>
  <c r="CD54" i="9" s="1"/>
  <c r="U7" i="9"/>
  <c r="CE7" i="9"/>
  <c r="BK7" i="9"/>
  <c r="BK55" i="9" s="1"/>
  <c r="AN7" i="9"/>
  <c r="AN57" i="9" s="1"/>
  <c r="V7" i="9"/>
  <c r="V16" i="9" s="1"/>
  <c r="D7" i="9"/>
  <c r="D16" i="9" s="1"/>
  <c r="BH7" i="9"/>
  <c r="C7" i="9"/>
  <c r="C55" i="9" s="1"/>
  <c r="E221" i="9" s="1"/>
  <c r="CC7" i="9"/>
  <c r="BG7" i="9"/>
  <c r="AL7" i="9"/>
  <c r="AL58" i="9" s="1"/>
  <c r="T7" i="9"/>
  <c r="CA7" i="9"/>
  <c r="CA53" i="9" s="1"/>
  <c r="BC7" i="9"/>
  <c r="BC55" i="9" s="1"/>
  <c r="AJ7" i="9"/>
  <c r="R7" i="9"/>
  <c r="BX7" i="9"/>
  <c r="BX57" i="9" s="1"/>
  <c r="BB7" i="9"/>
  <c r="AI7" i="9"/>
  <c r="Q7" i="9"/>
  <c r="BW7" i="9"/>
  <c r="AZ7" i="9"/>
  <c r="AZ55" i="9" s="1"/>
  <c r="BT7" i="9"/>
  <c r="D10" i="4"/>
  <c r="D18" i="4" s="1"/>
  <c r="BN7" i="9"/>
  <c r="BN56" i="9" s="1"/>
  <c r="BA7" i="9"/>
  <c r="BA55" i="9" s="1"/>
  <c r="O7" i="9"/>
  <c r="O53" i="9" s="1"/>
  <c r="BD7" i="9"/>
  <c r="BD56" i="9" s="1"/>
  <c r="AT7" i="9"/>
  <c r="AH7" i="9"/>
  <c r="G7" i="9"/>
  <c r="D60" i="4"/>
  <c r="AK7" i="9"/>
  <c r="AK55" i="9" s="1"/>
  <c r="CB7" i="9"/>
  <c r="AG7" i="9"/>
  <c r="AG16" i="9" s="1"/>
  <c r="Y7" i="9"/>
  <c r="Y58" i="9" s="1"/>
  <c r="S7" i="9"/>
  <c r="P7" i="9"/>
  <c r="AO31" i="9"/>
  <c r="X31" i="9"/>
  <c r="K31" i="9"/>
  <c r="AE31" i="9"/>
  <c r="AW31" i="9"/>
  <c r="AK31" i="9"/>
  <c r="CC15" i="9"/>
  <c r="CC14" i="9"/>
  <c r="CC13" i="9"/>
  <c r="AZ15" i="9"/>
  <c r="AZ14" i="9"/>
  <c r="AZ13" i="9"/>
  <c r="P56" i="9"/>
  <c r="CE15" i="9"/>
  <c r="CE14" i="9"/>
  <c r="CE13" i="9"/>
  <c r="M81" i="9"/>
  <c r="BH54" i="9"/>
  <c r="Y19" i="9"/>
  <c r="Y14" i="9"/>
  <c r="Y21" i="9" s="1"/>
  <c r="Y13" i="9"/>
  <c r="Y20" i="9" s="1"/>
  <c r="Y15" i="9"/>
  <c r="Y22" i="9" s="1"/>
  <c r="BG67" i="9"/>
  <c r="H82" i="9"/>
  <c r="BC82" i="9"/>
  <c r="AA13" i="9"/>
  <c r="AA15" i="9"/>
  <c r="AA14" i="9"/>
  <c r="AA21" i="9" s="1"/>
  <c r="AA19" i="9"/>
  <c r="AT14" i="9"/>
  <c r="AT15" i="9"/>
  <c r="AT13" i="9"/>
  <c r="S15" i="10"/>
  <c r="BR67" i="9"/>
  <c r="V82" i="9"/>
  <c r="P14" i="9"/>
  <c r="P21" i="9" s="1"/>
  <c r="P19" i="9"/>
  <c r="P13" i="9"/>
  <c r="P20" i="9" s="1"/>
  <c r="P15" i="9"/>
  <c r="P22" i="9" s="1"/>
  <c r="T69" i="9"/>
  <c r="T16" i="9"/>
  <c r="I28" i="10"/>
  <c r="I29" i="10" s="1"/>
  <c r="BW8" i="9"/>
  <c r="BG8" i="9"/>
  <c r="AQ8" i="9"/>
  <c r="AQ83" i="9" s="1"/>
  <c r="AA8" i="9"/>
  <c r="K8" i="9"/>
  <c r="BV8" i="9"/>
  <c r="BV85" i="9" s="1"/>
  <c r="BF8" i="9"/>
  <c r="AP8" i="9"/>
  <c r="Z8" i="9"/>
  <c r="J8" i="9"/>
  <c r="J81" i="9" s="1"/>
  <c r="BU8" i="9"/>
  <c r="BU83" i="9" s="1"/>
  <c r="BE8" i="9"/>
  <c r="BE84" i="9" s="1"/>
  <c r="BT8" i="9"/>
  <c r="BD8" i="9"/>
  <c r="AN8" i="9"/>
  <c r="AN85" i="9" s="1"/>
  <c r="X8" i="9"/>
  <c r="H8" i="9"/>
  <c r="H81" i="9" s="1"/>
  <c r="BS8" i="9"/>
  <c r="BC8" i="9"/>
  <c r="BC84" i="9" s="1"/>
  <c r="AM8" i="9"/>
  <c r="AM86" i="9" s="1"/>
  <c r="W8" i="9"/>
  <c r="W84" i="9" s="1"/>
  <c r="G8" i="9"/>
  <c r="BR8" i="9"/>
  <c r="BB8" i="9"/>
  <c r="BB86" i="9" s="1"/>
  <c r="AL8" i="9"/>
  <c r="V8" i="9"/>
  <c r="V85" i="9" s="1"/>
  <c r="F8" i="9"/>
  <c r="F86" i="9" s="1"/>
  <c r="CE8" i="9"/>
  <c r="BI8" i="9"/>
  <c r="BI83" i="9" s="1"/>
  <c r="AH8" i="9"/>
  <c r="AH82" i="9" s="1"/>
  <c r="M8" i="9"/>
  <c r="D89" i="2"/>
  <c r="D9" i="4" s="1"/>
  <c r="CD8" i="9"/>
  <c r="CD81" i="9" s="1"/>
  <c r="BH8" i="9"/>
  <c r="BH83" i="9" s="1"/>
  <c r="AG8" i="9"/>
  <c r="L8" i="9"/>
  <c r="CC8" i="9"/>
  <c r="BA8" i="9"/>
  <c r="AF8" i="9"/>
  <c r="I8" i="9"/>
  <c r="CB8" i="9"/>
  <c r="AZ8" i="9"/>
  <c r="AE8" i="9"/>
  <c r="AE83" i="9" s="1"/>
  <c r="E8" i="9"/>
  <c r="E84" i="9" s="1"/>
  <c r="CA8" i="9"/>
  <c r="CA83" i="9" s="1"/>
  <c r="AY8" i="9"/>
  <c r="AY83" i="9" s="1"/>
  <c r="AD8" i="9"/>
  <c r="D8" i="9"/>
  <c r="D85" i="9" s="1"/>
  <c r="BY8" i="9"/>
  <c r="AW8" i="9"/>
  <c r="AB8" i="9"/>
  <c r="T8" i="9"/>
  <c r="BX8" i="9"/>
  <c r="AV8" i="9"/>
  <c r="Y8" i="9"/>
  <c r="AT8" i="9"/>
  <c r="BQ8" i="9"/>
  <c r="AU8" i="9"/>
  <c r="AU85" i="9" s="1"/>
  <c r="U8" i="9"/>
  <c r="U85" i="9" s="1"/>
  <c r="BP8" i="9"/>
  <c r="BO8" i="9"/>
  <c r="BO81" i="9" s="1"/>
  <c r="AS8" i="9"/>
  <c r="S8" i="9"/>
  <c r="BM8" i="9"/>
  <c r="BM85" i="9" s="1"/>
  <c r="AO8" i="9"/>
  <c r="AO86" i="9" s="1"/>
  <c r="Q8" i="9"/>
  <c r="BL8" i="9"/>
  <c r="AK8" i="9"/>
  <c r="AK86" i="9" s="1"/>
  <c r="P8" i="9"/>
  <c r="P84" i="9" s="1"/>
  <c r="CG8" i="9"/>
  <c r="BJ8" i="9"/>
  <c r="CF8" i="9"/>
  <c r="BK8" i="9"/>
  <c r="BZ8" i="9"/>
  <c r="BZ85" i="9" s="1"/>
  <c r="BN8" i="9"/>
  <c r="BN83" i="9" s="1"/>
  <c r="AX8" i="9"/>
  <c r="AJ8" i="9"/>
  <c r="AJ85" i="9" s="1"/>
  <c r="AR8" i="9"/>
  <c r="AI8" i="9"/>
  <c r="AC8" i="9"/>
  <c r="R8" i="9"/>
  <c r="N8" i="9"/>
  <c r="N82" i="9" s="1"/>
  <c r="O8" i="9"/>
  <c r="C8" i="9"/>
  <c r="O69" i="9"/>
  <c r="BG31" i="9"/>
  <c r="BS31" i="9"/>
  <c r="BB31" i="9"/>
  <c r="AB31" i="9"/>
  <c r="AV31" i="9"/>
  <c r="BM31" i="9"/>
  <c r="AZ18" i="9"/>
  <c r="AZ26" i="9" s="1"/>
  <c r="AZ27" i="9" s="1"/>
  <c r="CC82" i="9"/>
  <c r="BM57" i="9"/>
  <c r="AW58" i="9"/>
  <c r="AG58" i="9"/>
  <c r="AV86" i="9"/>
  <c r="D65" i="7"/>
  <c r="D68" i="7"/>
  <c r="BC14" i="9"/>
  <c r="BC13" i="9"/>
  <c r="BC15" i="9"/>
  <c r="AB56" i="9"/>
  <c r="AB68" i="9"/>
  <c r="L83" i="9"/>
  <c r="C15" i="9"/>
  <c r="C19" i="9"/>
  <c r="C14" i="9"/>
  <c r="C21" i="9" s="1"/>
  <c r="C13" i="9"/>
  <c r="K68" i="9"/>
  <c r="BV84" i="9"/>
  <c r="H58" i="9"/>
  <c r="H83" i="9"/>
  <c r="D12" i="3"/>
  <c r="D10" i="3"/>
  <c r="D9" i="3"/>
  <c r="AQ13" i="9"/>
  <c r="AQ14" i="9"/>
  <c r="AQ15" i="9"/>
  <c r="BJ15" i="9"/>
  <c r="BJ14" i="9"/>
  <c r="BJ13" i="9"/>
  <c r="L13" i="10"/>
  <c r="L12" i="10"/>
  <c r="L11" i="10"/>
  <c r="AC15" i="10"/>
  <c r="AI15" i="10"/>
  <c r="V83" i="9"/>
  <c r="D86" i="6"/>
  <c r="D79" i="6"/>
  <c r="D83" i="6" s="1"/>
  <c r="D84" i="6" s="1"/>
  <c r="BC188" i="9"/>
  <c r="BC182" i="9"/>
  <c r="CE18" i="9"/>
  <c r="CE26" i="9" s="1"/>
  <c r="CE27" i="9" s="1"/>
  <c r="AE17" i="9"/>
  <c r="AE72" i="9"/>
  <c r="AP31" i="9"/>
  <c r="BY31" i="9"/>
  <c r="AS31" i="9"/>
  <c r="BN31" i="9"/>
  <c r="CC31" i="9"/>
  <c r="B80" i="2" l="1"/>
  <c r="D11" i="4"/>
  <c r="W72" i="9"/>
  <c r="AW69" i="9"/>
  <c r="D69" i="9"/>
  <c r="AL57" i="9"/>
  <c r="AO72" i="9"/>
  <c r="I55" i="9"/>
  <c r="AM67" i="9"/>
  <c r="O58" i="9"/>
  <c r="K58" i="9"/>
  <c r="BB70" i="9"/>
  <c r="U83" i="9"/>
  <c r="C54" i="9"/>
  <c r="D221" i="9" s="1"/>
  <c r="O54" i="9"/>
  <c r="I69" i="9"/>
  <c r="O57" i="9"/>
  <c r="BO67" i="9"/>
  <c r="AL18" i="9"/>
  <c r="AL26" i="9" s="1"/>
  <c r="AL27" i="9" s="1"/>
  <c r="AE71" i="9"/>
  <c r="BU82" i="9"/>
  <c r="P85" i="9"/>
  <c r="M72" i="9"/>
  <c r="D17" i="9"/>
  <c r="CA57" i="9"/>
  <c r="BG71" i="9"/>
  <c r="BU18" i="9"/>
  <c r="BU26" i="9" s="1"/>
  <c r="BU27" i="9" s="1"/>
  <c r="V69" i="9"/>
  <c r="BU69" i="9"/>
  <c r="E9" i="9"/>
  <c r="H9" i="9"/>
  <c r="H8" i="10"/>
  <c r="P8" i="10"/>
  <c r="P72" i="9"/>
  <c r="AN86" i="9"/>
  <c r="AM82" i="9"/>
  <c r="BO70" i="9"/>
  <c r="BU55" i="9"/>
  <c r="AL70" i="9"/>
  <c r="AO18" i="9"/>
  <c r="AO26" i="9" s="1"/>
  <c r="AO27" i="9" s="1"/>
  <c r="AG9" i="9"/>
  <c r="AG68" i="9" s="1"/>
  <c r="AF9" i="9"/>
  <c r="AR9" i="9"/>
  <c r="AX9" i="9"/>
  <c r="AX69" i="9" s="1"/>
  <c r="AK9" i="9"/>
  <c r="AN9" i="9"/>
  <c r="AN72" i="9" s="1"/>
  <c r="I8" i="10"/>
  <c r="Q8" i="10"/>
  <c r="P17" i="9"/>
  <c r="AY53" i="9"/>
  <c r="I17" i="9"/>
  <c r="M18" i="9"/>
  <c r="M26" i="9" s="1"/>
  <c r="M27" i="9" s="1"/>
  <c r="V81" i="9"/>
  <c r="CA81" i="9"/>
  <c r="F81" i="9"/>
  <c r="F82" i="9"/>
  <c r="Y70" i="9"/>
  <c r="BE83" i="9"/>
  <c r="BO68" i="9"/>
  <c r="W17" i="9"/>
  <c r="BX69" i="9"/>
  <c r="J71" i="9"/>
  <c r="AC9" i="9"/>
  <c r="AC18" i="9" s="1"/>
  <c r="AC26" i="9" s="1"/>
  <c r="AC27" i="9" s="1"/>
  <c r="L9" i="9"/>
  <c r="AT9" i="9"/>
  <c r="AT68" i="9" s="1"/>
  <c r="S9" i="9"/>
  <c r="S69" i="9" s="1"/>
  <c r="CG9" i="9"/>
  <c r="CG18" i="9" s="1"/>
  <c r="W8" i="10"/>
  <c r="AH8" i="10"/>
  <c r="T8" i="10"/>
  <c r="X68" i="9"/>
  <c r="N81" i="9"/>
  <c r="BO18" i="9"/>
  <c r="BO26" i="9" s="1"/>
  <c r="BO27" i="9" s="1"/>
  <c r="BC69" i="9"/>
  <c r="M70" i="9"/>
  <c r="Z67" i="9"/>
  <c r="BF9" i="9"/>
  <c r="AH9" i="9"/>
  <c r="BV9" i="9"/>
  <c r="BV70" i="9" s="1"/>
  <c r="AI9" i="9"/>
  <c r="AI18" i="9" s="1"/>
  <c r="AI26" i="9" s="1"/>
  <c r="AI27" i="9" s="1"/>
  <c r="F9" i="9"/>
  <c r="S8" i="10"/>
  <c r="K8" i="10"/>
  <c r="AJ8" i="10"/>
  <c r="AM84" i="9"/>
  <c r="BK81" i="9"/>
  <c r="BK84" i="9"/>
  <c r="BK86" i="9"/>
  <c r="BK83" i="9"/>
  <c r="BK82" i="9"/>
  <c r="BK85" i="9"/>
  <c r="AL81" i="9"/>
  <c r="AL85" i="9"/>
  <c r="AL84" i="9"/>
  <c r="AL82" i="9"/>
  <c r="AL86" i="9"/>
  <c r="AP82" i="9"/>
  <c r="AP86" i="9"/>
  <c r="AP81" i="9"/>
  <c r="AP83" i="9"/>
  <c r="AP85" i="9"/>
  <c r="BJ86" i="9"/>
  <c r="BJ85" i="9"/>
  <c r="BJ81" i="9"/>
  <c r="BJ82" i="9"/>
  <c r="BJ84" i="9"/>
  <c r="BJ83" i="9"/>
  <c r="Y86" i="9"/>
  <c r="Y82" i="9"/>
  <c r="Y85" i="9"/>
  <c r="Y81" i="9"/>
  <c r="Y84" i="9"/>
  <c r="Y83" i="9"/>
  <c r="AF82" i="9"/>
  <c r="AF85" i="9"/>
  <c r="AF86" i="9"/>
  <c r="AF84" i="9"/>
  <c r="AF83" i="9"/>
  <c r="AF81" i="9"/>
  <c r="BR84" i="9"/>
  <c r="BR82" i="9"/>
  <c r="BR85" i="9"/>
  <c r="BR83" i="9"/>
  <c r="BR86" i="9"/>
  <c r="BR81" i="9"/>
  <c r="BF81" i="9"/>
  <c r="BF85" i="9"/>
  <c r="BF83" i="9"/>
  <c r="BF82" i="9"/>
  <c r="BF86" i="9"/>
  <c r="BF84" i="9"/>
  <c r="CF85" i="9"/>
  <c r="CF84" i="9"/>
  <c r="CF86" i="9"/>
  <c r="CF83" i="9"/>
  <c r="CF81" i="9"/>
  <c r="CF82" i="9"/>
  <c r="AT84" i="9"/>
  <c r="AT82" i="9"/>
  <c r="AT81" i="9"/>
  <c r="AT86" i="9"/>
  <c r="AT83" i="9"/>
  <c r="AT85" i="9"/>
  <c r="K21" i="9"/>
  <c r="AF20" i="9"/>
  <c r="BQ85" i="9"/>
  <c r="BQ84" i="9"/>
  <c r="BQ86" i="9"/>
  <c r="BQ81" i="9"/>
  <c r="BQ82" i="9"/>
  <c r="BQ83" i="9"/>
  <c r="Z82" i="9"/>
  <c r="Z83" i="9"/>
  <c r="Z81" i="9"/>
  <c r="Z84" i="9"/>
  <c r="Z86" i="9"/>
  <c r="Z85" i="9"/>
  <c r="BB83" i="9"/>
  <c r="BB81" i="9"/>
  <c r="BB85" i="9"/>
  <c r="BB84" i="9"/>
  <c r="BB82" i="9"/>
  <c r="AL83" i="9"/>
  <c r="BI54" i="9"/>
  <c r="BI58" i="9"/>
  <c r="BI53" i="9"/>
  <c r="BI57" i="9"/>
  <c r="BI55" i="9"/>
  <c r="BI56" i="9"/>
  <c r="AG55" i="9"/>
  <c r="Z21" i="9"/>
  <c r="F21" i="9"/>
  <c r="CB81" i="9"/>
  <c r="CB84" i="9"/>
  <c r="CB86" i="9"/>
  <c r="CB83" i="9"/>
  <c r="CB82" i="9"/>
  <c r="CB85" i="9"/>
  <c r="AN53" i="9"/>
  <c r="AN58" i="9"/>
  <c r="AN54" i="9"/>
  <c r="AN55" i="9"/>
  <c r="AN56" i="9"/>
  <c r="AI57" i="9"/>
  <c r="AI56" i="9"/>
  <c r="AI55" i="9"/>
  <c r="AI53" i="9"/>
  <c r="AI54" i="9"/>
  <c r="AI58" i="9"/>
  <c r="N54" i="9"/>
  <c r="N16" i="9"/>
  <c r="N55" i="9"/>
  <c r="N57" i="9"/>
  <c r="N56" i="9"/>
  <c r="N58" i="9"/>
  <c r="CB58" i="9"/>
  <c r="CB55" i="9"/>
  <c r="CB53" i="9"/>
  <c r="CB56" i="9"/>
  <c r="CB57" i="9"/>
  <c r="CB54" i="9"/>
  <c r="AU54" i="9"/>
  <c r="AU58" i="9"/>
  <c r="AU55" i="9"/>
  <c r="AU57" i="9"/>
  <c r="AU56" i="9"/>
  <c r="AU53" i="9"/>
  <c r="Z22" i="9"/>
  <c r="I85" i="9"/>
  <c r="I81" i="9"/>
  <c r="I84" i="9"/>
  <c r="I86" i="9"/>
  <c r="I83" i="9"/>
  <c r="I82" i="9"/>
  <c r="Q55" i="9"/>
  <c r="Q57" i="9"/>
  <c r="Q53" i="9"/>
  <c r="Q58" i="9"/>
  <c r="Q56" i="9"/>
  <c r="Q54" i="9"/>
  <c r="Q16" i="9"/>
  <c r="H53" i="9"/>
  <c r="H55" i="9"/>
  <c r="H57" i="9"/>
  <c r="H56" i="9"/>
  <c r="H16" i="9"/>
  <c r="H54" i="9"/>
  <c r="AG56" i="9"/>
  <c r="AG57" i="9"/>
  <c r="BK57" i="9"/>
  <c r="BK56" i="9"/>
  <c r="BK58" i="9"/>
  <c r="BK54" i="9"/>
  <c r="BK53" i="9"/>
  <c r="AA53" i="9"/>
  <c r="AA16" i="9"/>
  <c r="AA55" i="9"/>
  <c r="AA58" i="9"/>
  <c r="AA54" i="9"/>
  <c r="AA56" i="9"/>
  <c r="AA57" i="9"/>
  <c r="BY56" i="9"/>
  <c r="BY54" i="9"/>
  <c r="BY58" i="9"/>
  <c r="BY53" i="9"/>
  <c r="BY55" i="9"/>
  <c r="BY57" i="9"/>
  <c r="N53" i="9"/>
  <c r="AB20" i="9"/>
  <c r="AP84" i="9"/>
  <c r="AG70" i="9"/>
  <c r="AG69" i="9"/>
  <c r="AG71" i="9"/>
  <c r="AG67" i="9"/>
  <c r="AG18" i="9"/>
  <c r="AG26" i="9" s="1"/>
  <c r="AG27" i="9" s="1"/>
  <c r="AG72" i="9"/>
  <c r="AG17" i="9"/>
  <c r="AF17" i="9"/>
  <c r="AF70" i="9"/>
  <c r="AF71" i="9"/>
  <c r="AF69" i="9"/>
  <c r="AF68" i="9"/>
  <c r="AF72" i="9"/>
  <c r="AF18" i="9"/>
  <c r="AF26" i="9" s="1"/>
  <c r="AF27" i="9" s="1"/>
  <c r="AF67" i="9"/>
  <c r="AR72" i="9"/>
  <c r="AR68" i="9"/>
  <c r="AR67" i="9"/>
  <c r="AR71" i="9"/>
  <c r="AR70" i="9"/>
  <c r="AR69" i="9"/>
  <c r="AR18" i="9"/>
  <c r="AR26" i="9" s="1"/>
  <c r="AR27" i="9" s="1"/>
  <c r="AX70" i="9"/>
  <c r="AX68" i="9"/>
  <c r="AX67" i="9"/>
  <c r="AX72" i="9"/>
  <c r="AX18" i="9"/>
  <c r="AX26" i="9" s="1"/>
  <c r="AX27" i="9" s="1"/>
  <c r="AX71" i="9"/>
  <c r="AK72" i="9"/>
  <c r="AK67" i="9"/>
  <c r="AK69" i="9"/>
  <c r="AK68" i="9"/>
  <c r="AK18" i="9"/>
  <c r="AK26" i="9" s="1"/>
  <c r="AK27" i="9" s="1"/>
  <c r="AK71" i="9"/>
  <c r="AK70" i="9"/>
  <c r="AN67" i="9"/>
  <c r="AS69" i="9"/>
  <c r="AS68" i="9"/>
  <c r="AS71" i="9"/>
  <c r="AS72" i="9"/>
  <c r="AS67" i="9"/>
  <c r="AS70" i="9"/>
  <c r="AS18" i="9"/>
  <c r="AS26" i="9" s="1"/>
  <c r="AS27" i="9" s="1"/>
  <c r="BH70" i="9"/>
  <c r="BH18" i="9"/>
  <c r="BH26" i="9" s="1"/>
  <c r="BH27" i="9" s="1"/>
  <c r="BH72" i="9"/>
  <c r="BH69" i="9"/>
  <c r="BH68" i="9"/>
  <c r="BH71" i="9"/>
  <c r="BH67" i="9"/>
  <c r="BN69" i="9"/>
  <c r="BN67" i="9"/>
  <c r="BN72" i="9"/>
  <c r="BN68" i="9"/>
  <c r="BN71" i="9"/>
  <c r="BN70" i="9"/>
  <c r="BN18" i="9"/>
  <c r="BN26" i="9" s="1"/>
  <c r="BN27" i="9" s="1"/>
  <c r="BZ70" i="9"/>
  <c r="BZ69" i="9"/>
  <c r="BZ18" i="9"/>
  <c r="BZ26" i="9" s="1"/>
  <c r="BZ27" i="9" s="1"/>
  <c r="BZ68" i="9"/>
  <c r="BZ71" i="9"/>
  <c r="BZ67" i="9"/>
  <c r="BZ72" i="9"/>
  <c r="BA68" i="9"/>
  <c r="BA70" i="9"/>
  <c r="BA69" i="9"/>
  <c r="BA67" i="9"/>
  <c r="BA72" i="9"/>
  <c r="BA71" i="9"/>
  <c r="BA18" i="9"/>
  <c r="BA26" i="9" s="1"/>
  <c r="BA27" i="9" s="1"/>
  <c r="BD71" i="9"/>
  <c r="BD70" i="9"/>
  <c r="BD72" i="9"/>
  <c r="BD68" i="9"/>
  <c r="BD18" i="9"/>
  <c r="BD26" i="9" s="1"/>
  <c r="BD27" i="9" s="1"/>
  <c r="BD67" i="9"/>
  <c r="BD69" i="9"/>
  <c r="AH22" i="9"/>
  <c r="CE54" i="9"/>
  <c r="CE58" i="9"/>
  <c r="CE57" i="9"/>
  <c r="CE55" i="9"/>
  <c r="CE56" i="9"/>
  <c r="BE69" i="9"/>
  <c r="BE68" i="9"/>
  <c r="BE70" i="9"/>
  <c r="BE18" i="9"/>
  <c r="BE26" i="9" s="1"/>
  <c r="BE27" i="9" s="1"/>
  <c r="CG83" i="9"/>
  <c r="CG81" i="9"/>
  <c r="CG82" i="9"/>
  <c r="CG85" i="9"/>
  <c r="AV84" i="9"/>
  <c r="AV82" i="9"/>
  <c r="BA84" i="9"/>
  <c r="BA81" i="9"/>
  <c r="BA86" i="9"/>
  <c r="BA82" i="9"/>
  <c r="BA85" i="9"/>
  <c r="BA83" i="9"/>
  <c r="G81" i="9"/>
  <c r="G84" i="9"/>
  <c r="G82" i="9"/>
  <c r="G83" i="9"/>
  <c r="G85" i="9"/>
  <c r="G86" i="9"/>
  <c r="BV81" i="9"/>
  <c r="BV82" i="9"/>
  <c r="BV83" i="9"/>
  <c r="J82" i="9"/>
  <c r="BX56" i="9"/>
  <c r="BX53" i="9"/>
  <c r="BX55" i="9"/>
  <c r="BX58" i="9"/>
  <c r="U58" i="9"/>
  <c r="U57" i="9"/>
  <c r="U56" i="9"/>
  <c r="U55" i="9"/>
  <c r="U54" i="9"/>
  <c r="U53" i="9"/>
  <c r="U16" i="9"/>
  <c r="BO55" i="9"/>
  <c r="BO56" i="9"/>
  <c r="BO57" i="9"/>
  <c r="BO58" i="9"/>
  <c r="BO54" i="9"/>
  <c r="AY57" i="9"/>
  <c r="AY56" i="9"/>
  <c r="AY54" i="9"/>
  <c r="AY58" i="9"/>
  <c r="BZ58" i="9"/>
  <c r="BZ57" i="9"/>
  <c r="BZ56" i="9"/>
  <c r="BZ53" i="9"/>
  <c r="BR54" i="9"/>
  <c r="BO85" i="9"/>
  <c r="N22" i="9"/>
  <c r="W57" i="9"/>
  <c r="P86" i="9"/>
  <c r="BK67" i="9"/>
  <c r="AC70" i="9"/>
  <c r="AC71" i="9"/>
  <c r="AC69" i="9"/>
  <c r="AC17" i="9"/>
  <c r="AC68" i="9"/>
  <c r="AC72" i="9"/>
  <c r="AT71" i="9"/>
  <c r="AT69" i="9"/>
  <c r="AT18" i="9"/>
  <c r="AT26" i="9" s="1"/>
  <c r="AT27" i="9" s="1"/>
  <c r="AT72" i="9"/>
  <c r="S17" i="9"/>
  <c r="S71" i="9"/>
  <c r="S70" i="9"/>
  <c r="S72" i="9"/>
  <c r="S68" i="9"/>
  <c r="S67" i="9"/>
  <c r="S18" i="9"/>
  <c r="S26" i="9" s="1"/>
  <c r="S27" i="9" s="1"/>
  <c r="CG68" i="9"/>
  <c r="CG67" i="9"/>
  <c r="CG70" i="9"/>
  <c r="CG69" i="9"/>
  <c r="CG72" i="9"/>
  <c r="CG71" i="9"/>
  <c r="J18" i="9"/>
  <c r="J26" i="9" s="1"/>
  <c r="J27" i="9" s="1"/>
  <c r="BD57" i="9"/>
  <c r="AV67" i="9"/>
  <c r="P83" i="9"/>
  <c r="P82" i="9"/>
  <c r="BX82" i="9"/>
  <c r="BX86" i="9"/>
  <c r="BX81" i="9"/>
  <c r="CC85" i="9"/>
  <c r="CC84" i="9"/>
  <c r="CC86" i="9"/>
  <c r="CC83" i="9"/>
  <c r="CC81" i="9"/>
  <c r="W83" i="9"/>
  <c r="W82" i="9"/>
  <c r="W86" i="9"/>
  <c r="W85" i="9"/>
  <c r="W81" i="9"/>
  <c r="K86" i="9"/>
  <c r="K84" i="9"/>
  <c r="R53" i="9"/>
  <c r="R54" i="9"/>
  <c r="R58" i="9"/>
  <c r="R16" i="9"/>
  <c r="R57" i="9"/>
  <c r="R56" i="9"/>
  <c r="R55" i="9"/>
  <c r="CD57" i="9"/>
  <c r="CD56" i="9"/>
  <c r="I16" i="9"/>
  <c r="I57" i="9"/>
  <c r="I58" i="9"/>
  <c r="I54" i="9"/>
  <c r="BS57" i="9"/>
  <c r="BS54" i="9"/>
  <c r="BS53" i="9"/>
  <c r="BS56" i="9"/>
  <c r="D55" i="9"/>
  <c r="N20" i="9"/>
  <c r="BK18" i="9"/>
  <c r="BK26" i="9" s="1"/>
  <c r="BK27" i="9" s="1"/>
  <c r="BF70" i="9"/>
  <c r="BF72" i="9"/>
  <c r="BF67" i="9"/>
  <c r="BV69" i="9"/>
  <c r="BV72" i="9"/>
  <c r="BV18" i="9"/>
  <c r="BV26" i="9" s="1"/>
  <c r="BV27" i="9" s="1"/>
  <c r="BV71" i="9"/>
  <c r="AI67" i="9"/>
  <c r="F69" i="9"/>
  <c r="F72" i="9"/>
  <c r="F71" i="9"/>
  <c r="F18" i="9"/>
  <c r="F26" i="9" s="1"/>
  <c r="F27" i="9" s="1"/>
  <c r="F17" i="9"/>
  <c r="F68" i="9"/>
  <c r="BV68" i="9"/>
  <c r="AV83" i="9"/>
  <c r="R21" i="9"/>
  <c r="M21" i="9"/>
  <c r="BX85" i="9"/>
  <c r="BC71" i="9"/>
  <c r="D57" i="9"/>
  <c r="BS55" i="9"/>
  <c r="C86" i="9"/>
  <c r="T221" i="9" s="1"/>
  <c r="C84" i="9"/>
  <c r="R221" i="9" s="1"/>
  <c r="C83" i="9"/>
  <c r="Q221" i="9" s="1"/>
  <c r="C82" i="9"/>
  <c r="P221" i="9" s="1"/>
  <c r="C85" i="9"/>
  <c r="S221" i="9" s="1"/>
  <c r="C81" i="9"/>
  <c r="O221" i="9" s="1"/>
  <c r="AK84" i="9"/>
  <c r="AK83" i="9"/>
  <c r="AK82" i="9"/>
  <c r="AK85" i="9"/>
  <c r="AK81" i="9"/>
  <c r="T86" i="9"/>
  <c r="T85" i="9"/>
  <c r="T84" i="9"/>
  <c r="T81" i="9"/>
  <c r="T82" i="9"/>
  <c r="T83" i="9"/>
  <c r="L81" i="9"/>
  <c r="L82" i="9"/>
  <c r="L85" i="9"/>
  <c r="L86" i="9"/>
  <c r="L84" i="9"/>
  <c r="AA83" i="9"/>
  <c r="AA82" i="9"/>
  <c r="AA86" i="9"/>
  <c r="AA85" i="9"/>
  <c r="G58" i="9"/>
  <c r="G57" i="9"/>
  <c r="G54" i="9"/>
  <c r="G16" i="9"/>
  <c r="G53" i="9"/>
  <c r="G56" i="9"/>
  <c r="AJ53" i="9"/>
  <c r="AJ54" i="9"/>
  <c r="AJ58" i="9"/>
  <c r="AJ57" i="9"/>
  <c r="AJ56" i="9"/>
  <c r="AJ55" i="9"/>
  <c r="E55" i="9"/>
  <c r="E54" i="9"/>
  <c r="E57" i="9"/>
  <c r="E56" i="9"/>
  <c r="E58" i="9"/>
  <c r="E16" i="9"/>
  <c r="E53" i="9"/>
  <c r="AB53" i="9"/>
  <c r="AB16" i="9"/>
  <c r="AB58" i="9"/>
  <c r="AB57" i="9"/>
  <c r="AB55" i="9"/>
  <c r="AO53" i="9"/>
  <c r="AO57" i="9"/>
  <c r="AO55" i="9"/>
  <c r="AO54" i="9"/>
  <c r="AO58" i="9"/>
  <c r="N21" i="9"/>
  <c r="AV85" i="9"/>
  <c r="BI72" i="9"/>
  <c r="BI67" i="9"/>
  <c r="BI71" i="9"/>
  <c r="BI70" i="9"/>
  <c r="BI68" i="9"/>
  <c r="BI69" i="9"/>
  <c r="BJ72" i="9"/>
  <c r="BJ71" i="9"/>
  <c r="BJ68" i="9"/>
  <c r="BJ67" i="9"/>
  <c r="BJ70" i="9"/>
  <c r="BJ69" i="9"/>
  <c r="BJ18" i="9"/>
  <c r="BJ26" i="9" s="1"/>
  <c r="BJ27" i="9" s="1"/>
  <c r="Y68" i="9"/>
  <c r="Y72" i="9"/>
  <c r="AY18" i="9"/>
  <c r="AY26" i="9" s="1"/>
  <c r="AY27" i="9" s="1"/>
  <c r="AY68" i="9"/>
  <c r="AY69" i="9"/>
  <c r="AY67" i="9"/>
  <c r="AY70" i="9"/>
  <c r="V70" i="9"/>
  <c r="V68" i="9"/>
  <c r="V17" i="9"/>
  <c r="V18" i="9"/>
  <c r="V26" i="9" s="1"/>
  <c r="V27" i="9" s="1"/>
  <c r="V67" i="9"/>
  <c r="R22" i="9"/>
  <c r="AY71" i="9"/>
  <c r="BF18" i="9"/>
  <c r="BF26" i="9" s="1"/>
  <c r="BF27" i="9" s="1"/>
  <c r="M20" i="9"/>
  <c r="E83" i="9"/>
  <c r="AM83" i="9"/>
  <c r="O81" i="9"/>
  <c r="O84" i="9"/>
  <c r="O82" i="9"/>
  <c r="O83" i="9"/>
  <c r="O85" i="9"/>
  <c r="BL82" i="9"/>
  <c r="BL85" i="9"/>
  <c r="BL86" i="9"/>
  <c r="BL84" i="9"/>
  <c r="BL83" i="9"/>
  <c r="BL81" i="9"/>
  <c r="AB82" i="9"/>
  <c r="AB81" i="9"/>
  <c r="AB84" i="9"/>
  <c r="AB83" i="9"/>
  <c r="AB85" i="9"/>
  <c r="AG84" i="9"/>
  <c r="AG82" i="9"/>
  <c r="AG85" i="9"/>
  <c r="AG83" i="9"/>
  <c r="AG86" i="9"/>
  <c r="AG81" i="9"/>
  <c r="BC81" i="9"/>
  <c r="BC85" i="9"/>
  <c r="BC83" i="9"/>
  <c r="BC86" i="9"/>
  <c r="AQ81" i="9"/>
  <c r="AQ82" i="9"/>
  <c r="AQ86" i="9"/>
  <c r="AQ84" i="9"/>
  <c r="AQ85" i="9"/>
  <c r="AH16" i="9"/>
  <c r="AH58" i="9"/>
  <c r="AH57" i="9"/>
  <c r="AH56" i="9"/>
  <c r="AH54" i="9"/>
  <c r="AH55" i="9"/>
  <c r="BC57" i="9"/>
  <c r="BC54" i="9"/>
  <c r="W58" i="9"/>
  <c r="W56" i="9"/>
  <c r="W55" i="9"/>
  <c r="AV58" i="9"/>
  <c r="AV57" i="9"/>
  <c r="AV55" i="9"/>
  <c r="AV53" i="9"/>
  <c r="AV56" i="9"/>
  <c r="AV54" i="9"/>
  <c r="BE55" i="9"/>
  <c r="BE53" i="9"/>
  <c r="BU67" i="9"/>
  <c r="BU72" i="9"/>
  <c r="BU70" i="9"/>
  <c r="AO71" i="9"/>
  <c r="AO69" i="9"/>
  <c r="AO70" i="9"/>
  <c r="AU72" i="9"/>
  <c r="AU71" i="9"/>
  <c r="AU70" i="9"/>
  <c r="AU69" i="9"/>
  <c r="AU68" i="9"/>
  <c r="AU18" i="9"/>
  <c r="AU26" i="9" s="1"/>
  <c r="AU27" i="9" s="1"/>
  <c r="AL71" i="9"/>
  <c r="AL67" i="9"/>
  <c r="AO67" i="9"/>
  <c r="BE54" i="9"/>
  <c r="V86" i="9"/>
  <c r="AC22" i="9"/>
  <c r="BV67" i="9"/>
  <c r="BO71" i="9"/>
  <c r="AB54" i="9"/>
  <c r="E68" i="9"/>
  <c r="BC58" i="9"/>
  <c r="G55" i="9"/>
  <c r="BP57" i="9"/>
  <c r="BP56" i="9"/>
  <c r="BP55" i="9"/>
  <c r="BP54" i="9"/>
  <c r="BP53" i="9"/>
  <c r="K18" i="9"/>
  <c r="K26" i="9" s="1"/>
  <c r="K27" i="9" s="1"/>
  <c r="K72" i="9"/>
  <c r="K69" i="9"/>
  <c r="K17" i="9"/>
  <c r="K71" i="9"/>
  <c r="K70" i="9"/>
  <c r="N70" i="9"/>
  <c r="N72" i="9"/>
  <c r="N69" i="9"/>
  <c r="N71" i="9"/>
  <c r="N17" i="9"/>
  <c r="N68" i="9"/>
  <c r="N67" i="9"/>
  <c r="BW69" i="9"/>
  <c r="BW68" i="9"/>
  <c r="BW67" i="9"/>
  <c r="BW71" i="9"/>
  <c r="BW70" i="9"/>
  <c r="BW18" i="9"/>
  <c r="BW26" i="9" s="1"/>
  <c r="BW27" i="9" s="1"/>
  <c r="BW72" i="9"/>
  <c r="CE71" i="9"/>
  <c r="CE70" i="9"/>
  <c r="CE67" i="9"/>
  <c r="CE72" i="9"/>
  <c r="CE69" i="9"/>
  <c r="BB18" i="9"/>
  <c r="BB26" i="9" s="1"/>
  <c r="BB27" i="9" s="1"/>
  <c r="BB68" i="9"/>
  <c r="BB67" i="9"/>
  <c r="BB72" i="9"/>
  <c r="BX84" i="9"/>
  <c r="AC20" i="9"/>
  <c r="Y55" i="9"/>
  <c r="M22" i="9"/>
  <c r="Y69" i="9"/>
  <c r="BO72" i="9"/>
  <c r="BE82" i="9"/>
  <c r="CD69" i="9"/>
  <c r="CD67" i="9"/>
  <c r="CD68" i="9"/>
  <c r="CD71" i="9"/>
  <c r="CD72" i="9"/>
  <c r="R69" i="9"/>
  <c r="R17" i="9"/>
  <c r="R71" i="9"/>
  <c r="R68" i="9"/>
  <c r="R67" i="9"/>
  <c r="R70" i="9"/>
  <c r="R18" i="9"/>
  <c r="R26" i="9" s="1"/>
  <c r="R27" i="9" s="1"/>
  <c r="R72" i="9"/>
  <c r="BT18" i="9"/>
  <c r="BT26" i="9" s="1"/>
  <c r="BT27" i="9" s="1"/>
  <c r="BT67" i="9"/>
  <c r="BT72" i="9"/>
  <c r="BT71" i="9"/>
  <c r="BT69" i="9"/>
  <c r="BT70" i="9"/>
  <c r="BT68" i="9"/>
  <c r="F22" i="9"/>
  <c r="R20" i="9"/>
  <c r="Q85" i="9"/>
  <c r="Q81" i="9"/>
  <c r="Q84" i="9"/>
  <c r="Q83" i="9"/>
  <c r="Q82" i="9"/>
  <c r="Q86" i="9"/>
  <c r="BH85" i="9"/>
  <c r="BH82" i="9"/>
  <c r="BH84" i="9"/>
  <c r="BH81" i="9"/>
  <c r="BG81" i="9"/>
  <c r="BG85" i="9"/>
  <c r="BG83" i="9"/>
  <c r="BG86" i="9"/>
  <c r="AQ54" i="9"/>
  <c r="AQ55" i="9"/>
  <c r="AQ58" i="9"/>
  <c r="AQ57" i="9"/>
  <c r="AQ56" i="9"/>
  <c r="AQ53" i="9"/>
  <c r="CD70" i="9"/>
  <c r="AE81" i="9"/>
  <c r="R84" i="9"/>
  <c r="R81" i="9"/>
  <c r="R82" i="9"/>
  <c r="R83" i="9"/>
  <c r="AO82" i="9"/>
  <c r="AO81" i="9"/>
  <c r="AO84" i="9"/>
  <c r="BY82" i="9"/>
  <c r="BY86" i="9"/>
  <c r="BY85" i="9"/>
  <c r="BY84" i="9"/>
  <c r="BY83" i="9"/>
  <c r="BY81" i="9"/>
  <c r="CD85" i="9"/>
  <c r="CD84" i="9"/>
  <c r="CD83" i="9"/>
  <c r="CD82" i="9"/>
  <c r="H85" i="9"/>
  <c r="H86" i="9"/>
  <c r="H84" i="9"/>
  <c r="BW86" i="9"/>
  <c r="BW81" i="9"/>
  <c r="BW83" i="9"/>
  <c r="BW84" i="9"/>
  <c r="BW82" i="9"/>
  <c r="BW85" i="9"/>
  <c r="BZ81" i="9"/>
  <c r="Y54" i="9"/>
  <c r="BD55" i="9"/>
  <c r="BD54" i="9"/>
  <c r="BD53" i="9"/>
  <c r="BD58" i="9"/>
  <c r="T53" i="9"/>
  <c r="T55" i="9"/>
  <c r="T57" i="9"/>
  <c r="T56" i="9"/>
  <c r="T54" i="9"/>
  <c r="T58" i="9"/>
  <c r="BL55" i="9"/>
  <c r="BL54" i="9"/>
  <c r="BL56" i="9"/>
  <c r="BL58" i="9"/>
  <c r="BL53" i="9"/>
  <c r="BL57" i="9"/>
  <c r="K54" i="9"/>
  <c r="K16" i="9"/>
  <c r="K55" i="9"/>
  <c r="J55" i="9"/>
  <c r="J56" i="9"/>
  <c r="J54" i="9"/>
  <c r="J57" i="9"/>
  <c r="J58" i="9"/>
  <c r="AM85" i="9"/>
  <c r="AA81" i="9"/>
  <c r="W53" i="9"/>
  <c r="Q72" i="9"/>
  <c r="Q17" i="9"/>
  <c r="Q69" i="9"/>
  <c r="Q18" i="9"/>
  <c r="Q26" i="9" s="1"/>
  <c r="Q27" i="9" s="1"/>
  <c r="Q68" i="9"/>
  <c r="Q67" i="9"/>
  <c r="Q70" i="9"/>
  <c r="AP68" i="9"/>
  <c r="AP72" i="9"/>
  <c r="AP69" i="9"/>
  <c r="AP18" i="9"/>
  <c r="AP26" i="9" s="1"/>
  <c r="AP27" i="9" s="1"/>
  <c r="AP70" i="9"/>
  <c r="AP67" i="9"/>
  <c r="Z72" i="9"/>
  <c r="Z18" i="9"/>
  <c r="Z26" i="9" s="1"/>
  <c r="Z27" i="9" s="1"/>
  <c r="Z69" i="9"/>
  <c r="Z68" i="9"/>
  <c r="Z17" i="9"/>
  <c r="Z70" i="9"/>
  <c r="D70" i="9"/>
  <c r="D71" i="9"/>
  <c r="D68" i="9"/>
  <c r="D18" i="9"/>
  <c r="D26" i="9" s="1"/>
  <c r="D27" i="9" s="1"/>
  <c r="BR68" i="9"/>
  <c r="BR71" i="9"/>
  <c r="BR70" i="9"/>
  <c r="AE18" i="9"/>
  <c r="AE26" i="9" s="1"/>
  <c r="AE27" i="9" s="1"/>
  <c r="Y53" i="9"/>
  <c r="K83" i="9"/>
  <c r="E86" i="9"/>
  <c r="BE58" i="9"/>
  <c r="D32" i="5"/>
  <c r="D22" i="5"/>
  <c r="W11" i="11" s="1"/>
  <c r="D33" i="5"/>
  <c r="Y18" i="9"/>
  <c r="Y26" i="9" s="1"/>
  <c r="Y27" i="9" s="1"/>
  <c r="D72" i="9"/>
  <c r="AC67" i="9"/>
  <c r="BB55" i="9"/>
  <c r="BB58" i="9"/>
  <c r="BB53" i="9"/>
  <c r="BB57" i="9"/>
  <c r="BB56" i="9"/>
  <c r="BJ53" i="9"/>
  <c r="BJ58" i="9"/>
  <c r="BJ54" i="9"/>
  <c r="BJ57" i="9"/>
  <c r="BJ55" i="9"/>
  <c r="BJ56" i="9"/>
  <c r="BB54" i="9"/>
  <c r="BQ18" i="9"/>
  <c r="BQ26" i="9" s="1"/>
  <c r="BQ27" i="9" s="1"/>
  <c r="BQ67" i="9"/>
  <c r="BQ68" i="9"/>
  <c r="BQ70" i="9"/>
  <c r="BQ72" i="9"/>
  <c r="BQ71" i="9"/>
  <c r="BQ69" i="9"/>
  <c r="N83" i="9"/>
  <c r="N86" i="9"/>
  <c r="AW85" i="9"/>
  <c r="AW81" i="9"/>
  <c r="AW86" i="9"/>
  <c r="AW82" i="9"/>
  <c r="BS86" i="9"/>
  <c r="BS84" i="9"/>
  <c r="BS85" i="9"/>
  <c r="BS83" i="9"/>
  <c r="BS81" i="9"/>
  <c r="BS82" i="9"/>
  <c r="N85" i="9"/>
  <c r="AT54" i="9"/>
  <c r="AT53" i="9"/>
  <c r="AT55" i="9"/>
  <c r="AT57" i="9"/>
  <c r="AT56" i="9"/>
  <c r="AT58" i="9"/>
  <c r="CA54" i="9"/>
  <c r="CA58" i="9"/>
  <c r="BU58" i="9"/>
  <c r="BU56" i="9"/>
  <c r="BU54" i="9"/>
  <c r="BC53" i="9"/>
  <c r="AC86" i="9"/>
  <c r="AC82" i="9"/>
  <c r="AC81" i="9"/>
  <c r="AC83" i="9"/>
  <c r="AC85" i="9"/>
  <c r="AC84" i="9"/>
  <c r="BM84" i="9"/>
  <c r="BM83" i="9"/>
  <c r="BM82" i="9"/>
  <c r="BM81" i="9"/>
  <c r="D86" i="9"/>
  <c r="D83" i="9"/>
  <c r="D81" i="9"/>
  <c r="X85" i="9"/>
  <c r="X83" i="9"/>
  <c r="X84" i="9"/>
  <c r="X82" i="9"/>
  <c r="X86" i="9"/>
  <c r="X81" i="9"/>
  <c r="BO53" i="9"/>
  <c r="K53" i="9"/>
  <c r="BZ55" i="9"/>
  <c r="BE72" i="9"/>
  <c r="AL55" i="9"/>
  <c r="AL54" i="9"/>
  <c r="AL53" i="9"/>
  <c r="CF58" i="9"/>
  <c r="CF55" i="9"/>
  <c r="CF53" i="9"/>
  <c r="CF57" i="9"/>
  <c r="CF56" i="9"/>
  <c r="AD55" i="9"/>
  <c r="AD16" i="9"/>
  <c r="AD56" i="9"/>
  <c r="AD57" i="9"/>
  <c r="AD58" i="9"/>
  <c r="Z55" i="9"/>
  <c r="Z58" i="9"/>
  <c r="Z57" i="9"/>
  <c r="Z54" i="9"/>
  <c r="Z53" i="9"/>
  <c r="AY72" i="9"/>
  <c r="BZ54" i="9"/>
  <c r="K85" i="9"/>
  <c r="CA56" i="9"/>
  <c r="BR18" i="9"/>
  <c r="BR26" i="9" s="1"/>
  <c r="BR27" i="9" s="1"/>
  <c r="AM81" i="9"/>
  <c r="AO85" i="9"/>
  <c r="CA70" i="9"/>
  <c r="CA68" i="9"/>
  <c r="CA71" i="9"/>
  <c r="CA67" i="9"/>
  <c r="BL72" i="9"/>
  <c r="BL67" i="9"/>
  <c r="BL70" i="9"/>
  <c r="BL69" i="9"/>
  <c r="AV68" i="9"/>
  <c r="AV69" i="9"/>
  <c r="AV71" i="9"/>
  <c r="AV72" i="9"/>
  <c r="T18" i="9"/>
  <c r="T26" i="9" s="1"/>
  <c r="T27" i="9" s="1"/>
  <c r="T17" i="9"/>
  <c r="T67" i="9"/>
  <c r="T71" i="9"/>
  <c r="T72" i="9"/>
  <c r="T70" i="9"/>
  <c r="G67" i="9"/>
  <c r="G70" i="9"/>
  <c r="G18" i="9"/>
  <c r="G26" i="9" s="1"/>
  <c r="G27" i="9" s="1"/>
  <c r="G72" i="9"/>
  <c r="G17" i="9"/>
  <c r="G71" i="9"/>
  <c r="G69" i="9"/>
  <c r="D53" i="9"/>
  <c r="BE71" i="9"/>
  <c r="CD58" i="9"/>
  <c r="K56" i="9"/>
  <c r="O86" i="9"/>
  <c r="AL68" i="9"/>
  <c r="W12" i="11"/>
  <c r="M164" i="11" s="1"/>
  <c r="BE57" i="9"/>
  <c r="I20" i="9"/>
  <c r="AK58" i="9"/>
  <c r="AK57" i="9"/>
  <c r="AK54" i="9"/>
  <c r="AK53" i="9"/>
  <c r="AK56" i="9"/>
  <c r="AF53" i="9"/>
  <c r="AF58" i="9"/>
  <c r="AF55" i="9"/>
  <c r="AF16" i="9"/>
  <c r="AF57" i="9"/>
  <c r="AF56" i="9"/>
  <c r="AF54" i="9"/>
  <c r="C69" i="9"/>
  <c r="K221" i="9" s="1"/>
  <c r="C68" i="9"/>
  <c r="J221" i="9" s="1"/>
  <c r="C18" i="9"/>
  <c r="C71" i="9"/>
  <c r="M221" i="9" s="1"/>
  <c r="C70" i="9"/>
  <c r="L221" i="9" s="1"/>
  <c r="C67" i="9"/>
  <c r="I221" i="9" s="1"/>
  <c r="C72" i="9"/>
  <c r="N221" i="9" s="1"/>
  <c r="C17" i="9"/>
  <c r="AI86" i="9"/>
  <c r="AI85" i="9"/>
  <c r="AI84" i="9"/>
  <c r="AI83" i="9"/>
  <c r="AI82" i="9"/>
  <c r="AI81" i="9"/>
  <c r="S84" i="9"/>
  <c r="S83" i="9"/>
  <c r="S82" i="9"/>
  <c r="S85" i="9"/>
  <c r="S81" i="9"/>
  <c r="S86" i="9"/>
  <c r="AD86" i="9"/>
  <c r="AD81" i="9"/>
  <c r="AD83" i="9"/>
  <c r="AD85" i="9"/>
  <c r="AD82" i="9"/>
  <c r="AD84" i="9"/>
  <c r="M85" i="9"/>
  <c r="M84" i="9"/>
  <c r="M83" i="9"/>
  <c r="M86" i="9"/>
  <c r="AN82" i="9"/>
  <c r="AN84" i="9"/>
  <c r="AN81" i="9"/>
  <c r="BA58" i="9"/>
  <c r="BA57" i="9"/>
  <c r="BA56" i="9"/>
  <c r="BA54" i="9"/>
  <c r="BA53" i="9"/>
  <c r="BG54" i="9"/>
  <c r="BG53" i="9"/>
  <c r="BG57" i="9"/>
  <c r="BG56" i="9"/>
  <c r="AM55" i="9"/>
  <c r="AM56" i="9"/>
  <c r="AM53" i="9"/>
  <c r="AW57" i="9"/>
  <c r="AW56" i="9"/>
  <c r="AW53" i="9"/>
  <c r="AP56" i="9"/>
  <c r="AP54" i="9"/>
  <c r="AP53" i="9"/>
  <c r="AP58" i="9"/>
  <c r="AP57" i="9"/>
  <c r="AP55" i="9"/>
  <c r="BH86" i="9"/>
  <c r="BC56" i="9"/>
  <c r="CB72" i="9"/>
  <c r="CB71" i="9"/>
  <c r="CB67" i="9"/>
  <c r="CB69" i="9"/>
  <c r="M71" i="9"/>
  <c r="M17" i="9"/>
  <c r="M69" i="9"/>
  <c r="M67" i="9"/>
  <c r="BX70" i="9"/>
  <c r="BX71" i="9"/>
  <c r="BX18" i="9"/>
  <c r="BX26" i="9" s="1"/>
  <c r="BX27" i="9" s="1"/>
  <c r="AJ18" i="9"/>
  <c r="AJ26" i="9" s="1"/>
  <c r="AJ27" i="9" s="1"/>
  <c r="AJ67" i="9"/>
  <c r="AJ68" i="9"/>
  <c r="AJ72" i="9"/>
  <c r="AJ71" i="9"/>
  <c r="AJ69" i="9"/>
  <c r="W69" i="9"/>
  <c r="W68" i="9"/>
  <c r="W67" i="9"/>
  <c r="W70" i="9"/>
  <c r="D82" i="9"/>
  <c r="BG58" i="9"/>
  <c r="O16" i="9"/>
  <c r="BR69" i="9"/>
  <c r="AM58" i="9"/>
  <c r="K81" i="9"/>
  <c r="J53" i="9"/>
  <c r="CA85" i="9"/>
  <c r="R85" i="9"/>
  <c r="Q71" i="9"/>
  <c r="C20" i="9"/>
  <c r="AR86" i="9"/>
  <c r="AR84" i="9"/>
  <c r="AR85" i="9"/>
  <c r="AR82" i="9"/>
  <c r="AR81" i="9"/>
  <c r="AR83" i="9"/>
  <c r="AS83" i="9"/>
  <c r="AS82" i="9"/>
  <c r="AS85" i="9"/>
  <c r="AS84" i="9"/>
  <c r="AS86" i="9"/>
  <c r="AS81" i="9"/>
  <c r="AY86" i="9"/>
  <c r="AY82" i="9"/>
  <c r="AY85" i="9"/>
  <c r="AY81" i="9"/>
  <c r="AH86" i="9"/>
  <c r="AH81" i="9"/>
  <c r="AH84" i="9"/>
  <c r="AH85" i="9"/>
  <c r="AH83" i="9"/>
  <c r="BD85" i="9"/>
  <c r="BD86" i="9"/>
  <c r="BD81" i="9"/>
  <c r="BD82" i="9"/>
  <c r="AW83" i="9"/>
  <c r="BN53" i="9"/>
  <c r="BN58" i="9"/>
  <c r="BN57" i="9"/>
  <c r="BN55" i="9"/>
  <c r="BN54" i="9"/>
  <c r="CC55" i="9"/>
  <c r="CC56" i="9"/>
  <c r="CC58" i="9"/>
  <c r="CC57" i="9"/>
  <c r="CC54" i="9"/>
  <c r="CC53" i="9"/>
  <c r="F57" i="9"/>
  <c r="F55" i="9"/>
  <c r="F16" i="9"/>
  <c r="F58" i="9"/>
  <c r="F54" i="9"/>
  <c r="F56" i="9"/>
  <c r="F53" i="9"/>
  <c r="BQ55" i="9"/>
  <c r="BQ54" i="9"/>
  <c r="BQ53" i="9"/>
  <c r="BQ57" i="9"/>
  <c r="BQ58" i="9"/>
  <c r="BF58" i="9"/>
  <c r="BF54" i="9"/>
  <c r="BF57" i="9"/>
  <c r="BF56" i="9"/>
  <c r="AN83" i="9"/>
  <c r="BU81" i="9"/>
  <c r="U20" i="9"/>
  <c r="BG84" i="9"/>
  <c r="CD53" i="9"/>
  <c r="Y67" i="9"/>
  <c r="I67" i="9"/>
  <c r="I71" i="9"/>
  <c r="I72" i="9"/>
  <c r="O71" i="9"/>
  <c r="O67" i="9"/>
  <c r="O72" i="9"/>
  <c r="O70" i="9"/>
  <c r="O17" i="9"/>
  <c r="AA68" i="9"/>
  <c r="AA17" i="9"/>
  <c r="AA67" i="9"/>
  <c r="AA70" i="9"/>
  <c r="AA72" i="9"/>
  <c r="AA71" i="9"/>
  <c r="AA69" i="9"/>
  <c r="AZ71" i="9"/>
  <c r="AZ69" i="9"/>
  <c r="AZ68" i="9"/>
  <c r="AZ70" i="9"/>
  <c r="AZ67" i="9"/>
  <c r="AM72" i="9"/>
  <c r="AM71" i="9"/>
  <c r="AM18" i="9"/>
  <c r="AM26" i="9" s="1"/>
  <c r="AM27" i="9" s="1"/>
  <c r="AM68" i="9"/>
  <c r="AM70" i="9"/>
  <c r="CB18" i="9"/>
  <c r="CB26" i="9" s="1"/>
  <c r="CB27" i="9" s="1"/>
  <c r="J20" i="9"/>
  <c r="AD67" i="9"/>
  <c r="AD70" i="9"/>
  <c r="BG82" i="9"/>
  <c r="Y17" i="9"/>
  <c r="BF53" i="9"/>
  <c r="Z56" i="9"/>
  <c r="R86" i="9"/>
  <c r="AJ84" i="9"/>
  <c r="AJ81" i="9"/>
  <c r="AJ86" i="9"/>
  <c r="AJ83" i="9"/>
  <c r="AJ82" i="9"/>
  <c r="BO86" i="9"/>
  <c r="BO82" i="9"/>
  <c r="BO83" i="9"/>
  <c r="BI84" i="9"/>
  <c r="BI86" i="9"/>
  <c r="BI81" i="9"/>
  <c r="BI85" i="9"/>
  <c r="BI82" i="9"/>
  <c r="BT86" i="9"/>
  <c r="BT83" i="9"/>
  <c r="BT85" i="9"/>
  <c r="BT81" i="9"/>
  <c r="BT82" i="9"/>
  <c r="BT84" i="9"/>
  <c r="AA22" i="9"/>
  <c r="C53" i="9"/>
  <c r="C221" i="9" s="1"/>
  <c r="C58" i="9"/>
  <c r="H221" i="9" s="1"/>
  <c r="C16" i="9"/>
  <c r="C57" i="9"/>
  <c r="G221" i="9" s="1"/>
  <c r="C56" i="9"/>
  <c r="F221" i="9" s="1"/>
  <c r="X53" i="9"/>
  <c r="X57" i="9"/>
  <c r="X55" i="9"/>
  <c r="X54" i="9"/>
  <c r="X16" i="9"/>
  <c r="X56" i="9"/>
  <c r="X58" i="9"/>
  <c r="L55" i="9"/>
  <c r="L57" i="9"/>
  <c r="L54" i="9"/>
  <c r="L56" i="9"/>
  <c r="L58" i="9"/>
  <c r="BV56" i="9"/>
  <c r="BV57" i="9"/>
  <c r="BV54" i="9"/>
  <c r="BV53" i="9"/>
  <c r="BV58" i="9"/>
  <c r="BD83" i="9"/>
  <c r="AO56" i="9"/>
  <c r="U21" i="9"/>
  <c r="AY84" i="9"/>
  <c r="BE67" i="9"/>
  <c r="AE67" i="9"/>
  <c r="AE69" i="9"/>
  <c r="AQ18" i="9"/>
  <c r="AQ26" i="9" s="1"/>
  <c r="AQ27" i="9" s="1"/>
  <c r="AQ69" i="9"/>
  <c r="AQ68" i="9"/>
  <c r="AQ72" i="9"/>
  <c r="AQ71" i="9"/>
  <c r="AQ70" i="9"/>
  <c r="AQ67" i="9"/>
  <c r="AW71" i="9"/>
  <c r="AW72" i="9"/>
  <c r="AW70" i="9"/>
  <c r="BP67" i="9"/>
  <c r="BP18" i="9"/>
  <c r="BP26" i="9" s="1"/>
  <c r="BP27" i="9" s="1"/>
  <c r="BP72" i="9"/>
  <c r="BP71" i="9"/>
  <c r="BP69" i="9"/>
  <c r="BP70" i="9"/>
  <c r="BP68" i="9"/>
  <c r="BC18" i="9"/>
  <c r="BC26" i="9" s="1"/>
  <c r="BC27" i="9" s="1"/>
  <c r="BC70" i="9"/>
  <c r="AL69" i="9"/>
  <c r="BC68" i="9"/>
  <c r="O56" i="9"/>
  <c r="CB68" i="9"/>
  <c r="AZ72" i="9"/>
  <c r="O55" i="9"/>
  <c r="W18" i="9"/>
  <c r="W26" i="9" s="1"/>
  <c r="W27" i="9" s="1"/>
  <c r="AD17" i="9"/>
  <c r="AT70" i="9"/>
  <c r="BK70" i="9"/>
  <c r="BM86" i="9"/>
  <c r="BG55" i="9"/>
  <c r="AA84" i="9"/>
  <c r="AO83" i="9"/>
  <c r="O18" i="9"/>
  <c r="O26" i="9" s="1"/>
  <c r="O27" i="9" s="1"/>
  <c r="AV70" i="9"/>
  <c r="D13" i="3"/>
  <c r="D17" i="3" s="1"/>
  <c r="BU53" i="9"/>
  <c r="AX81" i="9"/>
  <c r="AX83" i="9"/>
  <c r="AX86" i="9"/>
  <c r="AX85" i="9"/>
  <c r="AX84" i="9"/>
  <c r="AX82" i="9"/>
  <c r="BP84" i="9"/>
  <c r="BP86" i="9"/>
  <c r="BP81" i="9"/>
  <c r="BP82" i="9"/>
  <c r="BP83" i="9"/>
  <c r="E82" i="9"/>
  <c r="E81" i="9"/>
  <c r="E85" i="9"/>
  <c r="CE84" i="9"/>
  <c r="CE85" i="9"/>
  <c r="CE86" i="9"/>
  <c r="CE83" i="9"/>
  <c r="CE82" i="9"/>
  <c r="CE81" i="9"/>
  <c r="BE86" i="9"/>
  <c r="BE81" i="9"/>
  <c r="AA20" i="9"/>
  <c r="P54" i="9"/>
  <c r="P58" i="9"/>
  <c r="P57" i="9"/>
  <c r="P16" i="9"/>
  <c r="P55" i="9"/>
  <c r="P53" i="9"/>
  <c r="BT54" i="9"/>
  <c r="BT53" i="9"/>
  <c r="BT58" i="9"/>
  <c r="BT57" i="9"/>
  <c r="BT56" i="9"/>
  <c r="BT55" i="9"/>
  <c r="BH56" i="9"/>
  <c r="BH58" i="9"/>
  <c r="BH53" i="9"/>
  <c r="AR54" i="9"/>
  <c r="AR56" i="9"/>
  <c r="AR58" i="9"/>
  <c r="AR55" i="9"/>
  <c r="AR53" i="9"/>
  <c r="AR57" i="9"/>
  <c r="AE16" i="9"/>
  <c r="AE53" i="9"/>
  <c r="AE56" i="9"/>
  <c r="AE55" i="9"/>
  <c r="M54" i="9"/>
  <c r="M53" i="9"/>
  <c r="M58" i="9"/>
  <c r="M56" i="9"/>
  <c r="M55" i="9"/>
  <c r="BK69" i="9"/>
  <c r="BX68" i="9"/>
  <c r="BO84" i="9"/>
  <c r="BG72" i="9"/>
  <c r="BG70" i="9"/>
  <c r="BG68" i="9"/>
  <c r="BG69" i="9"/>
  <c r="BM69" i="9"/>
  <c r="BM71" i="9"/>
  <c r="BM70" i="9"/>
  <c r="BM72" i="9"/>
  <c r="BY69" i="9"/>
  <c r="BY68" i="9"/>
  <c r="BY67" i="9"/>
  <c r="BY18" i="9"/>
  <c r="BY26" i="9" s="1"/>
  <c r="BY27" i="9" s="1"/>
  <c r="BY71" i="9"/>
  <c r="BY72" i="9"/>
  <c r="CF67" i="9"/>
  <c r="CF69" i="9"/>
  <c r="CF70" i="9"/>
  <c r="CF71" i="9"/>
  <c r="CF72" i="9"/>
  <c r="CF18" i="9"/>
  <c r="CF26" i="9" s="1"/>
  <c r="CF27" i="9" s="1"/>
  <c r="BS67" i="9"/>
  <c r="BS71" i="9"/>
  <c r="BS18" i="9"/>
  <c r="BS26" i="9" s="1"/>
  <c r="BS27" i="9" s="1"/>
  <c r="BS72" i="9"/>
  <c r="BS70" i="9"/>
  <c r="BS69" i="9"/>
  <c r="BS68" i="9"/>
  <c r="BF71" i="9"/>
  <c r="AT67" i="9"/>
  <c r="AE58" i="9"/>
  <c r="AM54" i="9"/>
  <c r="AD54" i="9"/>
  <c r="CA84" i="9"/>
  <c r="BM18" i="9"/>
  <c r="BM26" i="9" s="1"/>
  <c r="BM27" i="9" s="1"/>
  <c r="AE57" i="9"/>
  <c r="BX54" i="9"/>
  <c r="BP58" i="9"/>
  <c r="AV81" i="9"/>
  <c r="CD55" i="9"/>
  <c r="CG86" i="9"/>
  <c r="AU67" i="9"/>
  <c r="D88" i="6"/>
  <c r="D89" i="6" s="1"/>
  <c r="D87" i="6"/>
  <c r="D91" i="6"/>
  <c r="C22" i="9"/>
  <c r="BN81" i="9"/>
  <c r="BN82" i="9"/>
  <c r="BN86" i="9"/>
  <c r="BN85" i="9"/>
  <c r="BN84" i="9"/>
  <c r="U86" i="9"/>
  <c r="U81" i="9"/>
  <c r="U84" i="9"/>
  <c r="U82" i="9"/>
  <c r="AE86" i="9"/>
  <c r="AE82" i="9"/>
  <c r="AE85" i="9"/>
  <c r="AE84" i="9"/>
  <c r="F83" i="9"/>
  <c r="F85" i="9"/>
  <c r="F84" i="9"/>
  <c r="BU86" i="9"/>
  <c r="BU85" i="9"/>
  <c r="S56" i="9"/>
  <c r="S54" i="9"/>
  <c r="S55" i="9"/>
  <c r="S53" i="9"/>
  <c r="S16" i="9"/>
  <c r="S58" i="9"/>
  <c r="S57" i="9"/>
  <c r="AZ57" i="9"/>
  <c r="AZ56" i="9"/>
  <c r="AZ53" i="9"/>
  <c r="AZ58" i="9"/>
  <c r="D58" i="9"/>
  <c r="D54" i="9"/>
  <c r="D56" i="9"/>
  <c r="BM55" i="9"/>
  <c r="BM54" i="9"/>
  <c r="BM53" i="9"/>
  <c r="BM58" i="9"/>
  <c r="BM56" i="9"/>
  <c r="AX53" i="9"/>
  <c r="AX58" i="9"/>
  <c r="AX57" i="9"/>
  <c r="AX55" i="9"/>
  <c r="AX56" i="9"/>
  <c r="AX54" i="9"/>
  <c r="AC54" i="9"/>
  <c r="AC53" i="9"/>
  <c r="AC58" i="9"/>
  <c r="AC57" i="9"/>
  <c r="AC55" i="9"/>
  <c r="AC56" i="9"/>
  <c r="AZ54" i="9"/>
  <c r="AB86" i="9"/>
  <c r="CA82" i="9"/>
  <c r="U22" i="9"/>
  <c r="M16" i="9"/>
  <c r="CC70" i="9"/>
  <c r="CC69" i="9"/>
  <c r="CC72" i="9"/>
  <c r="CC68" i="9"/>
  <c r="CC67" i="9"/>
  <c r="CC18" i="9"/>
  <c r="CC26" i="9" s="1"/>
  <c r="CC27" i="9" s="1"/>
  <c r="CC71" i="9"/>
  <c r="BK68" i="9"/>
  <c r="BK71" i="9"/>
  <c r="D74" i="7"/>
  <c r="E72" i="9"/>
  <c r="E18" i="9"/>
  <c r="E26" i="9" s="1"/>
  <c r="E27" i="9" s="1"/>
  <c r="H69" i="9"/>
  <c r="H71" i="9"/>
  <c r="H70" i="9"/>
  <c r="CA86" i="9"/>
  <c r="V72" i="9"/>
  <c r="BV86" i="9"/>
  <c r="CA55" i="9"/>
  <c r="BC67" i="9"/>
  <c r="CA18" i="9"/>
  <c r="CA26" i="9" s="1"/>
  <c r="CA27" i="9" s="1"/>
  <c r="BM67" i="9"/>
  <c r="BP85" i="9"/>
  <c r="P81" i="9"/>
  <c r="M88" i="11"/>
  <c r="M189" i="11"/>
  <c r="AW84" i="9"/>
  <c r="CG84" i="9"/>
  <c r="D17" i="4"/>
  <c r="D11" i="3"/>
  <c r="BZ84" i="9"/>
  <c r="BZ83" i="9"/>
  <c r="BZ86" i="9"/>
  <c r="BZ82" i="9"/>
  <c r="AU84" i="9"/>
  <c r="AU82" i="9"/>
  <c r="AU81" i="9"/>
  <c r="AU83" i="9"/>
  <c r="AU86" i="9"/>
  <c r="AZ85" i="9"/>
  <c r="AZ86" i="9"/>
  <c r="AZ84" i="9"/>
  <c r="AZ82" i="9"/>
  <c r="AZ83" i="9"/>
  <c r="AZ81" i="9"/>
  <c r="J86" i="9"/>
  <c r="J83" i="9"/>
  <c r="J85" i="9"/>
  <c r="J84" i="9"/>
  <c r="Y16" i="9"/>
  <c r="Y57" i="9"/>
  <c r="Y56" i="9"/>
  <c r="BW54" i="9"/>
  <c r="BW53" i="9"/>
  <c r="BW55" i="9"/>
  <c r="BW58" i="9"/>
  <c r="BW57" i="9"/>
  <c r="BW56" i="9"/>
  <c r="V56" i="9"/>
  <c r="V53" i="9"/>
  <c r="V58" i="9"/>
  <c r="V55" i="9"/>
  <c r="V57" i="9"/>
  <c r="CG53" i="9"/>
  <c r="CG58" i="9"/>
  <c r="CG56" i="9"/>
  <c r="CG55" i="9"/>
  <c r="CG54" i="9"/>
  <c r="BR53" i="9"/>
  <c r="BR56" i="9"/>
  <c r="BR55" i="9"/>
  <c r="BR57" i="9"/>
  <c r="AS54" i="9"/>
  <c r="AS58" i="9"/>
  <c r="AS55" i="9"/>
  <c r="AS56" i="9"/>
  <c r="AS57" i="9"/>
  <c r="BE85" i="9"/>
  <c r="M82" i="9"/>
  <c r="E69" i="9"/>
  <c r="AD71" i="9"/>
  <c r="AD69" i="9"/>
  <c r="AD68" i="9"/>
  <c r="J70" i="9"/>
  <c r="J67" i="9"/>
  <c r="J68" i="9"/>
  <c r="P67" i="9"/>
  <c r="P71" i="9"/>
  <c r="P18" i="9"/>
  <c r="P26" i="9" s="1"/>
  <c r="P27" i="9" s="1"/>
  <c r="P68" i="9"/>
  <c r="AB67" i="9"/>
  <c r="AB72" i="9"/>
  <c r="AB71" i="9"/>
  <c r="AB17" i="9"/>
  <c r="AB69" i="9"/>
  <c r="U18" i="9"/>
  <c r="U26" i="9" s="1"/>
  <c r="U27" i="9" s="1"/>
  <c r="U70" i="9"/>
  <c r="U17" i="9"/>
  <c r="U68" i="9"/>
  <c r="U67" i="9"/>
  <c r="U72" i="9"/>
  <c r="U71" i="9"/>
  <c r="U69" i="9"/>
  <c r="X71" i="9"/>
  <c r="X67" i="9"/>
  <c r="X17" i="9"/>
  <c r="X70" i="9"/>
  <c r="X69" i="9"/>
  <c r="X18" i="9"/>
  <c r="X26" i="9" s="1"/>
  <c r="X27" i="9" s="1"/>
  <c r="CA69" i="9"/>
  <c r="V54" i="9"/>
  <c r="K82" i="9"/>
  <c r="AL56" i="9"/>
  <c r="I56" i="9"/>
  <c r="BL18" i="9"/>
  <c r="BL26" i="9" s="1"/>
  <c r="BL27" i="9" s="1"/>
  <c r="W16" i="9"/>
  <c r="BX72" i="9"/>
  <c r="AH21" i="9"/>
  <c r="I70" i="9"/>
  <c r="AW54" i="9"/>
  <c r="CA72" i="9"/>
  <c r="L53" i="9"/>
  <c r="AD53" i="9"/>
  <c r="CE53" i="9"/>
  <c r="D24" i="6"/>
  <c r="D25" i="6" s="1"/>
  <c r="D20" i="6"/>
  <c r="M212" i="11"/>
  <c r="M139" i="11"/>
  <c r="M194" i="11"/>
  <c r="M221" i="11"/>
  <c r="M218" i="11"/>
  <c r="M245" i="11"/>
  <c r="M187" i="11"/>
  <c r="M46" i="11"/>
  <c r="Z20" i="9"/>
  <c r="M116" i="11"/>
  <c r="M51" i="11"/>
  <c r="M219" i="11"/>
  <c r="M69" i="11"/>
  <c r="M242" i="11"/>
  <c r="M111" i="11"/>
  <c r="M192" i="11"/>
  <c r="M166" i="11"/>
  <c r="M45" i="11"/>
  <c r="M67" i="11"/>
  <c r="M71" i="11"/>
  <c r="M240" i="11"/>
  <c r="M142" i="11"/>
  <c r="M169" i="11"/>
  <c r="M243" i="11"/>
  <c r="AI68" i="9" l="1"/>
  <c r="H72" i="9"/>
  <c r="H18" i="9"/>
  <c r="H26" i="9" s="1"/>
  <c r="H27" i="9" s="1"/>
  <c r="H67" i="9"/>
  <c r="H68" i="9"/>
  <c r="H17" i="9"/>
  <c r="AI72" i="9"/>
  <c r="AH72" i="9"/>
  <c r="AH69" i="9"/>
  <c r="AH67" i="9"/>
  <c r="AH68" i="9"/>
  <c r="E67" i="9"/>
  <c r="E70" i="9"/>
  <c r="E71" i="9"/>
  <c r="L67" i="9"/>
  <c r="L72" i="9"/>
  <c r="L17" i="9"/>
  <c r="L18" i="9"/>
  <c r="L26" i="9" s="1"/>
  <c r="L27" i="9" s="1"/>
  <c r="BF68" i="9"/>
  <c r="BF69" i="9"/>
  <c r="AH18" i="9"/>
  <c r="AH26" i="9" s="1"/>
  <c r="AH27" i="9" s="1"/>
  <c r="L68" i="9"/>
  <c r="AH70" i="9"/>
  <c r="L70" i="9"/>
  <c r="AH17" i="9"/>
  <c r="L69" i="9"/>
  <c r="AH71" i="9"/>
  <c r="L71" i="9"/>
  <c r="AN18" i="9"/>
  <c r="AN26" i="9" s="1"/>
  <c r="AN27" i="9" s="1"/>
  <c r="AN71" i="9"/>
  <c r="AN68" i="9"/>
  <c r="AI69" i="9"/>
  <c r="AN69" i="9"/>
  <c r="N164" i="11"/>
  <c r="E17" i="9"/>
  <c r="AI71" i="9"/>
  <c r="AN70" i="9"/>
  <c r="AI70" i="9"/>
  <c r="F70" i="9"/>
  <c r="F67" i="9"/>
  <c r="S164" i="11"/>
  <c r="O164" i="11"/>
  <c r="R164" i="11"/>
  <c r="Q164" i="11"/>
  <c r="P164" i="11"/>
  <c r="N15" i="11"/>
  <c r="N92" i="11"/>
  <c r="N212" i="11"/>
  <c r="N101" i="11"/>
  <c r="N169" i="11"/>
  <c r="N124" i="11"/>
  <c r="N197" i="11"/>
  <c r="N192" i="11"/>
  <c r="N118" i="11"/>
  <c r="N241" i="11"/>
  <c r="N203" i="11"/>
  <c r="N255" i="11"/>
  <c r="N17" i="11"/>
  <c r="N70" i="11"/>
  <c r="N42" i="11"/>
  <c r="N122" i="11"/>
  <c r="N95" i="11"/>
  <c r="N106" i="11"/>
  <c r="N97" i="11"/>
  <c r="N205" i="11"/>
  <c r="N198" i="11"/>
  <c r="N150" i="11"/>
  <c r="N188" i="11"/>
  <c r="N72" i="11"/>
  <c r="N7" i="11"/>
  <c r="N56" i="11"/>
  <c r="N129" i="11"/>
  <c r="N234" i="11"/>
  <c r="N130" i="11"/>
  <c r="N77" i="11"/>
  <c r="N115" i="11"/>
  <c r="N210" i="11"/>
  <c r="N216" i="11"/>
  <c r="N172" i="11"/>
  <c r="N256" i="11"/>
  <c r="N156" i="11"/>
  <c r="N249" i="11"/>
  <c r="N103" i="11"/>
  <c r="N136" i="11"/>
  <c r="N120" i="11"/>
  <c r="N98" i="11"/>
  <c r="N85" i="11"/>
  <c r="N162" i="11"/>
  <c r="N121" i="11"/>
  <c r="N94" i="11"/>
  <c r="N100" i="11"/>
  <c r="N5" i="11"/>
  <c r="N19" i="11"/>
  <c r="N245" i="11"/>
  <c r="N38" i="11"/>
  <c r="N114" i="11"/>
  <c r="N159" i="11"/>
  <c r="N148" i="11"/>
  <c r="N155" i="11"/>
  <c r="N242" i="11"/>
  <c r="N141" i="11"/>
  <c r="N116" i="11"/>
  <c r="N57" i="11"/>
  <c r="N34" i="11"/>
  <c r="N264" i="11"/>
  <c r="N237" i="11"/>
  <c r="BV39" i="9"/>
  <c r="BF39" i="9"/>
  <c r="AP39" i="9"/>
  <c r="Z39" i="9"/>
  <c r="J39" i="9"/>
  <c r="BU39" i="9"/>
  <c r="BE39" i="9"/>
  <c r="AO39" i="9"/>
  <c r="Y39" i="9"/>
  <c r="I39" i="9"/>
  <c r="BT39" i="9"/>
  <c r="BD39" i="9"/>
  <c r="AN39" i="9"/>
  <c r="X39" i="9"/>
  <c r="H39" i="9"/>
  <c r="BS39" i="9"/>
  <c r="BC39" i="9"/>
  <c r="AM39" i="9"/>
  <c r="W39" i="9"/>
  <c r="G39" i="9"/>
  <c r="BR39" i="9"/>
  <c r="BB39" i="9"/>
  <c r="AL39" i="9"/>
  <c r="V39" i="9"/>
  <c r="F39" i="9"/>
  <c r="CG39" i="9"/>
  <c r="BQ39" i="9"/>
  <c r="BA39" i="9"/>
  <c r="AK39" i="9"/>
  <c r="U39" i="9"/>
  <c r="E39" i="9"/>
  <c r="CF39" i="9"/>
  <c r="BP39" i="9"/>
  <c r="AZ39" i="9"/>
  <c r="AJ39" i="9"/>
  <c r="T39" i="9"/>
  <c r="D39" i="9"/>
  <c r="BX39" i="9"/>
  <c r="AT39" i="9"/>
  <c r="P39" i="9"/>
  <c r="BW39" i="9"/>
  <c r="AS39" i="9"/>
  <c r="O39" i="9"/>
  <c r="BO39" i="9"/>
  <c r="AR39" i="9"/>
  <c r="N39" i="9"/>
  <c r="BN39" i="9"/>
  <c r="AQ39" i="9"/>
  <c r="M39" i="9"/>
  <c r="BM39" i="9"/>
  <c r="AI39" i="9"/>
  <c r="L39" i="9"/>
  <c r="BL39" i="9"/>
  <c r="AH39" i="9"/>
  <c r="K39" i="9"/>
  <c r="BK39" i="9"/>
  <c r="AG39" i="9"/>
  <c r="C39" i="9"/>
  <c r="AW39" i="9"/>
  <c r="AV39" i="9"/>
  <c r="AU39" i="9"/>
  <c r="D51" i="7"/>
  <c r="CE39" i="9"/>
  <c r="AF39" i="9"/>
  <c r="CD39" i="9"/>
  <c r="AE39" i="9"/>
  <c r="CB39" i="9"/>
  <c r="AC39" i="9"/>
  <c r="S39" i="9"/>
  <c r="CA39" i="9"/>
  <c r="AB39" i="9"/>
  <c r="BY39" i="9"/>
  <c r="BZ39" i="9"/>
  <c r="AA39" i="9"/>
  <c r="BJ39" i="9"/>
  <c r="R39" i="9"/>
  <c r="BH39" i="9"/>
  <c r="BG39" i="9"/>
  <c r="BI39" i="9"/>
  <c r="AY39" i="9"/>
  <c r="CC39" i="9"/>
  <c r="AX39" i="9"/>
  <c r="AD39" i="9"/>
  <c r="Q39" i="9"/>
  <c r="N207" i="11"/>
  <c r="N189" i="11"/>
  <c r="N184" i="11"/>
  <c r="N109" i="11"/>
  <c r="N117" i="11"/>
  <c r="N260" i="11"/>
  <c r="N181" i="11"/>
  <c r="N176" i="11"/>
  <c r="N83" i="11"/>
  <c r="N243" i="11"/>
  <c r="N134" i="11"/>
  <c r="N200" i="11"/>
  <c r="N35" i="11"/>
  <c r="N137" i="11"/>
  <c r="N225" i="11"/>
  <c r="N128" i="11"/>
  <c r="N102" i="11"/>
  <c r="N104" i="11"/>
  <c r="N246" i="11"/>
  <c r="N48" i="11"/>
  <c r="N86" i="11"/>
  <c r="N213" i="11"/>
  <c r="N251" i="11"/>
  <c r="N194" i="11"/>
  <c r="N99" i="11"/>
  <c r="N67" i="11"/>
  <c r="N64" i="11"/>
  <c r="N14" i="11"/>
  <c r="N108" i="11"/>
  <c r="N219" i="11"/>
  <c r="N204" i="11"/>
  <c r="N222" i="11"/>
  <c r="N253" i="11"/>
  <c r="N151" i="11"/>
  <c r="N158" i="11"/>
  <c r="N54" i="11"/>
  <c r="N90" i="11"/>
  <c r="N239" i="11"/>
  <c r="N206" i="11"/>
  <c r="N145" i="11"/>
  <c r="N163" i="11"/>
  <c r="N240" i="11"/>
  <c r="N59" i="11"/>
  <c r="N142" i="11"/>
  <c r="N107" i="11"/>
  <c r="N111" i="11"/>
  <c r="N91" i="11"/>
  <c r="N53" i="11"/>
  <c r="N93" i="11"/>
  <c r="N254" i="11"/>
  <c r="N231" i="11"/>
  <c r="N232" i="11"/>
  <c r="N28" i="11"/>
  <c r="N45" i="11"/>
  <c r="N62" i="11"/>
  <c r="N10" i="11"/>
  <c r="N208" i="11"/>
  <c r="N82" i="11"/>
  <c r="N75" i="11"/>
  <c r="N199" i="11"/>
  <c r="N183" i="11"/>
  <c r="N238" i="11"/>
  <c r="N229" i="11"/>
  <c r="N6" i="11"/>
  <c r="N23" i="11"/>
  <c r="N26" i="11"/>
  <c r="D14" i="3"/>
  <c r="D15" i="3"/>
  <c r="D45" i="5"/>
  <c r="N22" i="11"/>
  <c r="N224" i="11"/>
  <c r="N140" i="11"/>
  <c r="N227" i="11"/>
  <c r="N112" i="11"/>
  <c r="N113" i="11"/>
  <c r="N18" i="11"/>
  <c r="N152" i="11"/>
  <c r="N71" i="11"/>
  <c r="N81" i="11"/>
  <c r="N168" i="11"/>
  <c r="N16" i="11"/>
  <c r="N13" i="11"/>
  <c r="N39" i="11"/>
  <c r="N41" i="11"/>
  <c r="N37" i="11"/>
  <c r="N73" i="11"/>
  <c r="N78" i="11"/>
  <c r="N61" i="11"/>
  <c r="N68" i="11"/>
  <c r="N87" i="11"/>
  <c r="N180" i="11"/>
  <c r="N147" i="11"/>
  <c r="N265" i="11"/>
  <c r="N65" i="11"/>
  <c r="N4" i="11"/>
  <c r="N133" i="11"/>
  <c r="D19" i="4"/>
  <c r="D26" i="4" s="1"/>
  <c r="D27" i="4" s="1"/>
  <c r="D43" i="4" s="1"/>
  <c r="N88" i="11"/>
  <c r="C26" i="9"/>
  <c r="C27" i="9" s="1"/>
  <c r="N105" i="11"/>
  <c r="N20" i="11"/>
  <c r="N202" i="11"/>
  <c r="N74" i="11"/>
  <c r="N250" i="11"/>
  <c r="N52" i="11"/>
  <c r="N153" i="11"/>
  <c r="N36" i="11"/>
  <c r="N11" i="11"/>
  <c r="N247" i="11"/>
  <c r="N50" i="11"/>
  <c r="N9" i="11"/>
  <c r="N8" i="11"/>
  <c r="N84" i="11"/>
  <c r="N80" i="11"/>
  <c r="N223" i="11"/>
  <c r="N218" i="11"/>
  <c r="N261" i="11"/>
  <c r="N12" i="11"/>
  <c r="N76" i="11"/>
  <c r="N46" i="11"/>
  <c r="N190" i="11"/>
  <c r="N235" i="11"/>
  <c r="N55" i="11"/>
  <c r="N51" i="11"/>
  <c r="N174" i="11"/>
  <c r="N146" i="11"/>
  <c r="N230" i="11"/>
  <c r="N66" i="11"/>
  <c r="N175" i="11"/>
  <c r="N143" i="11"/>
  <c r="N209" i="11"/>
  <c r="N31" i="11"/>
  <c r="N30" i="11"/>
  <c r="N40" i="11"/>
  <c r="N167" i="11"/>
  <c r="N177" i="11"/>
  <c r="N79" i="11"/>
  <c r="N123" i="11"/>
  <c r="N233" i="11"/>
  <c r="N69" i="11"/>
  <c r="N29" i="11"/>
  <c r="N25" i="11"/>
  <c r="N96" i="11"/>
  <c r="N144" i="11"/>
  <c r="N217" i="11"/>
  <c r="N258" i="11"/>
  <c r="N221" i="11"/>
  <c r="N139" i="11"/>
  <c r="N24" i="11"/>
  <c r="N125" i="11"/>
  <c r="N32" i="11"/>
  <c r="N33" i="11"/>
  <c r="N170" i="11"/>
  <c r="N248" i="11"/>
  <c r="N182" i="11"/>
  <c r="N119" i="11"/>
  <c r="N161" i="11"/>
  <c r="N154" i="11"/>
  <c r="N43" i="11"/>
  <c r="N47" i="11"/>
  <c r="N44" i="11"/>
  <c r="N21" i="11"/>
  <c r="N196" i="11"/>
  <c r="N126" i="11"/>
  <c r="N220" i="11"/>
  <c r="N149" i="11"/>
  <c r="N214" i="11"/>
  <c r="N262" i="11"/>
  <c r="N63" i="11"/>
  <c r="N263" i="11"/>
  <c r="N236" i="11"/>
  <c r="N165" i="11"/>
  <c r="N173" i="11"/>
  <c r="N259" i="11"/>
  <c r="N257" i="11"/>
  <c r="N211" i="11"/>
  <c r="N58" i="11"/>
  <c r="N226" i="11"/>
  <c r="N178" i="11"/>
  <c r="N201" i="11"/>
  <c r="N191" i="11"/>
  <c r="N187" i="11"/>
  <c r="N252" i="11"/>
  <c r="N132" i="11"/>
  <c r="N193" i="11"/>
  <c r="N60" i="11"/>
  <c r="N186" i="11"/>
  <c r="N138" i="11"/>
  <c r="N135" i="11"/>
  <c r="N228" i="11"/>
  <c r="N160" i="11"/>
  <c r="N166" i="11"/>
  <c r="N157" i="11"/>
  <c r="N244" i="11"/>
  <c r="N195" i="11"/>
  <c r="N179" i="11"/>
  <c r="N49" i="11"/>
  <c r="N89" i="11"/>
  <c r="N171" i="11"/>
  <c r="N110" i="11"/>
  <c r="N215" i="11"/>
  <c r="N185" i="11"/>
  <c r="N131" i="11"/>
  <c r="N27" i="11"/>
  <c r="N127" i="11"/>
  <c r="N266" i="11"/>
  <c r="O187" i="11" l="1"/>
  <c r="S187" i="11"/>
  <c r="R187" i="11"/>
  <c r="P187" i="11"/>
  <c r="Q187" i="11"/>
  <c r="S176" i="11"/>
  <c r="O176" i="11"/>
  <c r="R176" i="11"/>
  <c r="Q176" i="11"/>
  <c r="P176" i="11"/>
  <c r="BH106" i="9"/>
  <c r="BH98" i="9"/>
  <c r="BH105" i="9"/>
  <c r="BH104" i="9"/>
  <c r="BH95" i="9"/>
  <c r="BH97" i="9"/>
  <c r="BH107" i="9"/>
  <c r="BH96" i="9"/>
  <c r="BH43" i="9"/>
  <c r="BH42" i="9"/>
  <c r="BH44" i="9"/>
  <c r="BH45" i="9"/>
  <c r="BH46" i="9"/>
  <c r="BH41" i="9"/>
  <c r="N95" i="9"/>
  <c r="N104" i="9"/>
  <c r="N46" i="9"/>
  <c r="N43" i="9"/>
  <c r="N42" i="9"/>
  <c r="N45" i="9"/>
  <c r="N41" i="9"/>
  <c r="N44" i="9"/>
  <c r="N97" i="9"/>
  <c r="N106" i="9"/>
  <c r="N107" i="9"/>
  <c r="N105" i="9"/>
  <c r="N98" i="9"/>
  <c r="N96" i="9"/>
  <c r="X46" i="9"/>
  <c r="X44" i="9"/>
  <c r="X41" i="9"/>
  <c r="X104" i="9"/>
  <c r="X95" i="9"/>
  <c r="X43" i="9"/>
  <c r="X42" i="9"/>
  <c r="X45" i="9"/>
  <c r="X105" i="9"/>
  <c r="X97" i="9"/>
  <c r="X107" i="9"/>
  <c r="X98" i="9"/>
  <c r="X106" i="9"/>
  <c r="X96" i="9"/>
  <c r="O191" i="11"/>
  <c r="R191" i="11"/>
  <c r="Q191" i="11"/>
  <c r="P191" i="11"/>
  <c r="S191" i="11"/>
  <c r="S224" i="11"/>
  <c r="O224" i="11"/>
  <c r="R224" i="11"/>
  <c r="Q224" i="11"/>
  <c r="P224" i="11"/>
  <c r="S56" i="11"/>
  <c r="P56" i="11"/>
  <c r="O56" i="11"/>
  <c r="R56" i="11"/>
  <c r="Q56" i="11"/>
  <c r="S126" i="11"/>
  <c r="R126" i="11"/>
  <c r="Q126" i="11"/>
  <c r="P126" i="11"/>
  <c r="O126" i="11"/>
  <c r="O139" i="11"/>
  <c r="R139" i="11"/>
  <c r="Q139" i="11"/>
  <c r="P139" i="11"/>
  <c r="S139" i="11"/>
  <c r="Q31" i="11"/>
  <c r="P31" i="11"/>
  <c r="O31" i="11"/>
  <c r="S31" i="11"/>
  <c r="R31" i="11"/>
  <c r="S218" i="11"/>
  <c r="O218" i="11"/>
  <c r="R218" i="11"/>
  <c r="Q218" i="11"/>
  <c r="P218" i="11"/>
  <c r="Q105" i="11"/>
  <c r="S105" i="11"/>
  <c r="R105" i="11"/>
  <c r="P105" i="11"/>
  <c r="O105" i="11"/>
  <c r="Q73" i="11"/>
  <c r="R73" i="11"/>
  <c r="P73" i="11"/>
  <c r="O73" i="11"/>
  <c r="S73" i="11"/>
  <c r="R22" i="11"/>
  <c r="Q22" i="11"/>
  <c r="P22" i="11"/>
  <c r="S22" i="11"/>
  <c r="O22" i="11"/>
  <c r="S45" i="11"/>
  <c r="R45" i="11"/>
  <c r="Q45" i="11"/>
  <c r="O45" i="11"/>
  <c r="P45" i="11"/>
  <c r="Q239" i="11"/>
  <c r="O239" i="11"/>
  <c r="S239" i="11"/>
  <c r="P239" i="11"/>
  <c r="R239" i="11"/>
  <c r="O213" i="11"/>
  <c r="S213" i="11"/>
  <c r="R213" i="11"/>
  <c r="Q213" i="11"/>
  <c r="P213" i="11"/>
  <c r="S260" i="11"/>
  <c r="O260" i="11"/>
  <c r="R260" i="11"/>
  <c r="Q260" i="11"/>
  <c r="P260" i="11"/>
  <c r="BJ44" i="9"/>
  <c r="BJ104" i="9"/>
  <c r="BJ41" i="9"/>
  <c r="BJ45" i="9"/>
  <c r="BJ42" i="9"/>
  <c r="BJ43" i="9"/>
  <c r="BJ95" i="9"/>
  <c r="BJ46" i="9"/>
  <c r="BJ105" i="9"/>
  <c r="BJ96" i="9"/>
  <c r="BJ106" i="9"/>
  <c r="BJ97" i="9"/>
  <c r="BJ98" i="9"/>
  <c r="BJ107" i="9"/>
  <c r="AV107" i="9"/>
  <c r="AV96" i="9"/>
  <c r="AV104" i="9"/>
  <c r="AV95" i="9"/>
  <c r="AV44" i="9"/>
  <c r="AV42" i="9"/>
  <c r="AV46" i="9"/>
  <c r="AV41" i="9"/>
  <c r="AV45" i="9"/>
  <c r="AV43" i="9"/>
  <c r="AV98" i="9"/>
  <c r="AV105" i="9"/>
  <c r="AV106" i="9"/>
  <c r="AV97" i="9"/>
  <c r="BO95" i="9"/>
  <c r="BO41" i="9"/>
  <c r="BO46" i="9"/>
  <c r="BO43" i="9"/>
  <c r="BO42" i="9"/>
  <c r="BO45" i="9"/>
  <c r="BO44" i="9"/>
  <c r="BO106" i="9"/>
  <c r="BO107" i="9"/>
  <c r="BO97" i="9"/>
  <c r="BO105" i="9"/>
  <c r="BO96" i="9"/>
  <c r="BO98" i="9"/>
  <c r="BO104" i="9"/>
  <c r="BA104" i="9"/>
  <c r="BA95" i="9"/>
  <c r="BA44" i="9"/>
  <c r="BA45" i="9"/>
  <c r="BA43" i="9"/>
  <c r="BA41" i="9"/>
  <c r="BA42" i="9"/>
  <c r="BA46" i="9"/>
  <c r="BA98" i="9"/>
  <c r="BA96" i="9"/>
  <c r="BA107" i="9"/>
  <c r="BA106" i="9"/>
  <c r="BA105" i="9"/>
  <c r="BA97" i="9"/>
  <c r="BD95" i="9"/>
  <c r="BD104" i="9"/>
  <c r="BD45" i="9"/>
  <c r="BD44" i="9"/>
  <c r="BD46" i="9"/>
  <c r="BD41" i="9"/>
  <c r="BD43" i="9"/>
  <c r="BD42" i="9"/>
  <c r="BD105" i="9"/>
  <c r="BD107" i="9"/>
  <c r="BD98" i="9"/>
  <c r="BD96" i="9"/>
  <c r="BD97" i="9"/>
  <c r="BD106" i="9"/>
  <c r="S116" i="11"/>
  <c r="R116" i="11"/>
  <c r="Q116" i="11"/>
  <c r="P116" i="11"/>
  <c r="O116" i="11"/>
  <c r="S98" i="11"/>
  <c r="R98" i="11"/>
  <c r="Q98" i="11"/>
  <c r="P98" i="11"/>
  <c r="O98" i="11"/>
  <c r="S7" i="11"/>
  <c r="R7" i="11"/>
  <c r="Q7" i="11"/>
  <c r="O7" i="11"/>
  <c r="P7" i="11"/>
  <c r="S118" i="11"/>
  <c r="R118" i="11"/>
  <c r="Q118" i="11"/>
  <c r="P118" i="11"/>
  <c r="O118" i="11"/>
  <c r="S140" i="11"/>
  <c r="R140" i="11"/>
  <c r="P140" i="11"/>
  <c r="O140" i="11"/>
  <c r="Q140" i="11"/>
  <c r="O203" i="11"/>
  <c r="S203" i="11"/>
  <c r="R203" i="11"/>
  <c r="P203" i="11"/>
  <c r="Q203" i="11"/>
  <c r="S20" i="11"/>
  <c r="R20" i="11"/>
  <c r="Q20" i="11"/>
  <c r="O20" i="11"/>
  <c r="P20" i="11"/>
  <c r="S57" i="11"/>
  <c r="R57" i="11"/>
  <c r="P57" i="11"/>
  <c r="O57" i="11"/>
  <c r="Q57" i="11"/>
  <c r="S196" i="11"/>
  <c r="O196" i="11"/>
  <c r="R196" i="11"/>
  <c r="Q196" i="11"/>
  <c r="P196" i="11"/>
  <c r="O221" i="11"/>
  <c r="S221" i="11"/>
  <c r="R221" i="11"/>
  <c r="Q221" i="11"/>
  <c r="P221" i="11"/>
  <c r="O209" i="11"/>
  <c r="S209" i="11"/>
  <c r="R209" i="11"/>
  <c r="Q209" i="11"/>
  <c r="P209" i="11"/>
  <c r="Q223" i="11"/>
  <c r="O223" i="11"/>
  <c r="S223" i="11"/>
  <c r="R223" i="11"/>
  <c r="P223" i="11"/>
  <c r="S37" i="11"/>
  <c r="R37" i="11"/>
  <c r="Q37" i="11"/>
  <c r="P37" i="11"/>
  <c r="O37" i="11"/>
  <c r="D54" i="5"/>
  <c r="D53" i="5"/>
  <c r="S28" i="11"/>
  <c r="R28" i="11"/>
  <c r="Q28" i="11"/>
  <c r="O28" i="11"/>
  <c r="P28" i="11"/>
  <c r="S90" i="11"/>
  <c r="P90" i="11"/>
  <c r="R90" i="11"/>
  <c r="Q90" i="11"/>
  <c r="O90" i="11"/>
  <c r="S86" i="11"/>
  <c r="Q86" i="11"/>
  <c r="R86" i="11"/>
  <c r="P86" i="11"/>
  <c r="O86" i="11"/>
  <c r="Q117" i="11"/>
  <c r="S117" i="11"/>
  <c r="R117" i="11"/>
  <c r="P117" i="11"/>
  <c r="O117" i="11"/>
  <c r="AA104" i="9"/>
  <c r="AA95" i="9"/>
  <c r="AA46" i="9"/>
  <c r="AA44" i="9"/>
  <c r="AA43" i="9"/>
  <c r="AA42" i="9"/>
  <c r="AA41" i="9"/>
  <c r="AA45" i="9"/>
  <c r="AA106" i="9"/>
  <c r="AA105" i="9"/>
  <c r="AA98" i="9"/>
  <c r="AA107" i="9"/>
  <c r="AA96" i="9"/>
  <c r="AA97" i="9"/>
  <c r="AW45" i="9"/>
  <c r="AW42" i="9"/>
  <c r="AW46" i="9"/>
  <c r="AW41" i="9"/>
  <c r="AW44" i="9"/>
  <c r="AW43" i="9"/>
  <c r="AW105" i="9"/>
  <c r="AW106" i="9"/>
  <c r="AW97" i="9"/>
  <c r="AW96" i="9"/>
  <c r="AW107" i="9"/>
  <c r="AW104" i="9"/>
  <c r="AW98" i="9"/>
  <c r="AW95" i="9"/>
  <c r="O106" i="9"/>
  <c r="O95" i="9"/>
  <c r="O105" i="9"/>
  <c r="O42" i="9"/>
  <c r="O107" i="9"/>
  <c r="O98" i="9"/>
  <c r="O97" i="9"/>
  <c r="O96" i="9"/>
  <c r="O104" i="9"/>
  <c r="O46" i="9"/>
  <c r="O45" i="9"/>
  <c r="O41" i="9"/>
  <c r="O44" i="9"/>
  <c r="O43" i="9"/>
  <c r="BQ104" i="9"/>
  <c r="BQ44" i="9"/>
  <c r="BQ41" i="9"/>
  <c r="BQ42" i="9"/>
  <c r="BQ96" i="9"/>
  <c r="BQ106" i="9"/>
  <c r="BQ95" i="9"/>
  <c r="BQ98" i="9"/>
  <c r="BQ105" i="9"/>
  <c r="BQ97" i="9"/>
  <c r="BQ107" i="9"/>
  <c r="BQ46" i="9"/>
  <c r="BQ45" i="9"/>
  <c r="BQ43" i="9"/>
  <c r="BT104" i="9"/>
  <c r="BT95" i="9"/>
  <c r="BT43" i="9"/>
  <c r="BT45" i="9"/>
  <c r="BT42" i="9"/>
  <c r="BT46" i="9"/>
  <c r="BT41" i="9"/>
  <c r="BT44" i="9"/>
  <c r="BT97" i="9"/>
  <c r="BT106" i="9"/>
  <c r="BT96" i="9"/>
  <c r="BT98" i="9"/>
  <c r="BT107" i="9"/>
  <c r="BT105" i="9"/>
  <c r="S141" i="11"/>
  <c r="Q141" i="11"/>
  <c r="O141" i="11"/>
  <c r="R141" i="11"/>
  <c r="P141" i="11"/>
  <c r="S120" i="11"/>
  <c r="R120" i="11"/>
  <c r="P120" i="11"/>
  <c r="Q120" i="11"/>
  <c r="O120" i="11"/>
  <c r="R72" i="11"/>
  <c r="O72" i="11"/>
  <c r="S72" i="11"/>
  <c r="Q72" i="11"/>
  <c r="P72" i="11"/>
  <c r="S192" i="11"/>
  <c r="O192" i="11"/>
  <c r="R192" i="11"/>
  <c r="Q192" i="11"/>
  <c r="P192" i="11"/>
  <c r="S202" i="11"/>
  <c r="R202" i="11"/>
  <c r="Q202" i="11"/>
  <c r="P202" i="11"/>
  <c r="O202" i="11"/>
  <c r="S129" i="11"/>
  <c r="Q129" i="11"/>
  <c r="R129" i="11"/>
  <c r="P129" i="11"/>
  <c r="O129" i="11"/>
  <c r="S24" i="11"/>
  <c r="R24" i="11"/>
  <c r="Q24" i="11"/>
  <c r="O24" i="11"/>
  <c r="P24" i="11"/>
  <c r="S62" i="11"/>
  <c r="R62" i="11"/>
  <c r="Q62" i="11"/>
  <c r="P62" i="11"/>
  <c r="O62" i="11"/>
  <c r="AR107" i="9"/>
  <c r="AR106" i="9"/>
  <c r="AR98" i="9"/>
  <c r="AR105" i="9"/>
  <c r="AR97" i="9"/>
  <c r="AR96" i="9"/>
  <c r="AR104" i="9"/>
  <c r="AR43" i="9"/>
  <c r="AR44" i="9"/>
  <c r="AR46" i="9"/>
  <c r="AR42" i="9"/>
  <c r="AR41" i="9"/>
  <c r="AR95" i="9"/>
  <c r="AR45" i="9"/>
  <c r="O201" i="11"/>
  <c r="S201" i="11"/>
  <c r="R201" i="11"/>
  <c r="Q201" i="11"/>
  <c r="P201" i="11"/>
  <c r="S244" i="11"/>
  <c r="O244" i="11"/>
  <c r="Q244" i="11"/>
  <c r="P244" i="11"/>
  <c r="R244" i="11"/>
  <c r="S226" i="11"/>
  <c r="R226" i="11"/>
  <c r="Q226" i="11"/>
  <c r="P226" i="11"/>
  <c r="O226" i="11"/>
  <c r="S21" i="11"/>
  <c r="R21" i="11"/>
  <c r="Q21" i="11"/>
  <c r="P21" i="11"/>
  <c r="O21" i="11"/>
  <c r="S258" i="11"/>
  <c r="R258" i="11"/>
  <c r="Q258" i="11"/>
  <c r="O258" i="11"/>
  <c r="P258" i="11"/>
  <c r="O143" i="11"/>
  <c r="S143" i="11"/>
  <c r="R143" i="11"/>
  <c r="Q143" i="11"/>
  <c r="P143" i="11"/>
  <c r="S80" i="11"/>
  <c r="O80" i="11"/>
  <c r="R80" i="11"/>
  <c r="Q80" i="11"/>
  <c r="P80" i="11"/>
  <c r="S41" i="11"/>
  <c r="R41" i="11"/>
  <c r="Q41" i="11"/>
  <c r="P41" i="11"/>
  <c r="O41" i="11"/>
  <c r="D16" i="3"/>
  <c r="D18" i="3"/>
  <c r="D19" i="3" s="1"/>
  <c r="D20" i="3" s="1"/>
  <c r="S232" i="11"/>
  <c r="O232" i="11"/>
  <c r="Q232" i="11"/>
  <c r="R232" i="11"/>
  <c r="P232" i="11"/>
  <c r="S54" i="11"/>
  <c r="R54" i="11"/>
  <c r="P54" i="11"/>
  <c r="O54" i="11"/>
  <c r="Q54" i="11"/>
  <c r="S48" i="11"/>
  <c r="R48" i="11"/>
  <c r="Q48" i="11"/>
  <c r="O48" i="11"/>
  <c r="P48" i="11"/>
  <c r="Q109" i="11"/>
  <c r="S109" i="11"/>
  <c r="R109" i="11"/>
  <c r="P109" i="11"/>
  <c r="O109" i="11"/>
  <c r="BZ95" i="9"/>
  <c r="BZ43" i="9"/>
  <c r="BZ42" i="9"/>
  <c r="BZ46" i="9"/>
  <c r="BZ44" i="9"/>
  <c r="BZ41" i="9"/>
  <c r="BZ45" i="9"/>
  <c r="BZ98" i="9"/>
  <c r="BZ106" i="9"/>
  <c r="BZ104" i="9"/>
  <c r="BZ97" i="9"/>
  <c r="BZ107" i="9"/>
  <c r="BZ96" i="9"/>
  <c r="BZ105" i="9"/>
  <c r="C44" i="9"/>
  <c r="C46" i="9"/>
  <c r="C95" i="9"/>
  <c r="C99" i="9" s="1"/>
  <c r="C114" i="9" s="1"/>
  <c r="C115" i="9" s="1"/>
  <c r="C45" i="9"/>
  <c r="C41" i="9"/>
  <c r="C43" i="9"/>
  <c r="C42" i="9"/>
  <c r="C97" i="9"/>
  <c r="C101" i="9" s="1"/>
  <c r="C118" i="9" s="1"/>
  <c r="C119" i="9" s="1"/>
  <c r="C106" i="9"/>
  <c r="C110" i="9" s="1"/>
  <c r="C127" i="9" s="1"/>
  <c r="C128" i="9" s="1"/>
  <c r="C104" i="9"/>
  <c r="C108" i="9" s="1"/>
  <c r="C123" i="9" s="1"/>
  <c r="C124" i="9" s="1"/>
  <c r="C105" i="9"/>
  <c r="C109" i="9" s="1"/>
  <c r="C125" i="9" s="1"/>
  <c r="C126" i="9" s="1"/>
  <c r="C107" i="9"/>
  <c r="C111" i="9" s="1"/>
  <c r="C129" i="9" s="1"/>
  <c r="C130" i="9" s="1"/>
  <c r="C96" i="9"/>
  <c r="C100" i="9" s="1"/>
  <c r="C116" i="9" s="1"/>
  <c r="C117" i="9" s="1"/>
  <c r="C98" i="9"/>
  <c r="C102" i="9" s="1"/>
  <c r="C120" i="9" s="1"/>
  <c r="C121" i="9" s="1"/>
  <c r="AS44" i="9"/>
  <c r="AS46" i="9"/>
  <c r="AS45" i="9"/>
  <c r="AS106" i="9"/>
  <c r="AS98" i="9"/>
  <c r="AS105" i="9"/>
  <c r="AS97" i="9"/>
  <c r="AS96" i="9"/>
  <c r="AS43" i="9"/>
  <c r="AS42" i="9"/>
  <c r="AS95" i="9"/>
  <c r="AS41" i="9"/>
  <c r="AS104" i="9"/>
  <c r="AS107" i="9"/>
  <c r="CG43" i="9"/>
  <c r="CG41" i="9"/>
  <c r="CG105" i="9"/>
  <c r="CG95" i="9"/>
  <c r="CG96" i="9"/>
  <c r="CG107" i="9"/>
  <c r="CG106" i="9"/>
  <c r="CG104" i="9"/>
  <c r="CG98" i="9"/>
  <c r="CG97" i="9"/>
  <c r="CG44" i="9"/>
  <c r="CG46" i="9"/>
  <c r="CG45" i="9"/>
  <c r="CG42" i="9"/>
  <c r="I106" i="9"/>
  <c r="I95" i="9"/>
  <c r="I97" i="9"/>
  <c r="I46" i="9"/>
  <c r="I44" i="9"/>
  <c r="I43" i="9"/>
  <c r="I104" i="9"/>
  <c r="I45" i="9"/>
  <c r="I41" i="9"/>
  <c r="I42" i="9"/>
  <c r="I98" i="9"/>
  <c r="I105" i="9"/>
  <c r="I96" i="9"/>
  <c r="I107" i="9"/>
  <c r="S242" i="11"/>
  <c r="Q242" i="11"/>
  <c r="P242" i="11"/>
  <c r="O242" i="11"/>
  <c r="R242" i="11"/>
  <c r="S136" i="11"/>
  <c r="R136" i="11"/>
  <c r="P136" i="11"/>
  <c r="O136" i="11"/>
  <c r="Q136" i="11"/>
  <c r="S188" i="11"/>
  <c r="O188" i="11"/>
  <c r="R188" i="11"/>
  <c r="Q188" i="11"/>
  <c r="P188" i="11"/>
  <c r="O197" i="11"/>
  <c r="S197" i="11"/>
  <c r="R197" i="11"/>
  <c r="Q197" i="11"/>
  <c r="P197" i="11"/>
  <c r="S145" i="11"/>
  <c r="Q145" i="11"/>
  <c r="R145" i="11"/>
  <c r="P145" i="11"/>
  <c r="O145" i="11"/>
  <c r="R30" i="11"/>
  <c r="Q30" i="11"/>
  <c r="P30" i="11"/>
  <c r="S30" i="11"/>
  <c r="O30" i="11"/>
  <c r="O241" i="11"/>
  <c r="S241" i="11"/>
  <c r="R241" i="11"/>
  <c r="Q241" i="11"/>
  <c r="P241" i="11"/>
  <c r="P84" i="11"/>
  <c r="O84" i="11"/>
  <c r="S84" i="11"/>
  <c r="R84" i="11"/>
  <c r="Q84" i="11"/>
  <c r="Q39" i="11"/>
  <c r="P39" i="11"/>
  <c r="O39" i="11"/>
  <c r="S39" i="11"/>
  <c r="R39" i="11"/>
  <c r="Q231" i="11"/>
  <c r="O231" i="11"/>
  <c r="S231" i="11"/>
  <c r="P231" i="11"/>
  <c r="R231" i="11"/>
  <c r="S158" i="11"/>
  <c r="Q158" i="11"/>
  <c r="P158" i="11"/>
  <c r="O158" i="11"/>
  <c r="R158" i="11"/>
  <c r="S246" i="11"/>
  <c r="O246" i="11"/>
  <c r="R246" i="11"/>
  <c r="Q246" i="11"/>
  <c r="P246" i="11"/>
  <c r="S184" i="11"/>
  <c r="O184" i="11"/>
  <c r="Q184" i="11"/>
  <c r="P184" i="11"/>
  <c r="R184" i="11"/>
  <c r="BY44" i="9"/>
  <c r="BY43" i="9"/>
  <c r="BY41" i="9"/>
  <c r="BY46" i="9"/>
  <c r="BY42" i="9"/>
  <c r="BY45" i="9"/>
  <c r="BY104" i="9"/>
  <c r="BY95" i="9"/>
  <c r="BY105" i="9"/>
  <c r="BY98" i="9"/>
  <c r="BY107" i="9"/>
  <c r="BY106" i="9"/>
  <c r="BY96" i="9"/>
  <c r="BY97" i="9"/>
  <c r="AG42" i="9"/>
  <c r="AG41" i="9"/>
  <c r="AG43" i="9"/>
  <c r="AG44" i="9"/>
  <c r="AG46" i="9"/>
  <c r="AG97" i="9"/>
  <c r="AG105" i="9"/>
  <c r="AG107" i="9"/>
  <c r="AG96" i="9"/>
  <c r="AG104" i="9"/>
  <c r="AG95" i="9"/>
  <c r="AG98" i="9"/>
  <c r="AG106" i="9"/>
  <c r="AG45" i="9"/>
  <c r="BW46" i="9"/>
  <c r="BW44" i="9"/>
  <c r="BW95" i="9"/>
  <c r="BW105" i="9"/>
  <c r="BW45" i="9"/>
  <c r="BW97" i="9"/>
  <c r="BW43" i="9"/>
  <c r="BW42" i="9"/>
  <c r="BW41" i="9"/>
  <c r="BW107" i="9"/>
  <c r="BW106" i="9"/>
  <c r="BW104" i="9"/>
  <c r="BW98" i="9"/>
  <c r="BW96" i="9"/>
  <c r="F44" i="9"/>
  <c r="F96" i="9"/>
  <c r="F95" i="9"/>
  <c r="F45" i="9"/>
  <c r="F105" i="9"/>
  <c r="F104" i="9"/>
  <c r="F46" i="9"/>
  <c r="F43" i="9"/>
  <c r="F41" i="9"/>
  <c r="F42" i="9"/>
  <c r="F98" i="9"/>
  <c r="F107" i="9"/>
  <c r="F106" i="9"/>
  <c r="F97" i="9"/>
  <c r="Y42" i="9"/>
  <c r="Y41" i="9"/>
  <c r="Y45" i="9"/>
  <c r="Y95" i="9"/>
  <c r="Y46" i="9"/>
  <c r="Y104" i="9"/>
  <c r="Y44" i="9"/>
  <c r="Y43" i="9"/>
  <c r="Y96" i="9"/>
  <c r="Y105" i="9"/>
  <c r="Y98" i="9"/>
  <c r="Y106" i="9"/>
  <c r="Y107" i="9"/>
  <c r="Y97" i="9"/>
  <c r="O155" i="11"/>
  <c r="S155" i="11"/>
  <c r="R155" i="11"/>
  <c r="P155" i="11"/>
  <c r="Q155" i="11"/>
  <c r="O103" i="11"/>
  <c r="S103" i="11"/>
  <c r="R103" i="11"/>
  <c r="Q103" i="11"/>
  <c r="P103" i="11"/>
  <c r="S150" i="11"/>
  <c r="R150" i="11"/>
  <c r="Q150" i="11"/>
  <c r="P150" i="11"/>
  <c r="O150" i="11"/>
  <c r="S124" i="11"/>
  <c r="R124" i="11"/>
  <c r="P124" i="11"/>
  <c r="O124" i="11"/>
  <c r="Q124" i="11"/>
  <c r="S194" i="11"/>
  <c r="R194" i="11"/>
  <c r="P194" i="11"/>
  <c r="Q194" i="11"/>
  <c r="O194" i="11"/>
  <c r="U44" i="9"/>
  <c r="U45" i="9"/>
  <c r="U43" i="9"/>
  <c r="U41" i="9"/>
  <c r="U42" i="9"/>
  <c r="U46" i="9"/>
  <c r="U104" i="9"/>
  <c r="U95" i="9"/>
  <c r="U105" i="9"/>
  <c r="U98" i="9"/>
  <c r="U107" i="9"/>
  <c r="U97" i="9"/>
  <c r="U96" i="9"/>
  <c r="U106" i="9"/>
  <c r="Q251" i="11"/>
  <c r="O251" i="11"/>
  <c r="S251" i="11"/>
  <c r="R251" i="11"/>
  <c r="P251" i="11"/>
  <c r="O179" i="11"/>
  <c r="S179" i="11"/>
  <c r="R179" i="11"/>
  <c r="Q179" i="11"/>
  <c r="P179" i="11"/>
  <c r="S44" i="11"/>
  <c r="R44" i="11"/>
  <c r="Q44" i="11"/>
  <c r="O44" i="11"/>
  <c r="P44" i="11"/>
  <c r="Q8" i="11"/>
  <c r="P8" i="11"/>
  <c r="O8" i="11"/>
  <c r="S8" i="11"/>
  <c r="R8" i="11"/>
  <c r="S254" i="11"/>
  <c r="R254" i="11"/>
  <c r="Q254" i="11"/>
  <c r="P254" i="11"/>
  <c r="O254" i="11"/>
  <c r="O151" i="11"/>
  <c r="S151" i="11"/>
  <c r="R151" i="11"/>
  <c r="Q151" i="11"/>
  <c r="P151" i="11"/>
  <c r="S104" i="11"/>
  <c r="R104" i="11"/>
  <c r="Q104" i="11"/>
  <c r="P104" i="11"/>
  <c r="O104" i="11"/>
  <c r="O189" i="11"/>
  <c r="S189" i="11"/>
  <c r="R189" i="11"/>
  <c r="Q189" i="11"/>
  <c r="P189" i="11"/>
  <c r="AB104" i="9"/>
  <c r="AB46" i="9"/>
  <c r="AB98" i="9"/>
  <c r="AB45" i="9"/>
  <c r="AB97" i="9"/>
  <c r="AB95" i="9"/>
  <c r="AB106" i="9"/>
  <c r="AB107" i="9"/>
  <c r="AB44" i="9"/>
  <c r="AB43" i="9"/>
  <c r="AB42" i="9"/>
  <c r="AB41" i="9"/>
  <c r="AB105" i="9"/>
  <c r="AB96" i="9"/>
  <c r="BK107" i="9"/>
  <c r="BK105" i="9"/>
  <c r="BK97" i="9"/>
  <c r="BK95" i="9"/>
  <c r="BK104" i="9"/>
  <c r="BK96" i="9"/>
  <c r="BK106" i="9"/>
  <c r="BK46" i="9"/>
  <c r="BK42" i="9"/>
  <c r="BK44" i="9"/>
  <c r="BK41" i="9"/>
  <c r="BK45" i="9"/>
  <c r="BK43" i="9"/>
  <c r="BK98" i="9"/>
  <c r="P95" i="9"/>
  <c r="P104" i="9"/>
  <c r="P42" i="9"/>
  <c r="P45" i="9"/>
  <c r="P41" i="9"/>
  <c r="P107" i="9"/>
  <c r="P44" i="9"/>
  <c r="P46" i="9"/>
  <c r="P43" i="9"/>
  <c r="P98" i="9"/>
  <c r="P97" i="9"/>
  <c r="P105" i="9"/>
  <c r="P106" i="9"/>
  <c r="P96" i="9"/>
  <c r="V98" i="9"/>
  <c r="V44" i="9"/>
  <c r="V41" i="9"/>
  <c r="V42" i="9"/>
  <c r="V43" i="9"/>
  <c r="V46" i="9"/>
  <c r="V45" i="9"/>
  <c r="V95" i="9"/>
  <c r="V107" i="9"/>
  <c r="V106" i="9"/>
  <c r="V96" i="9"/>
  <c r="V104" i="9"/>
  <c r="V97" i="9"/>
  <c r="V105" i="9"/>
  <c r="AO41" i="9"/>
  <c r="AO45" i="9"/>
  <c r="AO42" i="9"/>
  <c r="AO44" i="9"/>
  <c r="AO105" i="9"/>
  <c r="AO107" i="9"/>
  <c r="AO106" i="9"/>
  <c r="AO104" i="9"/>
  <c r="AO95" i="9"/>
  <c r="AO98" i="9"/>
  <c r="AO97" i="9"/>
  <c r="AO96" i="9"/>
  <c r="AO43" i="9"/>
  <c r="AO46" i="9"/>
  <c r="S148" i="11"/>
  <c r="R148" i="11"/>
  <c r="Q148" i="11"/>
  <c r="P148" i="11"/>
  <c r="O148" i="11"/>
  <c r="O249" i="11"/>
  <c r="S249" i="11"/>
  <c r="R249" i="11"/>
  <c r="Q249" i="11"/>
  <c r="P249" i="11"/>
  <c r="S198" i="11"/>
  <c r="R198" i="11"/>
  <c r="Q198" i="11"/>
  <c r="P198" i="11"/>
  <c r="O198" i="11"/>
  <c r="O169" i="11"/>
  <c r="S169" i="11"/>
  <c r="R169" i="11"/>
  <c r="Q169" i="11"/>
  <c r="P169" i="11"/>
  <c r="S125" i="11"/>
  <c r="Q125" i="11"/>
  <c r="R125" i="11"/>
  <c r="P125" i="11"/>
  <c r="O125" i="11"/>
  <c r="R34" i="11"/>
  <c r="Q34" i="11"/>
  <c r="P34" i="11"/>
  <c r="O34" i="11"/>
  <c r="S34" i="11"/>
  <c r="O261" i="11"/>
  <c r="S261" i="11"/>
  <c r="R261" i="11"/>
  <c r="Q261" i="11"/>
  <c r="P261" i="11"/>
  <c r="O181" i="11"/>
  <c r="S181" i="11"/>
  <c r="R181" i="11"/>
  <c r="Q181" i="11"/>
  <c r="P181" i="11"/>
  <c r="R42" i="9"/>
  <c r="R43" i="9"/>
  <c r="R104" i="9"/>
  <c r="R95" i="9"/>
  <c r="R45" i="9"/>
  <c r="R41" i="9"/>
  <c r="R44" i="9"/>
  <c r="R46" i="9"/>
  <c r="R96" i="9"/>
  <c r="R98" i="9"/>
  <c r="R105" i="9"/>
  <c r="R107" i="9"/>
  <c r="R97" i="9"/>
  <c r="R106" i="9"/>
  <c r="AK105" i="9"/>
  <c r="AK98" i="9"/>
  <c r="AK106" i="9"/>
  <c r="AK97" i="9"/>
  <c r="AK45" i="9"/>
  <c r="AK43" i="9"/>
  <c r="AK46" i="9"/>
  <c r="AK96" i="9"/>
  <c r="AK95" i="9"/>
  <c r="AK44" i="9"/>
  <c r="AK42" i="9"/>
  <c r="AK41" i="9"/>
  <c r="AK107" i="9"/>
  <c r="AK104" i="9"/>
  <c r="O195" i="11"/>
  <c r="Q195" i="11"/>
  <c r="P195" i="11"/>
  <c r="S195" i="11"/>
  <c r="R195" i="11"/>
  <c r="Q58" i="11"/>
  <c r="P58" i="11"/>
  <c r="O58" i="11"/>
  <c r="S58" i="11"/>
  <c r="R58" i="11"/>
  <c r="R88" i="11"/>
  <c r="Q88" i="11"/>
  <c r="P88" i="11"/>
  <c r="O88" i="11"/>
  <c r="S88" i="11"/>
  <c r="Q47" i="11"/>
  <c r="P47" i="11"/>
  <c r="O47" i="11"/>
  <c r="S47" i="11"/>
  <c r="R47" i="11"/>
  <c r="S160" i="11"/>
  <c r="O160" i="11"/>
  <c r="R160" i="11"/>
  <c r="Q160" i="11"/>
  <c r="P160" i="11"/>
  <c r="S96" i="11"/>
  <c r="R96" i="11"/>
  <c r="Q96" i="11"/>
  <c r="P96" i="11"/>
  <c r="O96" i="11"/>
  <c r="Q23" i="11"/>
  <c r="P23" i="11"/>
  <c r="O23" i="11"/>
  <c r="S23" i="11"/>
  <c r="R23" i="11"/>
  <c r="O253" i="11"/>
  <c r="S253" i="11"/>
  <c r="R253" i="11"/>
  <c r="Q253" i="11"/>
  <c r="P253" i="11"/>
  <c r="S102" i="11"/>
  <c r="R102" i="11"/>
  <c r="Q102" i="11"/>
  <c r="P102" i="11"/>
  <c r="O102" i="11"/>
  <c r="O207" i="11"/>
  <c r="R207" i="11"/>
  <c r="Q207" i="11"/>
  <c r="P207" i="11"/>
  <c r="S207" i="11"/>
  <c r="CA98" i="9"/>
  <c r="CA97" i="9"/>
  <c r="CA96" i="9"/>
  <c r="CA95" i="9"/>
  <c r="CA107" i="9"/>
  <c r="CA106" i="9"/>
  <c r="CA41" i="9"/>
  <c r="CA105" i="9"/>
  <c r="CA104" i="9"/>
  <c r="CA46" i="9"/>
  <c r="CA43" i="9"/>
  <c r="CA42" i="9"/>
  <c r="CA44" i="9"/>
  <c r="CA45" i="9"/>
  <c r="K95" i="9"/>
  <c r="K104" i="9"/>
  <c r="K46" i="9"/>
  <c r="K44" i="9"/>
  <c r="K43" i="9"/>
  <c r="K42" i="9"/>
  <c r="K45" i="9"/>
  <c r="K41" i="9"/>
  <c r="K105" i="9"/>
  <c r="K98" i="9"/>
  <c r="K106" i="9"/>
  <c r="K97" i="9"/>
  <c r="K107" i="9"/>
  <c r="K96" i="9"/>
  <c r="AT104" i="9"/>
  <c r="AT46" i="9"/>
  <c r="AT43" i="9"/>
  <c r="AT44" i="9"/>
  <c r="AT42" i="9"/>
  <c r="AT105" i="9"/>
  <c r="AT95" i="9"/>
  <c r="AT41" i="9"/>
  <c r="AT45" i="9"/>
  <c r="AT97" i="9"/>
  <c r="AT107" i="9"/>
  <c r="AT96" i="9"/>
  <c r="AT106" i="9"/>
  <c r="AT98" i="9"/>
  <c r="AL43" i="9"/>
  <c r="AL46" i="9"/>
  <c r="AL42" i="9"/>
  <c r="AL44" i="9"/>
  <c r="AL41" i="9"/>
  <c r="AL104" i="9"/>
  <c r="AL95" i="9"/>
  <c r="AL45" i="9"/>
  <c r="AL98" i="9"/>
  <c r="AL97" i="9"/>
  <c r="AL96" i="9"/>
  <c r="AL105" i="9"/>
  <c r="AL106" i="9"/>
  <c r="AL107" i="9"/>
  <c r="BE104" i="9"/>
  <c r="BE96" i="9"/>
  <c r="BE105" i="9"/>
  <c r="BE98" i="9"/>
  <c r="BE45" i="9"/>
  <c r="BE97" i="9"/>
  <c r="BE43" i="9"/>
  <c r="BE44" i="9"/>
  <c r="BE42" i="9"/>
  <c r="BE46" i="9"/>
  <c r="BE41" i="9"/>
  <c r="BE106" i="9"/>
  <c r="BE107" i="9"/>
  <c r="BE95" i="9"/>
  <c r="O159" i="11"/>
  <c r="R159" i="11"/>
  <c r="Q159" i="11"/>
  <c r="P159" i="11"/>
  <c r="S159" i="11"/>
  <c r="S156" i="11"/>
  <c r="O156" i="11"/>
  <c r="R156" i="11"/>
  <c r="P156" i="11"/>
  <c r="Q156" i="11"/>
  <c r="O205" i="11"/>
  <c r="S205" i="11"/>
  <c r="R205" i="11"/>
  <c r="Q205" i="11"/>
  <c r="P205" i="11"/>
  <c r="Q101" i="11"/>
  <c r="S101" i="11"/>
  <c r="R101" i="11"/>
  <c r="P101" i="11"/>
  <c r="O101" i="11"/>
  <c r="S40" i="11"/>
  <c r="R40" i="11"/>
  <c r="Q40" i="11"/>
  <c r="O40" i="11"/>
  <c r="P40" i="11"/>
  <c r="S162" i="11"/>
  <c r="R162" i="11"/>
  <c r="P162" i="11"/>
  <c r="Q162" i="11"/>
  <c r="O162" i="11"/>
  <c r="S220" i="11"/>
  <c r="O220" i="11"/>
  <c r="R220" i="11"/>
  <c r="Q220" i="11"/>
  <c r="P220" i="11"/>
  <c r="S206" i="11"/>
  <c r="R206" i="11"/>
  <c r="Q206" i="11"/>
  <c r="O206" i="11"/>
  <c r="P206" i="11"/>
  <c r="AN46" i="9"/>
  <c r="AN104" i="9"/>
  <c r="AN98" i="9"/>
  <c r="AN95" i="9"/>
  <c r="AN106" i="9"/>
  <c r="AN96" i="9"/>
  <c r="AN43" i="9"/>
  <c r="AN42" i="9"/>
  <c r="AN41" i="9"/>
  <c r="AN45" i="9"/>
  <c r="AN44" i="9"/>
  <c r="AN107" i="9"/>
  <c r="AN105" i="9"/>
  <c r="AN97" i="9"/>
  <c r="S178" i="11"/>
  <c r="R178" i="11"/>
  <c r="P178" i="11"/>
  <c r="Q178" i="11"/>
  <c r="O178" i="11"/>
  <c r="O217" i="11"/>
  <c r="S217" i="11"/>
  <c r="R217" i="11"/>
  <c r="Q217" i="11"/>
  <c r="P217" i="11"/>
  <c r="S166" i="11"/>
  <c r="R166" i="11"/>
  <c r="Q166" i="11"/>
  <c r="P166" i="11"/>
  <c r="O166" i="11"/>
  <c r="R66" i="11"/>
  <c r="Q66" i="11"/>
  <c r="P66" i="11"/>
  <c r="S66" i="11"/>
  <c r="O66" i="11"/>
  <c r="R26" i="11"/>
  <c r="Q26" i="11"/>
  <c r="P26" i="11"/>
  <c r="S26" i="11"/>
  <c r="O26" i="11"/>
  <c r="Q43" i="11"/>
  <c r="P43" i="11"/>
  <c r="O43" i="11"/>
  <c r="R43" i="11"/>
  <c r="S43" i="11"/>
  <c r="O9" i="11"/>
  <c r="S9" i="11"/>
  <c r="R9" i="11"/>
  <c r="Q9" i="11"/>
  <c r="P9" i="11"/>
  <c r="Q93" i="11"/>
  <c r="S93" i="11"/>
  <c r="R93" i="11"/>
  <c r="P93" i="11"/>
  <c r="O93" i="11"/>
  <c r="S228" i="11"/>
  <c r="O228" i="11"/>
  <c r="Q228" i="11"/>
  <c r="P228" i="11"/>
  <c r="R228" i="11"/>
  <c r="S154" i="11"/>
  <c r="R154" i="11"/>
  <c r="Q154" i="11"/>
  <c r="P154" i="11"/>
  <c r="O154" i="11"/>
  <c r="S25" i="11"/>
  <c r="R25" i="11"/>
  <c r="Q25" i="11"/>
  <c r="P25" i="11"/>
  <c r="O25" i="11"/>
  <c r="S146" i="11"/>
  <c r="R146" i="11"/>
  <c r="Q146" i="11"/>
  <c r="P146" i="11"/>
  <c r="O146" i="11"/>
  <c r="P50" i="11"/>
  <c r="O50" i="11"/>
  <c r="S50" i="11"/>
  <c r="R50" i="11"/>
  <c r="Q50" i="11"/>
  <c r="S133" i="11"/>
  <c r="Q133" i="11"/>
  <c r="R133" i="11"/>
  <c r="P133" i="11"/>
  <c r="O133" i="11"/>
  <c r="S168" i="11"/>
  <c r="O168" i="11"/>
  <c r="Q168" i="11"/>
  <c r="P168" i="11"/>
  <c r="R168" i="11"/>
  <c r="S6" i="11"/>
  <c r="R6" i="11"/>
  <c r="O6" i="11"/>
  <c r="Q6" i="11"/>
  <c r="P6" i="11"/>
  <c r="P53" i="11"/>
  <c r="O53" i="11"/>
  <c r="S53" i="11"/>
  <c r="R53" i="11"/>
  <c r="Q53" i="11"/>
  <c r="S222" i="11"/>
  <c r="R222" i="11"/>
  <c r="Q222" i="11"/>
  <c r="P222" i="11"/>
  <c r="O222" i="11"/>
  <c r="S128" i="11"/>
  <c r="R128" i="11"/>
  <c r="P128" i="11"/>
  <c r="O128" i="11"/>
  <c r="Q128" i="11"/>
  <c r="Q97" i="9"/>
  <c r="Q104" i="9"/>
  <c r="Q96" i="9"/>
  <c r="Q107" i="9"/>
  <c r="Q106" i="9"/>
  <c r="Q98" i="9"/>
  <c r="Q95" i="9"/>
  <c r="Q42" i="9"/>
  <c r="Q45" i="9"/>
  <c r="Q41" i="9"/>
  <c r="Q44" i="9"/>
  <c r="Q43" i="9"/>
  <c r="Q46" i="9"/>
  <c r="Q105" i="9"/>
  <c r="S44" i="9"/>
  <c r="S42" i="9"/>
  <c r="S107" i="9"/>
  <c r="S105" i="9"/>
  <c r="S41" i="9"/>
  <c r="S45" i="9"/>
  <c r="S43" i="9"/>
  <c r="S46" i="9"/>
  <c r="S106" i="9"/>
  <c r="S97" i="9"/>
  <c r="S104" i="9"/>
  <c r="S96" i="9"/>
  <c r="S98" i="9"/>
  <c r="S95" i="9"/>
  <c r="AH46" i="9"/>
  <c r="AH42" i="9"/>
  <c r="AH44" i="9"/>
  <c r="AH95" i="9"/>
  <c r="AH104" i="9"/>
  <c r="AH41" i="9"/>
  <c r="AH45" i="9"/>
  <c r="AH43" i="9"/>
  <c r="AH96" i="9"/>
  <c r="AH97" i="9"/>
  <c r="AH106" i="9"/>
  <c r="AH107" i="9"/>
  <c r="AH105" i="9"/>
  <c r="AH98" i="9"/>
  <c r="BX44" i="9"/>
  <c r="BX45" i="9"/>
  <c r="BX106" i="9"/>
  <c r="BX104" i="9"/>
  <c r="BX98" i="9"/>
  <c r="BX96" i="9"/>
  <c r="BX95" i="9"/>
  <c r="BX107" i="9"/>
  <c r="BX105" i="9"/>
  <c r="BX97" i="9"/>
  <c r="BX43" i="9"/>
  <c r="BX42" i="9"/>
  <c r="BX41" i="9"/>
  <c r="BX46" i="9"/>
  <c r="BB107" i="9"/>
  <c r="BB106" i="9"/>
  <c r="BB96" i="9"/>
  <c r="BB95" i="9"/>
  <c r="BB104" i="9"/>
  <c r="BB105" i="9"/>
  <c r="BB41" i="9"/>
  <c r="BB98" i="9"/>
  <c r="BB97" i="9"/>
  <c r="BB45" i="9"/>
  <c r="BB42" i="9"/>
  <c r="BB44" i="9"/>
  <c r="BB46" i="9"/>
  <c r="BB43" i="9"/>
  <c r="BU43" i="9"/>
  <c r="BU41" i="9"/>
  <c r="BU46" i="9"/>
  <c r="BU44" i="9"/>
  <c r="BU42" i="9"/>
  <c r="BU107" i="9"/>
  <c r="BU106" i="9"/>
  <c r="BU105" i="9"/>
  <c r="BU95" i="9"/>
  <c r="BU104" i="9"/>
  <c r="BU97" i="9"/>
  <c r="BU98" i="9"/>
  <c r="BU96" i="9"/>
  <c r="BU45" i="9"/>
  <c r="S114" i="11"/>
  <c r="R114" i="11"/>
  <c r="Q114" i="11"/>
  <c r="P114" i="11"/>
  <c r="O114" i="11"/>
  <c r="S256" i="11"/>
  <c r="O256" i="11"/>
  <c r="Q256" i="11"/>
  <c r="P256" i="11"/>
  <c r="R256" i="11"/>
  <c r="Q97" i="11"/>
  <c r="R97" i="11"/>
  <c r="S97" i="11"/>
  <c r="O97" i="11"/>
  <c r="P97" i="11"/>
  <c r="S212" i="11"/>
  <c r="O212" i="11"/>
  <c r="R212" i="11"/>
  <c r="Q212" i="11"/>
  <c r="P212" i="11"/>
  <c r="S61" i="11"/>
  <c r="Q61" i="11"/>
  <c r="P61" i="11"/>
  <c r="O61" i="11"/>
  <c r="R61" i="11"/>
  <c r="AU96" i="9"/>
  <c r="AU104" i="9"/>
  <c r="AU46" i="9"/>
  <c r="AU95" i="9"/>
  <c r="AU44" i="9"/>
  <c r="AU42" i="9"/>
  <c r="AU41" i="9"/>
  <c r="AU45" i="9"/>
  <c r="AU43" i="9"/>
  <c r="AU98" i="9"/>
  <c r="AU106" i="9"/>
  <c r="AU97" i="9"/>
  <c r="AU105" i="9"/>
  <c r="AU107" i="9"/>
  <c r="S49" i="11"/>
  <c r="R49" i="11"/>
  <c r="O49" i="11"/>
  <c r="Q49" i="11"/>
  <c r="P49" i="11"/>
  <c r="S78" i="11"/>
  <c r="R78" i="11"/>
  <c r="Q78" i="11"/>
  <c r="O78" i="11"/>
  <c r="P78" i="11"/>
  <c r="Q85" i="11"/>
  <c r="S85" i="11"/>
  <c r="R85" i="11"/>
  <c r="P85" i="11"/>
  <c r="O85" i="11"/>
  <c r="O157" i="11"/>
  <c r="S157" i="11"/>
  <c r="R157" i="11"/>
  <c r="Q157" i="11"/>
  <c r="P157" i="11"/>
  <c r="O175" i="11"/>
  <c r="R175" i="11"/>
  <c r="Q175" i="11"/>
  <c r="P175" i="11"/>
  <c r="S175" i="11"/>
  <c r="O211" i="11"/>
  <c r="S211" i="11"/>
  <c r="Q211" i="11"/>
  <c r="P211" i="11"/>
  <c r="R211" i="11"/>
  <c r="S144" i="11"/>
  <c r="R144" i="11"/>
  <c r="Q144" i="11"/>
  <c r="P144" i="11"/>
  <c r="O144" i="11"/>
  <c r="S13" i="11"/>
  <c r="P13" i="11"/>
  <c r="O13" i="11"/>
  <c r="R13" i="11"/>
  <c r="Q13" i="11"/>
  <c r="O257" i="11"/>
  <c r="S257" i="11"/>
  <c r="R257" i="11"/>
  <c r="Q257" i="11"/>
  <c r="P257" i="11"/>
  <c r="S230" i="11"/>
  <c r="Q230" i="11"/>
  <c r="R230" i="11"/>
  <c r="P230" i="11"/>
  <c r="O230" i="11"/>
  <c r="S16" i="11"/>
  <c r="R16" i="11"/>
  <c r="Q16" i="11"/>
  <c r="O16" i="11"/>
  <c r="P16" i="11"/>
  <c r="S266" i="11"/>
  <c r="R266" i="11"/>
  <c r="Q266" i="11"/>
  <c r="P266" i="11"/>
  <c r="O266" i="11"/>
  <c r="Q259" i="11"/>
  <c r="P259" i="11"/>
  <c r="O259" i="11"/>
  <c r="S259" i="11"/>
  <c r="R259" i="11"/>
  <c r="O127" i="11"/>
  <c r="S127" i="11"/>
  <c r="Q127" i="11"/>
  <c r="P127" i="11"/>
  <c r="R127" i="11"/>
  <c r="O135" i="11"/>
  <c r="S135" i="11"/>
  <c r="R135" i="11"/>
  <c r="Q135" i="11"/>
  <c r="P135" i="11"/>
  <c r="O173" i="11"/>
  <c r="S173" i="11"/>
  <c r="R173" i="11"/>
  <c r="Q173" i="11"/>
  <c r="P173" i="11"/>
  <c r="O161" i="11"/>
  <c r="S161" i="11"/>
  <c r="R161" i="11"/>
  <c r="P161" i="11"/>
  <c r="Q161" i="11"/>
  <c r="S29" i="11"/>
  <c r="R29" i="11"/>
  <c r="Q29" i="11"/>
  <c r="O29" i="11"/>
  <c r="P29" i="11"/>
  <c r="S174" i="11"/>
  <c r="R174" i="11"/>
  <c r="Q174" i="11"/>
  <c r="P174" i="11"/>
  <c r="O174" i="11"/>
  <c r="Q247" i="11"/>
  <c r="O247" i="11"/>
  <c r="R247" i="11"/>
  <c r="P247" i="11"/>
  <c r="S247" i="11"/>
  <c r="U4" i="11"/>
  <c r="D38" i="2" s="1"/>
  <c r="S4" i="11"/>
  <c r="R4" i="11"/>
  <c r="O4" i="11"/>
  <c r="Q4" i="11"/>
  <c r="P4" i="11"/>
  <c r="Q81" i="11"/>
  <c r="S81" i="11"/>
  <c r="R81" i="11"/>
  <c r="P81" i="11"/>
  <c r="O81" i="11"/>
  <c r="O229" i="11"/>
  <c r="S229" i="11"/>
  <c r="R229" i="11"/>
  <c r="Q229" i="11"/>
  <c r="P229" i="11"/>
  <c r="O91" i="11"/>
  <c r="R91" i="11"/>
  <c r="S91" i="11"/>
  <c r="Q91" i="11"/>
  <c r="P91" i="11"/>
  <c r="S204" i="11"/>
  <c r="O204" i="11"/>
  <c r="R204" i="11"/>
  <c r="Q204" i="11"/>
  <c r="P204" i="11"/>
  <c r="O225" i="11"/>
  <c r="S225" i="11"/>
  <c r="R225" i="11"/>
  <c r="Q225" i="11"/>
  <c r="P225" i="11"/>
  <c r="AD98" i="9"/>
  <c r="AD104" i="9"/>
  <c r="AD95" i="9"/>
  <c r="AD46" i="9"/>
  <c r="AD44" i="9"/>
  <c r="AD43" i="9"/>
  <c r="AD42" i="9"/>
  <c r="AD41" i="9"/>
  <c r="AD45" i="9"/>
  <c r="AD106" i="9"/>
  <c r="AD96" i="9"/>
  <c r="AD97" i="9"/>
  <c r="AD105" i="9"/>
  <c r="AD107" i="9"/>
  <c r="AC46" i="9"/>
  <c r="AC44" i="9"/>
  <c r="AC104" i="9"/>
  <c r="AC107" i="9"/>
  <c r="AC106" i="9"/>
  <c r="AC97" i="9"/>
  <c r="AC43" i="9"/>
  <c r="AC42" i="9"/>
  <c r="AC95" i="9"/>
  <c r="AC41" i="9"/>
  <c r="AC45" i="9"/>
  <c r="AC105" i="9"/>
  <c r="AC98" i="9"/>
  <c r="AC96" i="9"/>
  <c r="BL98" i="9"/>
  <c r="BL107" i="9"/>
  <c r="BL105" i="9"/>
  <c r="BL97" i="9"/>
  <c r="BL95" i="9"/>
  <c r="BL104" i="9"/>
  <c r="BL106" i="9"/>
  <c r="BL96" i="9"/>
  <c r="BL42" i="9"/>
  <c r="BL44" i="9"/>
  <c r="BL41" i="9"/>
  <c r="BL46" i="9"/>
  <c r="BL45" i="9"/>
  <c r="BL43" i="9"/>
  <c r="D96" i="9"/>
  <c r="D95" i="9"/>
  <c r="D105" i="9"/>
  <c r="D98" i="9"/>
  <c r="D97" i="9"/>
  <c r="D41" i="9"/>
  <c r="D46" i="9"/>
  <c r="D44" i="9"/>
  <c r="D104" i="9"/>
  <c r="D43" i="9"/>
  <c r="D42" i="9"/>
  <c r="D45" i="9"/>
  <c r="D106" i="9"/>
  <c r="D107" i="9"/>
  <c r="BR97" i="9"/>
  <c r="BR104" i="9"/>
  <c r="BR98" i="9"/>
  <c r="BR46" i="9"/>
  <c r="BR45" i="9"/>
  <c r="BR43" i="9"/>
  <c r="BR96" i="9"/>
  <c r="BR41" i="9"/>
  <c r="BR44" i="9"/>
  <c r="BR42" i="9"/>
  <c r="BR107" i="9"/>
  <c r="BR106" i="9"/>
  <c r="BR95" i="9"/>
  <c r="BR105" i="9"/>
  <c r="J46" i="9"/>
  <c r="J104" i="9"/>
  <c r="J41" i="9"/>
  <c r="J105" i="9"/>
  <c r="J107" i="9"/>
  <c r="J98" i="9"/>
  <c r="J106" i="9"/>
  <c r="J97" i="9"/>
  <c r="J95" i="9"/>
  <c r="J44" i="9"/>
  <c r="J43" i="9"/>
  <c r="J45" i="9"/>
  <c r="J42" i="9"/>
  <c r="J96" i="9"/>
  <c r="R38" i="11"/>
  <c r="Q38" i="11"/>
  <c r="P38" i="11"/>
  <c r="S38" i="11"/>
  <c r="O38" i="11"/>
  <c r="S172" i="11"/>
  <c r="O172" i="11"/>
  <c r="R172" i="11"/>
  <c r="Q172" i="11"/>
  <c r="P172" i="11"/>
  <c r="S106" i="11"/>
  <c r="R106" i="11"/>
  <c r="Q106" i="11"/>
  <c r="O106" i="11"/>
  <c r="P106" i="11"/>
  <c r="S92" i="11"/>
  <c r="R92" i="11"/>
  <c r="Q92" i="11"/>
  <c r="P92" i="11"/>
  <c r="O92" i="11"/>
  <c r="Q89" i="11"/>
  <c r="S89" i="11"/>
  <c r="P89" i="11"/>
  <c r="O89" i="11"/>
  <c r="R89" i="11"/>
  <c r="O165" i="11"/>
  <c r="S165" i="11"/>
  <c r="R165" i="11"/>
  <c r="Q165" i="11"/>
  <c r="P165" i="11"/>
  <c r="O119" i="11"/>
  <c r="S119" i="11"/>
  <c r="R119" i="11"/>
  <c r="Q119" i="11"/>
  <c r="P119" i="11"/>
  <c r="Q69" i="11"/>
  <c r="R69" i="11"/>
  <c r="S69" i="11"/>
  <c r="P69" i="11"/>
  <c r="O69" i="11"/>
  <c r="R51" i="11"/>
  <c r="O51" i="11"/>
  <c r="S51" i="11"/>
  <c r="Q51" i="11"/>
  <c r="P51" i="11"/>
  <c r="S11" i="11"/>
  <c r="R11" i="11"/>
  <c r="O11" i="11"/>
  <c r="Q11" i="11"/>
  <c r="P11" i="11"/>
  <c r="S65" i="11"/>
  <c r="R65" i="11"/>
  <c r="Q65" i="11"/>
  <c r="O65" i="11"/>
  <c r="P65" i="11"/>
  <c r="R71" i="11"/>
  <c r="Q71" i="11"/>
  <c r="O71" i="11"/>
  <c r="P71" i="11"/>
  <c r="S71" i="11"/>
  <c r="S238" i="11"/>
  <c r="R238" i="11"/>
  <c r="Q238" i="11"/>
  <c r="P238" i="11"/>
  <c r="O238" i="11"/>
  <c r="O111" i="11"/>
  <c r="S111" i="11"/>
  <c r="R111" i="11"/>
  <c r="Q111" i="11"/>
  <c r="P111" i="11"/>
  <c r="O219" i="11"/>
  <c r="S219" i="11"/>
  <c r="R219" i="11"/>
  <c r="P219" i="11"/>
  <c r="Q219" i="11"/>
  <c r="S137" i="11"/>
  <c r="Q137" i="11"/>
  <c r="R137" i="11"/>
  <c r="P137" i="11"/>
  <c r="O137" i="11"/>
  <c r="AX104" i="9"/>
  <c r="AX95" i="9"/>
  <c r="AX45" i="9"/>
  <c r="AX46" i="9"/>
  <c r="AX41" i="9"/>
  <c r="AX44" i="9"/>
  <c r="AX42" i="9"/>
  <c r="AX43" i="9"/>
  <c r="AX96" i="9"/>
  <c r="AX97" i="9"/>
  <c r="AX107" i="9"/>
  <c r="AX105" i="9"/>
  <c r="AX106" i="9"/>
  <c r="AX98" i="9"/>
  <c r="CB41" i="9"/>
  <c r="CB46" i="9"/>
  <c r="CB45" i="9"/>
  <c r="CB43" i="9"/>
  <c r="CB97" i="9"/>
  <c r="CB96" i="9"/>
  <c r="CB95" i="9"/>
  <c r="CB106" i="9"/>
  <c r="CB105" i="9"/>
  <c r="CB104" i="9"/>
  <c r="CB42" i="9"/>
  <c r="CB44" i="9"/>
  <c r="CB98" i="9"/>
  <c r="CB107" i="9"/>
  <c r="L44" i="9"/>
  <c r="L43" i="9"/>
  <c r="L96" i="9"/>
  <c r="L42" i="9"/>
  <c r="L45" i="9"/>
  <c r="L41" i="9"/>
  <c r="L46" i="9"/>
  <c r="L105" i="9"/>
  <c r="L107" i="9"/>
  <c r="L98" i="9"/>
  <c r="L106" i="9"/>
  <c r="L104" i="9"/>
  <c r="L97" i="9"/>
  <c r="L95" i="9"/>
  <c r="T44" i="9"/>
  <c r="T42" i="9"/>
  <c r="T43" i="9"/>
  <c r="T104" i="9"/>
  <c r="T107" i="9"/>
  <c r="T96" i="9"/>
  <c r="T106" i="9"/>
  <c r="T95" i="9"/>
  <c r="T97" i="9"/>
  <c r="T98" i="9"/>
  <c r="T105" i="9"/>
  <c r="T41" i="9"/>
  <c r="T45" i="9"/>
  <c r="T46" i="9"/>
  <c r="G42" i="9"/>
  <c r="G106" i="9"/>
  <c r="G105" i="9"/>
  <c r="G96" i="9"/>
  <c r="G107" i="9"/>
  <c r="G98" i="9"/>
  <c r="G104" i="9"/>
  <c r="G95" i="9"/>
  <c r="G97" i="9"/>
  <c r="G46" i="9"/>
  <c r="G44" i="9"/>
  <c r="G45" i="9"/>
  <c r="G43" i="9"/>
  <c r="G41" i="9"/>
  <c r="Z45" i="9"/>
  <c r="Z95" i="9"/>
  <c r="Z41" i="9"/>
  <c r="Z46" i="9"/>
  <c r="Z104" i="9"/>
  <c r="Z42" i="9"/>
  <c r="Z43" i="9"/>
  <c r="Z44" i="9"/>
  <c r="Z98" i="9"/>
  <c r="Z107" i="9"/>
  <c r="Z106" i="9"/>
  <c r="Z97" i="9"/>
  <c r="Z105" i="9"/>
  <c r="Z96" i="9"/>
  <c r="O245" i="11"/>
  <c r="S245" i="11"/>
  <c r="R245" i="11"/>
  <c r="Q245" i="11"/>
  <c r="P245" i="11"/>
  <c r="S216" i="11"/>
  <c r="O216" i="11"/>
  <c r="Q216" i="11"/>
  <c r="P216" i="11"/>
  <c r="R216" i="11"/>
  <c r="O95" i="11"/>
  <c r="S95" i="11"/>
  <c r="R95" i="11"/>
  <c r="Q95" i="11"/>
  <c r="P95" i="11"/>
  <c r="Q15" i="11"/>
  <c r="P15" i="11"/>
  <c r="O15" i="11"/>
  <c r="S15" i="11"/>
  <c r="R15" i="11"/>
  <c r="S138" i="11"/>
  <c r="R138" i="11"/>
  <c r="P138" i="11"/>
  <c r="O138" i="11"/>
  <c r="Q138" i="11"/>
  <c r="O131" i="11"/>
  <c r="S131" i="11"/>
  <c r="R131" i="11"/>
  <c r="Q131" i="11"/>
  <c r="P131" i="11"/>
  <c r="S186" i="11"/>
  <c r="Q186" i="11"/>
  <c r="P186" i="11"/>
  <c r="O186" i="11"/>
  <c r="R186" i="11"/>
  <c r="S236" i="11"/>
  <c r="O236" i="11"/>
  <c r="R236" i="11"/>
  <c r="Q236" i="11"/>
  <c r="P236" i="11"/>
  <c r="S182" i="11"/>
  <c r="R182" i="11"/>
  <c r="Q182" i="11"/>
  <c r="P182" i="11"/>
  <c r="O182" i="11"/>
  <c r="O233" i="11"/>
  <c r="S233" i="11"/>
  <c r="R233" i="11"/>
  <c r="P233" i="11"/>
  <c r="Q233" i="11"/>
  <c r="R55" i="11"/>
  <c r="O55" i="11"/>
  <c r="P55" i="11"/>
  <c r="S55" i="11"/>
  <c r="Q55" i="11"/>
  <c r="S36" i="11"/>
  <c r="R36" i="11"/>
  <c r="Q36" i="11"/>
  <c r="O36" i="11"/>
  <c r="P36" i="11"/>
  <c r="O265" i="11"/>
  <c r="S265" i="11"/>
  <c r="R265" i="11"/>
  <c r="Q265" i="11"/>
  <c r="P265" i="11"/>
  <c r="S152" i="11"/>
  <c r="R152" i="11"/>
  <c r="Q152" i="11"/>
  <c r="P152" i="11"/>
  <c r="O152" i="11"/>
  <c r="O183" i="11"/>
  <c r="S183" i="11"/>
  <c r="R183" i="11"/>
  <c r="Q183" i="11"/>
  <c r="P183" i="11"/>
  <c r="O107" i="11"/>
  <c r="S107" i="11"/>
  <c r="R107" i="11"/>
  <c r="Q107" i="11"/>
  <c r="P107" i="11"/>
  <c r="S108" i="11"/>
  <c r="R108" i="11"/>
  <c r="Q108" i="11"/>
  <c r="P108" i="11"/>
  <c r="O108" i="11"/>
  <c r="Q35" i="11"/>
  <c r="P35" i="11"/>
  <c r="O35" i="11"/>
  <c r="S35" i="11"/>
  <c r="R35" i="11"/>
  <c r="CC46" i="9"/>
  <c r="CC43" i="9"/>
  <c r="CC95" i="9"/>
  <c r="CC104" i="9"/>
  <c r="CC45" i="9"/>
  <c r="CC44" i="9"/>
  <c r="CC42" i="9"/>
  <c r="CC41" i="9"/>
  <c r="CC97" i="9"/>
  <c r="CC106" i="9"/>
  <c r="CC105" i="9"/>
  <c r="CC107" i="9"/>
  <c r="CC96" i="9"/>
  <c r="CC98" i="9"/>
  <c r="AE96" i="9"/>
  <c r="AE42" i="9"/>
  <c r="AE41" i="9"/>
  <c r="AE45" i="9"/>
  <c r="AE43" i="9"/>
  <c r="AE44" i="9"/>
  <c r="AE95" i="9"/>
  <c r="AE105" i="9"/>
  <c r="AE97" i="9"/>
  <c r="AE104" i="9"/>
  <c r="AE106" i="9"/>
  <c r="AE46" i="9"/>
  <c r="AE107" i="9"/>
  <c r="AE98" i="9"/>
  <c r="AI45" i="9"/>
  <c r="AI43" i="9"/>
  <c r="AI46" i="9"/>
  <c r="AI42" i="9"/>
  <c r="AI44" i="9"/>
  <c r="AI107" i="9"/>
  <c r="AI98" i="9"/>
  <c r="AI97" i="9"/>
  <c r="AI96" i="9"/>
  <c r="AI104" i="9"/>
  <c r="AI105" i="9"/>
  <c r="AI95" i="9"/>
  <c r="AI41" i="9"/>
  <c r="AI106" i="9"/>
  <c r="AJ45" i="9"/>
  <c r="AJ43" i="9"/>
  <c r="AJ46" i="9"/>
  <c r="AJ42" i="9"/>
  <c r="AJ104" i="9"/>
  <c r="AJ107" i="9"/>
  <c r="AJ96" i="9"/>
  <c r="AJ95" i="9"/>
  <c r="AJ105" i="9"/>
  <c r="AJ98" i="9"/>
  <c r="AJ106" i="9"/>
  <c r="AJ97" i="9"/>
  <c r="AJ41" i="9"/>
  <c r="AJ44" i="9"/>
  <c r="W43" i="9"/>
  <c r="W45" i="9"/>
  <c r="W106" i="9"/>
  <c r="W104" i="9"/>
  <c r="W95" i="9"/>
  <c r="W97" i="9"/>
  <c r="W96" i="9"/>
  <c r="W105" i="9"/>
  <c r="W98" i="9"/>
  <c r="W107" i="9"/>
  <c r="W46" i="9"/>
  <c r="W41" i="9"/>
  <c r="W42" i="9"/>
  <c r="W44" i="9"/>
  <c r="AP98" i="9"/>
  <c r="AP104" i="9"/>
  <c r="AP43" i="9"/>
  <c r="AP46" i="9"/>
  <c r="AP44" i="9"/>
  <c r="AP41" i="9"/>
  <c r="AP45" i="9"/>
  <c r="AP42" i="9"/>
  <c r="AP105" i="9"/>
  <c r="AP107" i="9"/>
  <c r="AP106" i="9"/>
  <c r="AP97" i="9"/>
  <c r="AP95" i="9"/>
  <c r="AP96" i="9"/>
  <c r="Q19" i="11"/>
  <c r="P19" i="11"/>
  <c r="O19" i="11"/>
  <c r="S19" i="11"/>
  <c r="R19" i="11"/>
  <c r="S210" i="11"/>
  <c r="R210" i="11"/>
  <c r="P210" i="11"/>
  <c r="O210" i="11"/>
  <c r="Q210" i="11"/>
  <c r="S122" i="11"/>
  <c r="R122" i="11"/>
  <c r="Q122" i="11"/>
  <c r="P122" i="11"/>
  <c r="O122" i="11"/>
  <c r="S149" i="11"/>
  <c r="Q149" i="11"/>
  <c r="R149" i="11"/>
  <c r="P149" i="11"/>
  <c r="O149" i="11"/>
  <c r="O185" i="11"/>
  <c r="S185" i="11"/>
  <c r="R185" i="11"/>
  <c r="Q185" i="11"/>
  <c r="P185" i="11"/>
  <c r="S60" i="11"/>
  <c r="R60" i="11"/>
  <c r="P60" i="11"/>
  <c r="O60" i="11"/>
  <c r="Q60" i="11"/>
  <c r="Q263" i="11"/>
  <c r="P263" i="11"/>
  <c r="O263" i="11"/>
  <c r="S263" i="11"/>
  <c r="R263" i="11"/>
  <c r="S248" i="11"/>
  <c r="O248" i="11"/>
  <c r="R248" i="11"/>
  <c r="Q248" i="11"/>
  <c r="P248" i="11"/>
  <c r="O123" i="11"/>
  <c r="S123" i="11"/>
  <c r="R123" i="11"/>
  <c r="Q123" i="11"/>
  <c r="P123" i="11"/>
  <c r="Q235" i="11"/>
  <c r="O235" i="11"/>
  <c r="S235" i="11"/>
  <c r="R235" i="11"/>
  <c r="P235" i="11"/>
  <c r="S153" i="11"/>
  <c r="R153" i="11"/>
  <c r="Q153" i="11"/>
  <c r="P153" i="11"/>
  <c r="O153" i="11"/>
  <c r="O147" i="11"/>
  <c r="S147" i="11"/>
  <c r="R147" i="11"/>
  <c r="Q147" i="11"/>
  <c r="P147" i="11"/>
  <c r="R18" i="11"/>
  <c r="Q18" i="11"/>
  <c r="P18" i="11"/>
  <c r="O18" i="11"/>
  <c r="S18" i="11"/>
  <c r="O199" i="11"/>
  <c r="S199" i="11"/>
  <c r="R199" i="11"/>
  <c r="Q199" i="11"/>
  <c r="P199" i="11"/>
  <c r="S142" i="11"/>
  <c r="R142" i="11"/>
  <c r="Q142" i="11"/>
  <c r="P142" i="11"/>
  <c r="O142" i="11"/>
  <c r="S14" i="11"/>
  <c r="R14" i="11"/>
  <c r="Q14" i="11"/>
  <c r="P14" i="11"/>
  <c r="O14" i="11"/>
  <c r="S200" i="11"/>
  <c r="O200" i="11"/>
  <c r="Q200" i="11"/>
  <c r="P200" i="11"/>
  <c r="R200" i="11"/>
  <c r="CD43" i="9"/>
  <c r="CD42" i="9"/>
  <c r="CD96" i="9"/>
  <c r="CD105" i="9"/>
  <c r="CD45" i="9"/>
  <c r="CD44" i="9"/>
  <c r="CD41" i="9"/>
  <c r="CD46" i="9"/>
  <c r="CD106" i="9"/>
  <c r="CD97" i="9"/>
  <c r="CD95" i="9"/>
  <c r="CD107" i="9"/>
  <c r="CD104" i="9"/>
  <c r="CD98" i="9"/>
  <c r="BM104" i="9"/>
  <c r="BM95" i="9"/>
  <c r="BM45" i="9"/>
  <c r="BM42" i="9"/>
  <c r="BM44" i="9"/>
  <c r="BM41" i="9"/>
  <c r="BM46" i="9"/>
  <c r="BM43" i="9"/>
  <c r="BM105" i="9"/>
  <c r="BM107" i="9"/>
  <c r="BM98" i="9"/>
  <c r="BM97" i="9"/>
  <c r="BM96" i="9"/>
  <c r="BM106" i="9"/>
  <c r="AZ104" i="9"/>
  <c r="AZ95" i="9"/>
  <c r="AZ44" i="9"/>
  <c r="AZ41" i="9"/>
  <c r="AZ45" i="9"/>
  <c r="AZ46" i="9"/>
  <c r="AZ42" i="9"/>
  <c r="AZ43" i="9"/>
  <c r="AZ97" i="9"/>
  <c r="AZ106" i="9"/>
  <c r="AZ96" i="9"/>
  <c r="AZ105" i="9"/>
  <c r="AZ98" i="9"/>
  <c r="AZ107" i="9"/>
  <c r="AM106" i="9"/>
  <c r="AM107" i="9"/>
  <c r="AM104" i="9"/>
  <c r="AM105" i="9"/>
  <c r="AM98" i="9"/>
  <c r="AM95" i="9"/>
  <c r="AM97" i="9"/>
  <c r="AM96" i="9"/>
  <c r="AM45" i="9"/>
  <c r="AM46" i="9"/>
  <c r="AM44" i="9"/>
  <c r="AM43" i="9"/>
  <c r="AM41" i="9"/>
  <c r="AM42" i="9"/>
  <c r="BF45" i="9"/>
  <c r="BF41" i="9"/>
  <c r="BF104" i="9"/>
  <c r="BF95" i="9"/>
  <c r="BF43" i="9"/>
  <c r="BF42" i="9"/>
  <c r="BF46" i="9"/>
  <c r="BF44" i="9"/>
  <c r="BF97" i="9"/>
  <c r="BF106" i="9"/>
  <c r="BF98" i="9"/>
  <c r="BF107" i="9"/>
  <c r="BF105" i="9"/>
  <c r="BF96" i="9"/>
  <c r="Q5" i="11"/>
  <c r="P5" i="11"/>
  <c r="O5" i="11"/>
  <c r="S5" i="11"/>
  <c r="R5" i="11"/>
  <c r="O115" i="11"/>
  <c r="S115" i="11"/>
  <c r="R115" i="11"/>
  <c r="Q115" i="11"/>
  <c r="P115" i="11"/>
  <c r="R42" i="11"/>
  <c r="Q42" i="11"/>
  <c r="P42" i="11"/>
  <c r="S42" i="11"/>
  <c r="O42" i="11"/>
  <c r="Q27" i="11"/>
  <c r="P27" i="11"/>
  <c r="O27" i="11"/>
  <c r="S27" i="11"/>
  <c r="R27" i="11"/>
  <c r="O215" i="11"/>
  <c r="Q215" i="11"/>
  <c r="P215" i="11"/>
  <c r="S215" i="11"/>
  <c r="R215" i="11"/>
  <c r="O193" i="11"/>
  <c r="S193" i="11"/>
  <c r="R193" i="11"/>
  <c r="Q193" i="11"/>
  <c r="P193" i="11"/>
  <c r="R63" i="11"/>
  <c r="O63" i="11"/>
  <c r="S63" i="11"/>
  <c r="Q63" i="11"/>
  <c r="P63" i="11"/>
  <c r="S170" i="11"/>
  <c r="Q170" i="11"/>
  <c r="P170" i="11"/>
  <c r="O170" i="11"/>
  <c r="R170" i="11"/>
  <c r="S79" i="11"/>
  <c r="Q79" i="11"/>
  <c r="P79" i="11"/>
  <c r="O79" i="11"/>
  <c r="R79" i="11"/>
  <c r="S190" i="11"/>
  <c r="O190" i="11"/>
  <c r="R190" i="11"/>
  <c r="Q190" i="11"/>
  <c r="P190" i="11"/>
  <c r="S52" i="11"/>
  <c r="R52" i="11"/>
  <c r="O52" i="11"/>
  <c r="Q52" i="11"/>
  <c r="P52" i="11"/>
  <c r="S180" i="11"/>
  <c r="O180" i="11"/>
  <c r="R180" i="11"/>
  <c r="Q180" i="11"/>
  <c r="P180" i="11"/>
  <c r="Q113" i="11"/>
  <c r="S113" i="11"/>
  <c r="R113" i="11"/>
  <c r="P113" i="11"/>
  <c r="O113" i="11"/>
  <c r="S75" i="11"/>
  <c r="Q75" i="11"/>
  <c r="O75" i="11"/>
  <c r="R75" i="11"/>
  <c r="P75" i="11"/>
  <c r="R59" i="11"/>
  <c r="O59" i="11"/>
  <c r="Q59" i="11"/>
  <c r="P59" i="11"/>
  <c r="S59" i="11"/>
  <c r="S64" i="11"/>
  <c r="O64" i="11"/>
  <c r="R64" i="11"/>
  <c r="Q64" i="11"/>
  <c r="P64" i="11"/>
  <c r="S134" i="11"/>
  <c r="R134" i="11"/>
  <c r="Q134" i="11"/>
  <c r="P134" i="11"/>
  <c r="O134" i="11"/>
  <c r="AY95" i="9"/>
  <c r="AY105" i="9"/>
  <c r="AY98" i="9"/>
  <c r="AY46" i="9"/>
  <c r="AY41" i="9"/>
  <c r="AY45" i="9"/>
  <c r="AY96" i="9"/>
  <c r="AY44" i="9"/>
  <c r="AY42" i="9"/>
  <c r="AY43" i="9"/>
  <c r="AY107" i="9"/>
  <c r="AY97" i="9"/>
  <c r="AY106" i="9"/>
  <c r="AY104" i="9"/>
  <c r="AF44" i="9"/>
  <c r="AF98" i="9"/>
  <c r="AF97" i="9"/>
  <c r="AF104" i="9"/>
  <c r="AF95" i="9"/>
  <c r="AF107" i="9"/>
  <c r="AF41" i="9"/>
  <c r="AF106" i="9"/>
  <c r="AF46" i="9"/>
  <c r="AF42" i="9"/>
  <c r="AF43" i="9"/>
  <c r="AF45" i="9"/>
  <c r="AF96" i="9"/>
  <c r="AF105" i="9"/>
  <c r="M95" i="9"/>
  <c r="M44" i="9"/>
  <c r="M43" i="9"/>
  <c r="M42" i="9"/>
  <c r="M45" i="9"/>
  <c r="M41" i="9"/>
  <c r="M46" i="9"/>
  <c r="M104" i="9"/>
  <c r="M97" i="9"/>
  <c r="M98" i="9"/>
  <c r="M96" i="9"/>
  <c r="M105" i="9"/>
  <c r="M106" i="9"/>
  <c r="M107" i="9"/>
  <c r="BP45" i="9"/>
  <c r="BP42" i="9"/>
  <c r="BP104" i="9"/>
  <c r="BP95" i="9"/>
  <c r="BP44" i="9"/>
  <c r="BP46" i="9"/>
  <c r="BP41" i="9"/>
  <c r="BP43" i="9"/>
  <c r="BP107" i="9"/>
  <c r="BP96" i="9"/>
  <c r="BP98" i="9"/>
  <c r="BP105" i="9"/>
  <c r="BP106" i="9"/>
  <c r="BP97" i="9"/>
  <c r="BC95" i="9"/>
  <c r="BC45" i="9"/>
  <c r="BC42" i="9"/>
  <c r="BC44" i="9"/>
  <c r="BC46" i="9"/>
  <c r="BC43" i="9"/>
  <c r="BC41" i="9"/>
  <c r="BC104" i="9"/>
  <c r="BC96" i="9"/>
  <c r="BC105" i="9"/>
  <c r="BC97" i="9"/>
  <c r="BC106" i="9"/>
  <c r="BC98" i="9"/>
  <c r="BC107" i="9"/>
  <c r="BV41" i="9"/>
  <c r="BV46" i="9"/>
  <c r="BV104" i="9"/>
  <c r="BV95" i="9"/>
  <c r="BV45" i="9"/>
  <c r="BV43" i="9"/>
  <c r="BV44" i="9"/>
  <c r="BV42" i="9"/>
  <c r="BV106" i="9"/>
  <c r="BV105" i="9"/>
  <c r="BV107" i="9"/>
  <c r="BV97" i="9"/>
  <c r="BV98" i="9"/>
  <c r="BV96" i="9"/>
  <c r="S100" i="11"/>
  <c r="Q100" i="11"/>
  <c r="R100" i="11"/>
  <c r="O100" i="11"/>
  <c r="P100" i="11"/>
  <c r="Q77" i="11"/>
  <c r="P77" i="11"/>
  <c r="O77" i="11"/>
  <c r="S77" i="11"/>
  <c r="R77" i="11"/>
  <c r="P70" i="11"/>
  <c r="S70" i="11"/>
  <c r="R70" i="11"/>
  <c r="Q70" i="11"/>
  <c r="O70" i="11"/>
  <c r="R10" i="11"/>
  <c r="Q10" i="11"/>
  <c r="P10" i="11"/>
  <c r="O10" i="11"/>
  <c r="S10" i="11"/>
  <c r="S110" i="11"/>
  <c r="R110" i="11"/>
  <c r="Q110" i="11"/>
  <c r="P110" i="11"/>
  <c r="O110" i="11"/>
  <c r="S132" i="11"/>
  <c r="R132" i="11"/>
  <c r="P132" i="11"/>
  <c r="O132" i="11"/>
  <c r="Q132" i="11"/>
  <c r="S262" i="11"/>
  <c r="P262" i="11"/>
  <c r="O262" i="11"/>
  <c r="R262" i="11"/>
  <c r="Q262" i="11"/>
  <c r="S33" i="11"/>
  <c r="R33" i="11"/>
  <c r="Q33" i="11"/>
  <c r="P33" i="11"/>
  <c r="O33" i="11"/>
  <c r="O177" i="11"/>
  <c r="S177" i="11"/>
  <c r="R177" i="11"/>
  <c r="Q177" i="11"/>
  <c r="P177" i="11"/>
  <c r="R46" i="11"/>
  <c r="Q46" i="11"/>
  <c r="P46" i="11"/>
  <c r="S46" i="11"/>
  <c r="O46" i="11"/>
  <c r="S250" i="11"/>
  <c r="Q250" i="11"/>
  <c r="P250" i="11"/>
  <c r="O250" i="11"/>
  <c r="R250" i="11"/>
  <c r="R87" i="11"/>
  <c r="P87" i="11"/>
  <c r="Q87" i="11"/>
  <c r="O87" i="11"/>
  <c r="S87" i="11"/>
  <c r="S112" i="11"/>
  <c r="R112" i="11"/>
  <c r="Q112" i="11"/>
  <c r="P112" i="11"/>
  <c r="O112" i="11"/>
  <c r="S82" i="11"/>
  <c r="Q82" i="11"/>
  <c r="O82" i="11"/>
  <c r="R82" i="11"/>
  <c r="P82" i="11"/>
  <c r="S240" i="11"/>
  <c r="O240" i="11"/>
  <c r="R240" i="11"/>
  <c r="Q240" i="11"/>
  <c r="P240" i="11"/>
  <c r="R67" i="11"/>
  <c r="P67" i="11"/>
  <c r="O67" i="11"/>
  <c r="S67" i="11"/>
  <c r="Q67" i="11"/>
  <c r="Q243" i="11"/>
  <c r="O243" i="11"/>
  <c r="S243" i="11"/>
  <c r="R243" i="11"/>
  <c r="P243" i="11"/>
  <c r="BI45" i="9"/>
  <c r="BI41" i="9"/>
  <c r="BI104" i="9"/>
  <c r="BI95" i="9"/>
  <c r="BI43" i="9"/>
  <c r="BI42" i="9"/>
  <c r="BI44" i="9"/>
  <c r="BI46" i="9"/>
  <c r="BI106" i="9"/>
  <c r="BI97" i="9"/>
  <c r="BI98" i="9"/>
  <c r="BI107" i="9"/>
  <c r="BI96" i="9"/>
  <c r="BI105" i="9"/>
  <c r="CE95" i="9"/>
  <c r="CE45" i="9"/>
  <c r="CE104" i="9"/>
  <c r="CE44" i="9"/>
  <c r="CE41" i="9"/>
  <c r="CE46" i="9"/>
  <c r="CE42" i="9"/>
  <c r="CE43" i="9"/>
  <c r="CE97" i="9"/>
  <c r="CE106" i="9"/>
  <c r="CE107" i="9"/>
  <c r="CE96" i="9"/>
  <c r="CE105" i="9"/>
  <c r="CE98" i="9"/>
  <c r="AQ104" i="9"/>
  <c r="AQ42" i="9"/>
  <c r="AQ41" i="9"/>
  <c r="AQ45" i="9"/>
  <c r="AQ95" i="9"/>
  <c r="AQ46" i="9"/>
  <c r="AQ43" i="9"/>
  <c r="AQ44" i="9"/>
  <c r="AQ107" i="9"/>
  <c r="AQ96" i="9"/>
  <c r="AQ106" i="9"/>
  <c r="AQ97" i="9"/>
  <c r="AQ105" i="9"/>
  <c r="AQ98" i="9"/>
  <c r="CF42" i="9"/>
  <c r="CF43" i="9"/>
  <c r="CF104" i="9"/>
  <c r="CF95" i="9"/>
  <c r="CF44" i="9"/>
  <c r="CF46" i="9"/>
  <c r="CF41" i="9"/>
  <c r="CF45" i="9"/>
  <c r="CF107" i="9"/>
  <c r="CF98" i="9"/>
  <c r="CF106" i="9"/>
  <c r="CF96" i="9"/>
  <c r="CF105" i="9"/>
  <c r="CF97" i="9"/>
  <c r="BS95" i="9"/>
  <c r="BS45" i="9"/>
  <c r="BS104" i="9"/>
  <c r="BS43" i="9"/>
  <c r="BS41" i="9"/>
  <c r="BS42" i="9"/>
  <c r="BS44" i="9"/>
  <c r="BS46" i="9"/>
  <c r="BS106" i="9"/>
  <c r="BS97" i="9"/>
  <c r="BS107" i="9"/>
  <c r="BS98" i="9"/>
  <c r="BS105" i="9"/>
  <c r="BS96" i="9"/>
  <c r="O237" i="11"/>
  <c r="S237" i="11"/>
  <c r="R237" i="11"/>
  <c r="Q237" i="11"/>
  <c r="P237" i="11"/>
  <c r="O94" i="11"/>
  <c r="R94" i="11"/>
  <c r="S94" i="11"/>
  <c r="Q94" i="11"/>
  <c r="P94" i="11"/>
  <c r="P130" i="11"/>
  <c r="O130" i="11"/>
  <c r="S130" i="11"/>
  <c r="R130" i="11"/>
  <c r="Q130" i="11"/>
  <c r="S17" i="11"/>
  <c r="R17" i="11"/>
  <c r="Q17" i="11"/>
  <c r="P17" i="11"/>
  <c r="O17" i="11"/>
  <c r="R12" i="11"/>
  <c r="Q12" i="11"/>
  <c r="P12" i="11"/>
  <c r="S12" i="11"/>
  <c r="O12" i="11"/>
  <c r="O171" i="11"/>
  <c r="S171" i="11"/>
  <c r="R171" i="11"/>
  <c r="P171" i="11"/>
  <c r="Q171" i="11"/>
  <c r="S252" i="11"/>
  <c r="O252" i="11"/>
  <c r="P252" i="11"/>
  <c r="Q252" i="11"/>
  <c r="R252" i="11"/>
  <c r="S214" i="11"/>
  <c r="R214" i="11"/>
  <c r="Q214" i="11"/>
  <c r="P214" i="11"/>
  <c r="O214" i="11"/>
  <c r="S32" i="11"/>
  <c r="R32" i="11"/>
  <c r="Q32" i="11"/>
  <c r="O32" i="11"/>
  <c r="P32" i="11"/>
  <c r="O167" i="11"/>
  <c r="S167" i="11"/>
  <c r="R167" i="11"/>
  <c r="Q167" i="11"/>
  <c r="P167" i="11"/>
  <c r="Q76" i="11"/>
  <c r="P76" i="11"/>
  <c r="O76" i="11"/>
  <c r="S76" i="11"/>
  <c r="R76" i="11"/>
  <c r="S74" i="11"/>
  <c r="R74" i="11"/>
  <c r="P74" i="11"/>
  <c r="O74" i="11"/>
  <c r="Q74" i="11"/>
  <c r="P68" i="11"/>
  <c r="Q68" i="11"/>
  <c r="O68" i="11"/>
  <c r="S68" i="11"/>
  <c r="R68" i="11"/>
  <c r="Q227" i="11"/>
  <c r="O227" i="11"/>
  <c r="R227" i="11"/>
  <c r="P227" i="11"/>
  <c r="S227" i="11"/>
  <c r="S208" i="11"/>
  <c r="O208" i="11"/>
  <c r="R208" i="11"/>
  <c r="Q208" i="11"/>
  <c r="P208" i="11"/>
  <c r="O163" i="11"/>
  <c r="S163" i="11"/>
  <c r="R163" i="11"/>
  <c r="Q163" i="11"/>
  <c r="P163" i="11"/>
  <c r="O99" i="11"/>
  <c r="S99" i="11"/>
  <c r="R99" i="11"/>
  <c r="Q99" i="11"/>
  <c r="P99" i="11"/>
  <c r="S83" i="11"/>
  <c r="P83" i="11"/>
  <c r="R83" i="11"/>
  <c r="Q83" i="11"/>
  <c r="O83" i="11"/>
  <c r="BG96" i="9"/>
  <c r="BG46" i="9"/>
  <c r="BG43" i="9"/>
  <c r="BG42" i="9"/>
  <c r="BG44" i="9"/>
  <c r="BG41" i="9"/>
  <c r="BG45" i="9"/>
  <c r="BG107" i="9"/>
  <c r="BG106" i="9"/>
  <c r="BG104" i="9"/>
  <c r="BG98" i="9"/>
  <c r="BG95" i="9"/>
  <c r="BG105" i="9"/>
  <c r="BG97" i="9"/>
  <c r="D115" i="7"/>
  <c r="D126" i="7" s="1"/>
  <c r="D117" i="7"/>
  <c r="D64" i="7"/>
  <c r="BN95" i="9"/>
  <c r="BN45" i="9"/>
  <c r="BN44" i="9"/>
  <c r="BN43" i="9"/>
  <c r="BN42" i="9"/>
  <c r="BN104" i="9"/>
  <c r="BN41" i="9"/>
  <c r="BN46" i="9"/>
  <c r="BN97" i="9"/>
  <c r="BN107" i="9"/>
  <c r="BN105" i="9"/>
  <c r="BN98" i="9"/>
  <c r="BN96" i="9"/>
  <c r="BN106" i="9"/>
  <c r="E41" i="9"/>
  <c r="E104" i="9"/>
  <c r="E96" i="9"/>
  <c r="E95" i="9"/>
  <c r="E107" i="9"/>
  <c r="E105" i="9"/>
  <c r="E106" i="9"/>
  <c r="E98" i="9"/>
  <c r="E97" i="9"/>
  <c r="E44" i="9"/>
  <c r="E46" i="9"/>
  <c r="E45" i="9"/>
  <c r="E43" i="9"/>
  <c r="E42" i="9"/>
  <c r="H43" i="9"/>
  <c r="H42" i="9"/>
  <c r="H45" i="9"/>
  <c r="H41" i="9"/>
  <c r="H107" i="9"/>
  <c r="H105" i="9"/>
  <c r="H104" i="9"/>
  <c r="H98" i="9"/>
  <c r="H106" i="9"/>
  <c r="H97" i="9"/>
  <c r="H96" i="9"/>
  <c r="H46" i="9"/>
  <c r="H95" i="9"/>
  <c r="H44" i="9"/>
  <c r="S264" i="11"/>
  <c r="P264" i="11"/>
  <c r="O264" i="11"/>
  <c r="Q264" i="11"/>
  <c r="R264" i="11"/>
  <c r="Q121" i="11"/>
  <c r="O121" i="11"/>
  <c r="S121" i="11"/>
  <c r="R121" i="11"/>
  <c r="P121" i="11"/>
  <c r="S234" i="11"/>
  <c r="R234" i="11"/>
  <c r="Q234" i="11"/>
  <c r="O234" i="11"/>
  <c r="P234" i="11"/>
  <c r="Q255" i="11"/>
  <c r="O255" i="11"/>
  <c r="S255" i="11"/>
  <c r="R255" i="11"/>
  <c r="P255" i="11"/>
  <c r="D55" i="5" l="1"/>
  <c r="L222" i="9"/>
  <c r="F222" i="9"/>
  <c r="R222" i="9"/>
  <c r="C50" i="9"/>
  <c r="D31" i="6"/>
  <c r="D38" i="6" s="1"/>
  <c r="D7" i="5"/>
  <c r="W4" i="11"/>
  <c r="AL123" i="7"/>
  <c r="V123" i="7"/>
  <c r="AK123" i="7"/>
  <c r="U123" i="7"/>
  <c r="D118" i="7"/>
  <c r="AJ123" i="7"/>
  <c r="T123" i="7"/>
  <c r="AI123" i="7"/>
  <c r="S123" i="7"/>
  <c r="AH123" i="7"/>
  <c r="R123" i="7"/>
  <c r="AF123" i="7"/>
  <c r="P123" i="7"/>
  <c r="AE123" i="7"/>
  <c r="O123" i="7"/>
  <c r="AD123" i="7"/>
  <c r="N123" i="7"/>
  <c r="AR123" i="7"/>
  <c r="AB123" i="7"/>
  <c r="L123" i="7"/>
  <c r="AP123" i="7"/>
  <c r="Z123" i="7"/>
  <c r="J123" i="7"/>
  <c r="AO123" i="7"/>
  <c r="Y123" i="7"/>
  <c r="I123" i="7"/>
  <c r="N141" i="7"/>
  <c r="K123" i="7"/>
  <c r="AS123" i="7"/>
  <c r="AN123" i="7"/>
  <c r="AM123" i="7"/>
  <c r="AQ123" i="7"/>
  <c r="AG123" i="7"/>
  <c r="AC123" i="7"/>
  <c r="X123" i="7"/>
  <c r="W123" i="7"/>
  <c r="AA123" i="7"/>
  <c r="Q123" i="7"/>
  <c r="M123" i="7"/>
  <c r="K141" i="7"/>
  <c r="L141" i="7"/>
  <c r="D131" i="7"/>
  <c r="D132" i="7" s="1"/>
  <c r="D134" i="7" s="1"/>
  <c r="X4" i="11"/>
  <c r="D35" i="2" s="1"/>
  <c r="V4" i="11"/>
  <c r="D32" i="2" s="1"/>
  <c r="F32" i="2" s="1"/>
  <c r="J222" i="9"/>
  <c r="D222" i="9"/>
  <c r="P222" i="9"/>
  <c r="C48" i="9"/>
  <c r="Z4" i="11"/>
  <c r="D34" i="2" s="1"/>
  <c r="K222" i="9"/>
  <c r="E222" i="9"/>
  <c r="Q222" i="9"/>
  <c r="C49" i="9"/>
  <c r="I222" i="9"/>
  <c r="C222" i="9"/>
  <c r="O222" i="9"/>
  <c r="C47" i="9"/>
  <c r="CG26" i="9"/>
  <c r="G222" i="9"/>
  <c r="M222" i="9"/>
  <c r="S222" i="9"/>
  <c r="C51" i="9"/>
  <c r="Y4" i="11"/>
  <c r="D36" i="2" s="1"/>
  <c r="D67" i="7"/>
  <c r="D73" i="7" s="1"/>
  <c r="D83" i="7" s="1"/>
  <c r="D71" i="7"/>
  <c r="D66" i="7"/>
  <c r="H222" i="9"/>
  <c r="N222" i="9"/>
  <c r="T222" i="9"/>
  <c r="C52" i="9"/>
  <c r="AK126" i="7" l="1"/>
  <c r="AK138" i="7"/>
  <c r="AN126" i="7"/>
  <c r="AN138" i="7"/>
  <c r="AB126" i="7"/>
  <c r="AB138" i="7"/>
  <c r="U126" i="7"/>
  <c r="U138" i="7"/>
  <c r="AC138" i="7"/>
  <c r="AC126" i="7"/>
  <c r="AM138" i="7"/>
  <c r="AM126" i="7"/>
  <c r="S225" i="9"/>
  <c r="S223" i="9"/>
  <c r="S224" i="9"/>
  <c r="K126" i="7"/>
  <c r="K138" i="7"/>
  <c r="X126" i="7"/>
  <c r="X138" i="7"/>
  <c r="P225" i="9"/>
  <c r="P223" i="9"/>
  <c r="P224" i="9"/>
  <c r="P226" i="9" s="1"/>
  <c r="P228" i="9" s="1"/>
  <c r="N138" i="7"/>
  <c r="N126" i="7"/>
  <c r="AD126" i="7"/>
  <c r="AD138" i="7"/>
  <c r="M223" i="9"/>
  <c r="M225" i="9"/>
  <c r="M224" i="9"/>
  <c r="M226" i="9" s="1"/>
  <c r="M228" i="9" s="1"/>
  <c r="O223" i="9"/>
  <c r="O225" i="9"/>
  <c r="O224" i="9"/>
  <c r="I126" i="7"/>
  <c r="I138" i="7"/>
  <c r="R126" i="7"/>
  <c r="R138" i="7"/>
  <c r="AA4" i="11"/>
  <c r="D33" i="2"/>
  <c r="Y126" i="7"/>
  <c r="Y138" i="7"/>
  <c r="V126" i="7"/>
  <c r="V138" i="7"/>
  <c r="D225" i="9"/>
  <c r="D223" i="9"/>
  <c r="D224" i="9"/>
  <c r="D226" i="9" s="1"/>
  <c r="D228" i="9" s="1"/>
  <c r="J223" i="9"/>
  <c r="J225" i="9"/>
  <c r="J224" i="9"/>
  <c r="O126" i="7"/>
  <c r="O138" i="7"/>
  <c r="G223" i="9"/>
  <c r="G225" i="9"/>
  <c r="G224" i="9"/>
  <c r="G226" i="9" s="1"/>
  <c r="G228" i="9" s="1"/>
  <c r="AO126" i="7"/>
  <c r="AO138" i="7"/>
  <c r="AQ126" i="7"/>
  <c r="AQ138" i="7"/>
  <c r="C138" i="9"/>
  <c r="C139" i="9" s="1"/>
  <c r="AI138" i="7"/>
  <c r="AI126" i="7"/>
  <c r="D84" i="7"/>
  <c r="D72" i="7"/>
  <c r="AL126" i="7"/>
  <c r="AL138" i="7"/>
  <c r="AE126" i="7"/>
  <c r="AE138" i="7"/>
  <c r="S138" i="7"/>
  <c r="S126" i="7"/>
  <c r="AR126" i="7"/>
  <c r="AR138" i="7"/>
  <c r="AG138" i="7"/>
  <c r="AG126" i="7"/>
  <c r="CG25" i="9"/>
  <c r="CG27" i="9"/>
  <c r="J142" i="7"/>
  <c r="L142" i="7" s="1"/>
  <c r="I142" i="7"/>
  <c r="AH126" i="7"/>
  <c r="AH138" i="7"/>
  <c r="N223" i="9"/>
  <c r="N225" i="9"/>
  <c r="N224" i="9"/>
  <c r="AS138" i="7"/>
  <c r="AS126" i="7"/>
  <c r="P126" i="7"/>
  <c r="P138" i="7"/>
  <c r="AF126" i="7"/>
  <c r="AF138" i="7"/>
  <c r="C225" i="9"/>
  <c r="C223" i="9"/>
  <c r="C224" i="9"/>
  <c r="C226" i="9" s="1"/>
  <c r="C228" i="9" s="1"/>
  <c r="T225" i="9"/>
  <c r="T223" i="9"/>
  <c r="T224" i="9"/>
  <c r="T226" i="9" s="1"/>
  <c r="T228" i="9" s="1"/>
  <c r="I225" i="9"/>
  <c r="I223" i="9"/>
  <c r="I224" i="9"/>
  <c r="I226" i="9" s="1"/>
  <c r="I228" i="9" s="1"/>
  <c r="C140" i="9"/>
  <c r="C141" i="9" s="1"/>
  <c r="M138" i="7"/>
  <c r="M126" i="7"/>
  <c r="J126" i="7"/>
  <c r="J138" i="7"/>
  <c r="C142" i="9"/>
  <c r="C143" i="9" s="1"/>
  <c r="H223" i="9"/>
  <c r="H225" i="9"/>
  <c r="H224" i="9"/>
  <c r="H226" i="9" s="1"/>
  <c r="H228" i="9" s="1"/>
  <c r="Q225" i="9"/>
  <c r="Q223" i="9"/>
  <c r="Q224" i="9"/>
  <c r="Q226" i="9" s="1"/>
  <c r="Q228" i="9" s="1"/>
  <c r="Q138" i="7"/>
  <c r="Q126" i="7"/>
  <c r="Z126" i="7"/>
  <c r="Z138" i="7"/>
  <c r="T126" i="7"/>
  <c r="T138" i="7"/>
  <c r="R225" i="9"/>
  <c r="R223" i="9"/>
  <c r="R224" i="9"/>
  <c r="E223" i="9"/>
  <c r="E225" i="9"/>
  <c r="E224" i="9"/>
  <c r="E226" i="9" s="1"/>
  <c r="E228" i="9" s="1"/>
  <c r="AA126" i="7"/>
  <c r="AA138" i="7"/>
  <c r="AP126" i="7"/>
  <c r="AP138" i="7"/>
  <c r="AJ126" i="7"/>
  <c r="AJ138" i="7"/>
  <c r="F225" i="9"/>
  <c r="F223" i="9"/>
  <c r="F224" i="9"/>
  <c r="K223" i="9"/>
  <c r="K225" i="9"/>
  <c r="K224" i="9"/>
  <c r="K226" i="9" s="1"/>
  <c r="K228" i="9" s="1"/>
  <c r="W138" i="7"/>
  <c r="W126" i="7"/>
  <c r="L126" i="7"/>
  <c r="L138" i="7"/>
  <c r="L223" i="9"/>
  <c r="L225" i="9"/>
  <c r="L224" i="9"/>
  <c r="J227" i="9" l="1"/>
  <c r="S227" i="9"/>
  <c r="O227" i="9"/>
  <c r="L227" i="9"/>
  <c r="R227" i="9"/>
  <c r="F226" i="9"/>
  <c r="F228" i="9" s="1"/>
  <c r="N226" i="9"/>
  <c r="N228" i="9" s="1"/>
  <c r="M142" i="7"/>
  <c r="N142" i="7" s="1"/>
  <c r="K142" i="7"/>
  <c r="C227" i="9"/>
  <c r="C229" i="9" s="1"/>
  <c r="C230" i="9" s="1"/>
  <c r="C231" i="9" s="1"/>
  <c r="C232" i="9" s="1"/>
  <c r="M227" i="9"/>
  <c r="M229" i="9" s="1"/>
  <c r="M230" i="9" s="1"/>
  <c r="M231" i="9" s="1"/>
  <c r="M232" i="9" s="1"/>
  <c r="R226" i="9"/>
  <c r="R228" i="9" s="1"/>
  <c r="R229" i="9" s="1"/>
  <c r="R230" i="9" s="1"/>
  <c r="R231" i="9" s="1"/>
  <c r="R232" i="9" s="1"/>
  <c r="P229" i="9"/>
  <c r="P230" i="9" s="1"/>
  <c r="P231" i="9" s="1"/>
  <c r="P232" i="9" s="1"/>
  <c r="D86" i="7"/>
  <c r="D85" i="7"/>
  <c r="D94" i="7" s="1"/>
  <c r="K229" i="9"/>
  <c r="K230" i="9" s="1"/>
  <c r="K231" i="9" s="1"/>
  <c r="K232" i="9" s="1"/>
  <c r="F227" i="9"/>
  <c r="AB4" i="11"/>
  <c r="D37" i="2"/>
  <c r="P227" i="9"/>
  <c r="K227" i="9"/>
  <c r="H227" i="9"/>
  <c r="E227" i="9"/>
  <c r="G227" i="9"/>
  <c r="G229" i="9" s="1"/>
  <c r="G230" i="9" s="1"/>
  <c r="G231" i="9" s="1"/>
  <c r="G232" i="9" s="1"/>
  <c r="D227" i="9"/>
  <c r="D229" i="9" s="1"/>
  <c r="D230" i="9" s="1"/>
  <c r="D231" i="9" s="1"/>
  <c r="D232" i="9" s="1"/>
  <c r="I227" i="9"/>
  <c r="I229" i="9" s="1"/>
  <c r="I230" i="9" s="1"/>
  <c r="I231" i="9" s="1"/>
  <c r="I232" i="9" s="1"/>
  <c r="E229" i="9"/>
  <c r="E230" i="9" s="1"/>
  <c r="E231" i="9" s="1"/>
  <c r="E232" i="9" s="1"/>
  <c r="BX25" i="9"/>
  <c r="BU25" i="9"/>
  <c r="BT25" i="9"/>
  <c r="CE25" i="9"/>
  <c r="CG30" i="9"/>
  <c r="CD25" i="9"/>
  <c r="CC25" i="9"/>
  <c r="CB25" i="9"/>
  <c r="CA25" i="9"/>
  <c r="BY25" i="9"/>
  <c r="BW25" i="9"/>
  <c r="BV25" i="9"/>
  <c r="BZ25" i="9"/>
  <c r="CF25" i="9"/>
  <c r="CG51" i="9"/>
  <c r="CG48" i="9"/>
  <c r="CG109" i="9"/>
  <c r="CG125" i="9" s="1"/>
  <c r="CG126" i="9" s="1"/>
  <c r="CG108" i="9"/>
  <c r="CG123" i="9" s="1"/>
  <c r="CG124" i="9" s="1"/>
  <c r="CG110" i="9"/>
  <c r="CG127" i="9" s="1"/>
  <c r="CG128" i="9" s="1"/>
  <c r="CG102" i="9"/>
  <c r="CG120" i="9" s="1"/>
  <c r="CG121" i="9" s="1"/>
  <c r="CG50" i="9"/>
  <c r="CG142" i="9" s="1"/>
  <c r="CG143" i="9" s="1"/>
  <c r="CG100" i="9"/>
  <c r="CG116" i="9" s="1"/>
  <c r="CG117" i="9" s="1"/>
  <c r="CG101" i="9"/>
  <c r="CG118" i="9" s="1"/>
  <c r="CG119" i="9" s="1"/>
  <c r="CG99" i="9"/>
  <c r="CG114" i="9" s="1"/>
  <c r="CG115" i="9" s="1"/>
  <c r="CG111" i="9"/>
  <c r="CG129" i="9" s="1"/>
  <c r="CG130" i="9" s="1"/>
  <c r="CG47" i="9"/>
  <c r="CG138" i="9" s="1"/>
  <c r="CG139" i="9" s="1"/>
  <c r="CG52" i="9"/>
  <c r="CG28" i="9"/>
  <c r="CG49" i="9"/>
  <c r="CG140" i="9" s="1"/>
  <c r="CG141" i="9" s="1"/>
  <c r="N227" i="9"/>
  <c r="N229" i="9" s="1"/>
  <c r="N230" i="9" s="1"/>
  <c r="N231" i="9" s="1"/>
  <c r="N232" i="9" s="1"/>
  <c r="H229" i="9"/>
  <c r="H230" i="9" s="1"/>
  <c r="H231" i="9" s="1"/>
  <c r="H232" i="9" s="1"/>
  <c r="Q227" i="9"/>
  <c r="Q229" i="9" s="1"/>
  <c r="Q230" i="9" s="1"/>
  <c r="Q231" i="9" s="1"/>
  <c r="Q232" i="9" s="1"/>
  <c r="J226" i="9"/>
  <c r="J228" i="9" s="1"/>
  <c r="J229" i="9" s="1"/>
  <c r="J230" i="9" s="1"/>
  <c r="J231" i="9" s="1"/>
  <c r="J232" i="9" s="1"/>
  <c r="O226" i="9"/>
  <c r="O228" i="9" s="1"/>
  <c r="O229" i="9" s="1"/>
  <c r="O230" i="9" s="1"/>
  <c r="O231" i="9" s="1"/>
  <c r="O232" i="9" s="1"/>
  <c r="L226" i="9"/>
  <c r="L228" i="9" s="1"/>
  <c r="L229" i="9" s="1"/>
  <c r="L230" i="9" s="1"/>
  <c r="L231" i="9" s="1"/>
  <c r="L232" i="9" s="1"/>
  <c r="T227" i="9"/>
  <c r="T229" i="9" s="1"/>
  <c r="T230" i="9" s="1"/>
  <c r="T231" i="9" s="1"/>
  <c r="T232" i="9" s="1"/>
  <c r="S226" i="9"/>
  <c r="S228" i="9" s="1"/>
  <c r="S229" i="9" s="1"/>
  <c r="S230" i="9" s="1"/>
  <c r="S231" i="9" s="1"/>
  <c r="S232" i="9" s="1"/>
  <c r="F229" i="9" l="1"/>
  <c r="F230" i="9" s="1"/>
  <c r="F231" i="9" s="1"/>
  <c r="F232" i="9" s="1"/>
  <c r="BB175" i="9"/>
  <c r="BC175" i="9" s="1"/>
  <c r="BB202" i="9"/>
  <c r="BC202" i="9" s="1"/>
  <c r="BD217" i="9" s="1"/>
  <c r="BD207" i="9" s="1"/>
  <c r="BB152" i="9"/>
  <c r="BC152" i="9" s="1"/>
  <c r="BB201" i="9"/>
  <c r="BC201" i="9" s="1"/>
  <c r="BD216" i="9" s="1"/>
  <c r="BD208" i="9" s="1"/>
  <c r="BB178" i="9"/>
  <c r="BC178" i="9" s="1"/>
  <c r="BD193" i="9" s="1"/>
  <c r="BD183" i="9" s="1"/>
  <c r="BB197" i="9"/>
  <c r="BC197" i="9" s="1"/>
  <c r="BB149" i="9"/>
  <c r="BB199" i="9"/>
  <c r="BC199" i="9" s="1"/>
  <c r="BB153" i="9"/>
  <c r="BC153" i="9" s="1"/>
  <c r="BB174" i="9"/>
  <c r="BC174" i="9" s="1"/>
  <c r="BD189" i="9" s="1"/>
  <c r="BD187" i="9" s="1"/>
  <c r="D93" i="7"/>
  <c r="D95" i="7"/>
  <c r="BV91" i="9"/>
  <c r="BV75" i="9"/>
  <c r="BV74" i="9"/>
  <c r="BV30" i="9"/>
  <c r="BV52" i="9"/>
  <c r="BV51" i="9"/>
  <c r="BV49" i="9"/>
  <c r="BV140" i="9" s="1"/>
  <c r="BV141" i="9" s="1"/>
  <c r="BV101" i="9"/>
  <c r="BV118" i="9" s="1"/>
  <c r="BV119" i="9" s="1"/>
  <c r="BV111" i="9"/>
  <c r="BV129" i="9" s="1"/>
  <c r="BV130" i="9" s="1"/>
  <c r="BV110" i="9"/>
  <c r="BV127" i="9" s="1"/>
  <c r="BV128" i="9" s="1"/>
  <c r="BV100" i="9"/>
  <c r="BV116" i="9" s="1"/>
  <c r="BV117" i="9" s="1"/>
  <c r="BV99" i="9"/>
  <c r="BV114" i="9" s="1"/>
  <c r="BV115" i="9" s="1"/>
  <c r="BV109" i="9"/>
  <c r="BV125" i="9" s="1"/>
  <c r="BV126" i="9" s="1"/>
  <c r="BV108" i="9"/>
  <c r="BV123" i="9" s="1"/>
  <c r="BV124" i="9" s="1"/>
  <c r="BV102" i="9"/>
  <c r="BV120" i="9" s="1"/>
  <c r="BV121" i="9" s="1"/>
  <c r="BV48" i="9"/>
  <c r="BV47" i="9"/>
  <c r="BV138" i="9" s="1"/>
  <c r="BV139" i="9" s="1"/>
  <c r="BV28" i="9"/>
  <c r="BV50" i="9"/>
  <c r="BV142" i="9" s="1"/>
  <c r="BV143" i="9" s="1"/>
  <c r="BW30" i="9"/>
  <c r="BV29" i="9" s="1"/>
  <c r="BW49" i="9"/>
  <c r="BW140" i="9" s="1"/>
  <c r="BW141" i="9" s="1"/>
  <c r="BW47" i="9"/>
  <c r="BW138" i="9" s="1"/>
  <c r="BW139" i="9" s="1"/>
  <c r="BW48" i="9"/>
  <c r="BW52" i="9"/>
  <c r="BW102" i="9"/>
  <c r="BW120" i="9" s="1"/>
  <c r="BW121" i="9" s="1"/>
  <c r="BW28" i="9"/>
  <c r="BW111" i="9"/>
  <c r="BW129" i="9" s="1"/>
  <c r="BW130" i="9" s="1"/>
  <c r="BW50" i="9"/>
  <c r="BW142" i="9" s="1"/>
  <c r="BW143" i="9" s="1"/>
  <c r="BW110" i="9"/>
  <c r="BW127" i="9" s="1"/>
  <c r="BW128" i="9" s="1"/>
  <c r="BW99" i="9"/>
  <c r="BW114" i="9" s="1"/>
  <c r="BW115" i="9" s="1"/>
  <c r="BW101" i="9"/>
  <c r="BW118" i="9" s="1"/>
  <c r="BW119" i="9" s="1"/>
  <c r="BW100" i="9"/>
  <c r="BW116" i="9" s="1"/>
  <c r="BW117" i="9" s="1"/>
  <c r="BW108" i="9"/>
  <c r="BW123" i="9" s="1"/>
  <c r="BW124" i="9" s="1"/>
  <c r="BW109" i="9"/>
  <c r="BW125" i="9" s="1"/>
  <c r="BW126" i="9" s="1"/>
  <c r="BW51" i="9"/>
  <c r="BB176" i="9"/>
  <c r="BC176" i="9" s="1"/>
  <c r="BS25" i="9"/>
  <c r="BT30" i="9"/>
  <c r="BT111" i="9"/>
  <c r="BT129" i="9" s="1"/>
  <c r="BT130" i="9" s="1"/>
  <c r="BT109" i="9"/>
  <c r="BT125" i="9" s="1"/>
  <c r="BT126" i="9" s="1"/>
  <c r="BT101" i="9"/>
  <c r="BT118" i="9" s="1"/>
  <c r="BT119" i="9" s="1"/>
  <c r="BT52" i="9"/>
  <c r="BT28" i="9"/>
  <c r="BT108" i="9"/>
  <c r="BT123" i="9" s="1"/>
  <c r="BT124" i="9" s="1"/>
  <c r="BT100" i="9"/>
  <c r="BT116" i="9" s="1"/>
  <c r="BT117" i="9" s="1"/>
  <c r="BT99" i="9"/>
  <c r="BT114" i="9" s="1"/>
  <c r="BT115" i="9" s="1"/>
  <c r="BT110" i="9"/>
  <c r="BT127" i="9" s="1"/>
  <c r="BT128" i="9" s="1"/>
  <c r="BT50" i="9"/>
  <c r="BT142" i="9" s="1"/>
  <c r="BT143" i="9" s="1"/>
  <c r="BT51" i="9"/>
  <c r="BT49" i="9"/>
  <c r="BT140" i="9" s="1"/>
  <c r="BT141" i="9" s="1"/>
  <c r="BT47" i="9"/>
  <c r="BT138" i="9" s="1"/>
  <c r="BT139" i="9" s="1"/>
  <c r="BT48" i="9"/>
  <c r="BT102" i="9"/>
  <c r="BT120" i="9" s="1"/>
  <c r="BT121" i="9" s="1"/>
  <c r="CF30" i="9"/>
  <c r="CF29" i="9" s="1"/>
  <c r="CF48" i="9"/>
  <c r="CF47" i="9"/>
  <c r="CF138" i="9" s="1"/>
  <c r="CF139" i="9" s="1"/>
  <c r="CF28" i="9"/>
  <c r="CF49" i="9"/>
  <c r="CF140" i="9" s="1"/>
  <c r="CF141" i="9" s="1"/>
  <c r="CF108" i="9"/>
  <c r="CF123" i="9" s="1"/>
  <c r="CF124" i="9" s="1"/>
  <c r="CF110" i="9"/>
  <c r="CF127" i="9" s="1"/>
  <c r="CF128" i="9" s="1"/>
  <c r="CF99" i="9"/>
  <c r="CF114" i="9" s="1"/>
  <c r="CF115" i="9" s="1"/>
  <c r="CF111" i="9"/>
  <c r="CF129" i="9" s="1"/>
  <c r="CF130" i="9" s="1"/>
  <c r="CF100" i="9"/>
  <c r="CF116" i="9" s="1"/>
  <c r="CF117" i="9" s="1"/>
  <c r="CF51" i="9"/>
  <c r="CF102" i="9"/>
  <c r="CF120" i="9" s="1"/>
  <c r="CF121" i="9" s="1"/>
  <c r="CF101" i="9"/>
  <c r="CF118" i="9" s="1"/>
  <c r="CF119" i="9" s="1"/>
  <c r="CF109" i="9"/>
  <c r="CF125" i="9" s="1"/>
  <c r="CF126" i="9" s="1"/>
  <c r="CF52" i="9"/>
  <c r="CF50" i="9"/>
  <c r="CF142" i="9" s="1"/>
  <c r="CF143" i="9" s="1"/>
  <c r="BB177" i="9"/>
  <c r="BC177" i="9" s="1"/>
  <c r="BD192" i="9" s="1"/>
  <c r="BD184" i="9" s="1"/>
  <c r="CA30" i="9"/>
  <c r="CA109" i="9"/>
  <c r="CA125" i="9" s="1"/>
  <c r="CA126" i="9" s="1"/>
  <c r="CA101" i="9"/>
  <c r="CA118" i="9" s="1"/>
  <c r="CA119" i="9" s="1"/>
  <c r="CA108" i="9"/>
  <c r="CA123" i="9" s="1"/>
  <c r="CA124" i="9" s="1"/>
  <c r="CA100" i="9"/>
  <c r="CA116" i="9" s="1"/>
  <c r="CA117" i="9" s="1"/>
  <c r="CA102" i="9"/>
  <c r="CA120" i="9" s="1"/>
  <c r="CA121" i="9" s="1"/>
  <c r="CA99" i="9"/>
  <c r="CA114" i="9" s="1"/>
  <c r="CA115" i="9" s="1"/>
  <c r="CA111" i="9"/>
  <c r="CA129" i="9" s="1"/>
  <c r="CA130" i="9" s="1"/>
  <c r="CA52" i="9"/>
  <c r="CA47" i="9"/>
  <c r="CA138" i="9" s="1"/>
  <c r="CA139" i="9" s="1"/>
  <c r="CA28" i="9"/>
  <c r="CA48" i="9"/>
  <c r="CA49" i="9"/>
  <c r="CA140" i="9" s="1"/>
  <c r="CA141" i="9" s="1"/>
  <c r="CA51" i="9"/>
  <c r="CA110" i="9"/>
  <c r="CA127" i="9" s="1"/>
  <c r="CA128" i="9" s="1"/>
  <c r="CA50" i="9"/>
  <c r="CA142" i="9" s="1"/>
  <c r="CA143" i="9" s="1"/>
  <c r="BB151" i="9"/>
  <c r="BC151" i="9" s="1"/>
  <c r="BZ30" i="9"/>
  <c r="BZ102" i="9"/>
  <c r="BZ120" i="9" s="1"/>
  <c r="BZ121" i="9" s="1"/>
  <c r="BZ99" i="9"/>
  <c r="BZ114" i="9" s="1"/>
  <c r="BZ115" i="9" s="1"/>
  <c r="BZ51" i="9"/>
  <c r="BZ52" i="9"/>
  <c r="BZ47" i="9"/>
  <c r="BZ138" i="9" s="1"/>
  <c r="BZ139" i="9" s="1"/>
  <c r="BZ28" i="9"/>
  <c r="BZ50" i="9"/>
  <c r="BZ142" i="9" s="1"/>
  <c r="BZ143" i="9" s="1"/>
  <c r="BZ48" i="9"/>
  <c r="BZ49" i="9"/>
  <c r="BZ140" i="9" s="1"/>
  <c r="BZ141" i="9" s="1"/>
  <c r="BZ111" i="9"/>
  <c r="BZ129" i="9" s="1"/>
  <c r="BZ130" i="9" s="1"/>
  <c r="BZ110" i="9"/>
  <c r="BZ127" i="9" s="1"/>
  <c r="BZ128" i="9" s="1"/>
  <c r="BZ109" i="9"/>
  <c r="BZ125" i="9" s="1"/>
  <c r="BZ126" i="9" s="1"/>
  <c r="BZ100" i="9"/>
  <c r="BZ116" i="9" s="1"/>
  <c r="BZ117" i="9" s="1"/>
  <c r="BZ101" i="9"/>
  <c r="BZ118" i="9" s="1"/>
  <c r="BZ119" i="9" s="1"/>
  <c r="BZ108" i="9"/>
  <c r="BZ123" i="9" s="1"/>
  <c r="BZ124" i="9" s="1"/>
  <c r="BB150" i="9"/>
  <c r="BC150" i="9" s="1"/>
  <c r="CC30" i="9"/>
  <c r="CC111" i="9"/>
  <c r="CC129" i="9" s="1"/>
  <c r="CC130" i="9" s="1"/>
  <c r="CC47" i="9"/>
  <c r="CC138" i="9" s="1"/>
  <c r="CC139" i="9" s="1"/>
  <c r="CC52" i="9"/>
  <c r="CC50" i="9"/>
  <c r="CC142" i="9" s="1"/>
  <c r="CC143" i="9" s="1"/>
  <c r="CC49" i="9"/>
  <c r="CC140" i="9" s="1"/>
  <c r="CC141" i="9" s="1"/>
  <c r="CC51" i="9"/>
  <c r="CC28" i="9"/>
  <c r="CC109" i="9"/>
  <c r="CC125" i="9" s="1"/>
  <c r="CC126" i="9" s="1"/>
  <c r="CC48" i="9"/>
  <c r="CC108" i="9"/>
  <c r="CC123" i="9" s="1"/>
  <c r="CC124" i="9" s="1"/>
  <c r="CC110" i="9"/>
  <c r="CC127" i="9" s="1"/>
  <c r="CC128" i="9" s="1"/>
  <c r="CC100" i="9"/>
  <c r="CC116" i="9" s="1"/>
  <c r="CC117" i="9" s="1"/>
  <c r="CC102" i="9"/>
  <c r="CC120" i="9" s="1"/>
  <c r="CC121" i="9" s="1"/>
  <c r="CC101" i="9"/>
  <c r="CC118" i="9" s="1"/>
  <c r="CC119" i="9" s="1"/>
  <c r="CC99" i="9"/>
  <c r="CC114" i="9" s="1"/>
  <c r="CC115" i="9" s="1"/>
  <c r="BB154" i="9"/>
  <c r="BC154" i="9" s="1"/>
  <c r="BB200" i="9"/>
  <c r="BC200" i="9" s="1"/>
  <c r="CD30" i="9"/>
  <c r="CD108" i="9"/>
  <c r="CD123" i="9" s="1"/>
  <c r="CD124" i="9" s="1"/>
  <c r="CD102" i="9"/>
  <c r="CD120" i="9" s="1"/>
  <c r="CD121" i="9" s="1"/>
  <c r="CD101" i="9"/>
  <c r="CD118" i="9" s="1"/>
  <c r="CD119" i="9" s="1"/>
  <c r="CD99" i="9"/>
  <c r="CD114" i="9" s="1"/>
  <c r="CD115" i="9" s="1"/>
  <c r="CD111" i="9"/>
  <c r="CD129" i="9" s="1"/>
  <c r="CD130" i="9" s="1"/>
  <c r="CD100" i="9"/>
  <c r="CD116" i="9" s="1"/>
  <c r="CD117" i="9" s="1"/>
  <c r="CD51" i="9"/>
  <c r="CD49" i="9"/>
  <c r="CD140" i="9" s="1"/>
  <c r="CD141" i="9" s="1"/>
  <c r="CD47" i="9"/>
  <c r="CD138" i="9" s="1"/>
  <c r="CD139" i="9" s="1"/>
  <c r="CD52" i="9"/>
  <c r="CD50" i="9"/>
  <c r="CD142" i="9" s="1"/>
  <c r="CD143" i="9" s="1"/>
  <c r="CD28" i="9"/>
  <c r="CD109" i="9"/>
  <c r="CD125" i="9" s="1"/>
  <c r="CD126" i="9" s="1"/>
  <c r="CD110" i="9"/>
  <c r="CD127" i="9" s="1"/>
  <c r="CD128" i="9" s="1"/>
  <c r="CD48" i="9"/>
  <c r="BU30" i="9"/>
  <c r="BU111" i="9"/>
  <c r="BU129" i="9" s="1"/>
  <c r="BU130" i="9" s="1"/>
  <c r="BU49" i="9"/>
  <c r="BU140" i="9" s="1"/>
  <c r="BU141" i="9" s="1"/>
  <c r="BU109" i="9"/>
  <c r="BU125" i="9" s="1"/>
  <c r="BU126" i="9" s="1"/>
  <c r="BU100" i="9"/>
  <c r="BU116" i="9" s="1"/>
  <c r="BU117" i="9" s="1"/>
  <c r="BU99" i="9"/>
  <c r="BU114" i="9" s="1"/>
  <c r="BU115" i="9" s="1"/>
  <c r="BU110" i="9"/>
  <c r="BU127" i="9" s="1"/>
  <c r="BU128" i="9" s="1"/>
  <c r="BU101" i="9"/>
  <c r="BU118" i="9" s="1"/>
  <c r="BU119" i="9" s="1"/>
  <c r="BU108" i="9"/>
  <c r="BU123" i="9" s="1"/>
  <c r="BU124" i="9" s="1"/>
  <c r="BU102" i="9"/>
  <c r="BU120" i="9" s="1"/>
  <c r="BU121" i="9" s="1"/>
  <c r="BU51" i="9"/>
  <c r="BV78" i="9" s="1"/>
  <c r="BU48" i="9"/>
  <c r="BU47" i="9"/>
  <c r="BU138" i="9" s="1"/>
  <c r="BU139" i="9" s="1"/>
  <c r="BU52" i="9"/>
  <c r="BU50" i="9"/>
  <c r="BU142" i="9" s="1"/>
  <c r="BU143" i="9" s="1"/>
  <c r="BU28" i="9"/>
  <c r="BB173" i="9"/>
  <c r="BC173" i="9" s="1"/>
  <c r="CG29" i="9"/>
  <c r="BX30" i="9"/>
  <c r="BW29" i="9" s="1"/>
  <c r="BX111" i="9"/>
  <c r="BX129" i="9" s="1"/>
  <c r="BX130" i="9" s="1"/>
  <c r="BX50" i="9"/>
  <c r="BX142" i="9" s="1"/>
  <c r="BX143" i="9" s="1"/>
  <c r="BX110" i="9"/>
  <c r="BX127" i="9" s="1"/>
  <c r="BX128" i="9" s="1"/>
  <c r="BX99" i="9"/>
  <c r="BX114" i="9" s="1"/>
  <c r="BX115" i="9" s="1"/>
  <c r="BX101" i="9"/>
  <c r="BX118" i="9" s="1"/>
  <c r="BX119" i="9" s="1"/>
  <c r="BX100" i="9"/>
  <c r="BX116" i="9" s="1"/>
  <c r="BX117" i="9" s="1"/>
  <c r="BX108" i="9"/>
  <c r="BX123" i="9" s="1"/>
  <c r="BX124" i="9" s="1"/>
  <c r="BX102" i="9"/>
  <c r="BX120" i="9" s="1"/>
  <c r="BX121" i="9" s="1"/>
  <c r="BX109" i="9"/>
  <c r="BX125" i="9" s="1"/>
  <c r="BX126" i="9" s="1"/>
  <c r="BX51" i="9"/>
  <c r="BX49" i="9"/>
  <c r="BX140" i="9" s="1"/>
  <c r="BX141" i="9" s="1"/>
  <c r="BX47" i="9"/>
  <c r="BX138" i="9" s="1"/>
  <c r="BX139" i="9" s="1"/>
  <c r="BX48" i="9"/>
  <c r="BX52" i="9"/>
  <c r="BX28" i="9"/>
  <c r="BY30" i="9"/>
  <c r="BX29" i="9" s="1"/>
  <c r="BX88" i="9" s="1"/>
  <c r="BY52" i="9"/>
  <c r="BY47" i="9"/>
  <c r="BY138" i="9" s="1"/>
  <c r="BY139" i="9" s="1"/>
  <c r="BY28" i="9"/>
  <c r="BY49" i="9"/>
  <c r="BY140" i="9" s="1"/>
  <c r="BY141" i="9" s="1"/>
  <c r="BY48" i="9"/>
  <c r="BY111" i="9"/>
  <c r="BY129" i="9" s="1"/>
  <c r="BY130" i="9" s="1"/>
  <c r="BY51" i="9"/>
  <c r="BY110" i="9"/>
  <c r="BY127" i="9" s="1"/>
  <c r="BY128" i="9" s="1"/>
  <c r="BY109" i="9"/>
  <c r="BY125" i="9" s="1"/>
  <c r="BY126" i="9" s="1"/>
  <c r="BY99" i="9"/>
  <c r="BY114" i="9" s="1"/>
  <c r="BY115" i="9" s="1"/>
  <c r="BY101" i="9"/>
  <c r="BY118" i="9" s="1"/>
  <c r="BY119" i="9" s="1"/>
  <c r="BY100" i="9"/>
  <c r="BY116" i="9" s="1"/>
  <c r="BY117" i="9" s="1"/>
  <c r="BY108" i="9"/>
  <c r="BY123" i="9" s="1"/>
  <c r="BY124" i="9" s="1"/>
  <c r="BY102" i="9"/>
  <c r="BY120" i="9" s="1"/>
  <c r="BY121" i="9" s="1"/>
  <c r="BY50" i="9"/>
  <c r="BY142" i="9" s="1"/>
  <c r="BY143" i="9" s="1"/>
  <c r="CB30" i="9"/>
  <c r="CB101" i="9"/>
  <c r="CB118" i="9" s="1"/>
  <c r="CB119" i="9" s="1"/>
  <c r="CB99" i="9"/>
  <c r="CB114" i="9" s="1"/>
  <c r="CB115" i="9" s="1"/>
  <c r="CB50" i="9"/>
  <c r="CB142" i="9" s="1"/>
  <c r="CB143" i="9" s="1"/>
  <c r="CB48" i="9"/>
  <c r="CB100" i="9"/>
  <c r="CB116" i="9" s="1"/>
  <c r="CB117" i="9" s="1"/>
  <c r="CB51" i="9"/>
  <c r="CB49" i="9"/>
  <c r="CB140" i="9" s="1"/>
  <c r="CB141" i="9" s="1"/>
  <c r="CB52" i="9"/>
  <c r="CB47" i="9"/>
  <c r="CB138" i="9" s="1"/>
  <c r="CB139" i="9" s="1"/>
  <c r="CB28" i="9"/>
  <c r="CB111" i="9"/>
  <c r="CB129" i="9" s="1"/>
  <c r="CB130" i="9" s="1"/>
  <c r="CB110" i="9"/>
  <c r="CB127" i="9" s="1"/>
  <c r="CB128" i="9" s="1"/>
  <c r="CB109" i="9"/>
  <c r="CB125" i="9" s="1"/>
  <c r="CB126" i="9" s="1"/>
  <c r="CB108" i="9"/>
  <c r="CB123" i="9" s="1"/>
  <c r="CB124" i="9" s="1"/>
  <c r="CB102" i="9"/>
  <c r="CB120" i="9" s="1"/>
  <c r="CB121" i="9" s="1"/>
  <c r="CE30" i="9"/>
  <c r="CD29" i="9" s="1"/>
  <c r="CD92" i="9" s="1"/>
  <c r="CE101" i="9"/>
  <c r="CE118" i="9" s="1"/>
  <c r="CE119" i="9" s="1"/>
  <c r="CE110" i="9"/>
  <c r="CE127" i="9" s="1"/>
  <c r="CE128" i="9" s="1"/>
  <c r="CE102" i="9"/>
  <c r="CE120" i="9" s="1"/>
  <c r="CE121" i="9" s="1"/>
  <c r="CE99" i="9"/>
  <c r="CE114" i="9" s="1"/>
  <c r="CE115" i="9" s="1"/>
  <c r="CE100" i="9"/>
  <c r="CE116" i="9" s="1"/>
  <c r="CE117" i="9" s="1"/>
  <c r="CE52" i="9"/>
  <c r="CE50" i="9"/>
  <c r="CE142" i="9" s="1"/>
  <c r="CE143" i="9" s="1"/>
  <c r="CE48" i="9"/>
  <c r="CE47" i="9"/>
  <c r="CE138" i="9" s="1"/>
  <c r="CE139" i="9" s="1"/>
  <c r="CE28" i="9"/>
  <c r="CE49" i="9"/>
  <c r="CE140" i="9" s="1"/>
  <c r="CE141" i="9" s="1"/>
  <c r="CE109" i="9"/>
  <c r="CE125" i="9" s="1"/>
  <c r="CE126" i="9" s="1"/>
  <c r="CE108" i="9"/>
  <c r="CE123" i="9" s="1"/>
  <c r="CE124" i="9" s="1"/>
  <c r="CE111" i="9"/>
  <c r="CE129" i="9" s="1"/>
  <c r="CE130" i="9" s="1"/>
  <c r="CE51" i="9"/>
  <c r="BB198" i="9"/>
  <c r="BC198" i="9" s="1"/>
  <c r="BD213" i="9" s="1"/>
  <c r="BD211" i="9" s="1"/>
  <c r="J143" i="7"/>
  <c r="L143" i="7" s="1"/>
  <c r="I143" i="7"/>
  <c r="CF88" i="9" l="1"/>
  <c r="CF61" i="9"/>
  <c r="CF91" i="9"/>
  <c r="CF78" i="9"/>
  <c r="CF60" i="9"/>
  <c r="CF74" i="9"/>
  <c r="CF62" i="9"/>
  <c r="BX76" i="9"/>
  <c r="CA29" i="9"/>
  <c r="CA76" i="9" s="1"/>
  <c r="BX63" i="9"/>
  <c r="CF93" i="9"/>
  <c r="BV64" i="9"/>
  <c r="BV92" i="9"/>
  <c r="BW89" i="9"/>
  <c r="BX93" i="9"/>
  <c r="BW88" i="9"/>
  <c r="BX74" i="9"/>
  <c r="BX92" i="9"/>
  <c r="CD91" i="9"/>
  <c r="BW74" i="9"/>
  <c r="BX78" i="9"/>
  <c r="CF75" i="9"/>
  <c r="BV76" i="9"/>
  <c r="BW78" i="9"/>
  <c r="BC149" i="9"/>
  <c r="D28" i="4"/>
  <c r="D29" i="4" s="1"/>
  <c r="CA62" i="9"/>
  <c r="BW79" i="9"/>
  <c r="BR25" i="9"/>
  <c r="BS30" i="9"/>
  <c r="BS29" i="9" s="1"/>
  <c r="BS111" i="9"/>
  <c r="BS129" i="9" s="1"/>
  <c r="BS130" i="9" s="1"/>
  <c r="BS108" i="9"/>
  <c r="BS123" i="9" s="1"/>
  <c r="BS124" i="9" s="1"/>
  <c r="BS51" i="9"/>
  <c r="BS48" i="9"/>
  <c r="BS47" i="9"/>
  <c r="BS138" i="9" s="1"/>
  <c r="BS139" i="9" s="1"/>
  <c r="BS52" i="9"/>
  <c r="BS28" i="9"/>
  <c r="BS50" i="9"/>
  <c r="BS142" i="9" s="1"/>
  <c r="BS143" i="9" s="1"/>
  <c r="BS102" i="9"/>
  <c r="BS120" i="9" s="1"/>
  <c r="BS121" i="9" s="1"/>
  <c r="BS49" i="9"/>
  <c r="BS140" i="9" s="1"/>
  <c r="BS141" i="9" s="1"/>
  <c r="BS109" i="9"/>
  <c r="BS125" i="9" s="1"/>
  <c r="BS126" i="9" s="1"/>
  <c r="BS100" i="9"/>
  <c r="BS116" i="9" s="1"/>
  <c r="BS117" i="9" s="1"/>
  <c r="BS110" i="9"/>
  <c r="BS127" i="9" s="1"/>
  <c r="BS128" i="9" s="1"/>
  <c r="BS99" i="9"/>
  <c r="BS114" i="9" s="1"/>
  <c r="BS115" i="9" s="1"/>
  <c r="BS101" i="9"/>
  <c r="BS118" i="9" s="1"/>
  <c r="BS119" i="9" s="1"/>
  <c r="BD191" i="9"/>
  <c r="BD185" i="9" s="1"/>
  <c r="C47" i="10"/>
  <c r="BW93" i="9"/>
  <c r="BD212" i="9"/>
  <c r="D2" i="6" s="1"/>
  <c r="D3" i="6" s="1"/>
  <c r="D19" i="6" s="1"/>
  <c r="D22" i="6" s="1"/>
  <c r="E34" i="10"/>
  <c r="BW76" i="9"/>
  <c r="BW92" i="9"/>
  <c r="CD62" i="9"/>
  <c r="CD76" i="9"/>
  <c r="CB29" i="9"/>
  <c r="CF63" i="9"/>
  <c r="BW75" i="9"/>
  <c r="BW91" i="9"/>
  <c r="BV90" i="9"/>
  <c r="H21" i="10"/>
  <c r="BD169" i="9"/>
  <c r="BD159" i="9" s="1"/>
  <c r="CD74" i="9"/>
  <c r="CG76" i="9"/>
  <c r="CG62" i="9"/>
  <c r="CG77" i="9"/>
  <c r="CG88" i="9"/>
  <c r="CG92" i="9"/>
  <c r="CG61" i="9"/>
  <c r="CG75" i="9"/>
  <c r="CG93" i="9"/>
  <c r="CG63" i="9"/>
  <c r="CG90" i="9"/>
  <c r="CG89" i="9"/>
  <c r="CG64" i="9"/>
  <c r="CG65" i="9"/>
  <c r="CG60" i="9"/>
  <c r="CG91" i="9"/>
  <c r="CG78" i="9"/>
  <c r="CG74" i="9"/>
  <c r="CG79" i="9"/>
  <c r="CD77" i="9"/>
  <c r="BW90" i="9"/>
  <c r="BU29" i="9"/>
  <c r="BV89" i="9"/>
  <c r="BX89" i="9"/>
  <c r="BX75" i="9"/>
  <c r="BY29" i="9"/>
  <c r="BX60" i="9"/>
  <c r="CD79" i="9"/>
  <c r="CA88" i="9"/>
  <c r="CF92" i="9"/>
  <c r="BW65" i="9"/>
  <c r="BV65" i="9"/>
  <c r="BV88" i="9"/>
  <c r="BX91" i="9"/>
  <c r="BX77" i="9"/>
  <c r="E47" i="10"/>
  <c r="BD188" i="9"/>
  <c r="CD90" i="9"/>
  <c r="CF77" i="9"/>
  <c r="BW63" i="9"/>
  <c r="BV63" i="9"/>
  <c r="BV93" i="9"/>
  <c r="CD65" i="9"/>
  <c r="CA60" i="9"/>
  <c r="BT29" i="9"/>
  <c r="CD88" i="9"/>
  <c r="D21" i="10"/>
  <c r="BD166" i="9"/>
  <c r="BD162" i="9" s="1"/>
  <c r="CF76" i="9"/>
  <c r="BW60" i="9"/>
  <c r="BV79" i="9"/>
  <c r="D34" i="10"/>
  <c r="BD214" i="9"/>
  <c r="BD210" i="9" s="1"/>
  <c r="CD63" i="9"/>
  <c r="CD75" i="9"/>
  <c r="M143" i="7"/>
  <c r="N143" i="7" s="1"/>
  <c r="K143" i="7"/>
  <c r="BX61" i="9"/>
  <c r="CD89" i="9"/>
  <c r="CF65" i="9"/>
  <c r="BW77" i="9"/>
  <c r="BV60" i="9"/>
  <c r="C21" i="10"/>
  <c r="BD167" i="9"/>
  <c r="BD161" i="9" s="1"/>
  <c r="BX64" i="9"/>
  <c r="CD64" i="9"/>
  <c r="CD78" i="9"/>
  <c r="CA89" i="9"/>
  <c r="CA91" i="9"/>
  <c r="CF79" i="9"/>
  <c r="BW62" i="9"/>
  <c r="BV77" i="9"/>
  <c r="F21" i="10"/>
  <c r="BD165" i="9"/>
  <c r="BD163" i="9" s="1"/>
  <c r="BX79" i="9"/>
  <c r="CD60" i="9"/>
  <c r="CD93" i="9"/>
  <c r="BZ29" i="9"/>
  <c r="CF90" i="9"/>
  <c r="BW61" i="9"/>
  <c r="BV62" i="9"/>
  <c r="BX65" i="9"/>
  <c r="BX90" i="9"/>
  <c r="CD61" i="9"/>
  <c r="CA65" i="9"/>
  <c r="CF64" i="9"/>
  <c r="CF89" i="9"/>
  <c r="BW64" i="9"/>
  <c r="BV61" i="9"/>
  <c r="G21" i="10"/>
  <c r="BD168" i="9"/>
  <c r="BD160" i="9" s="1"/>
  <c r="D47" i="10"/>
  <c r="BD190" i="9"/>
  <c r="BD186" i="9" s="1"/>
  <c r="BX62" i="9"/>
  <c r="CC29" i="9"/>
  <c r="C34" i="10"/>
  <c r="BD215" i="9"/>
  <c r="BD209" i="9" s="1"/>
  <c r="CE29" i="9"/>
  <c r="CA74" i="9" l="1"/>
  <c r="CA63" i="9"/>
  <c r="CA75" i="9"/>
  <c r="CA79" i="9"/>
  <c r="CA78" i="9"/>
  <c r="CA64" i="9"/>
  <c r="CA77" i="9"/>
  <c r="CA92" i="9"/>
  <c r="CA93" i="9"/>
  <c r="CA90" i="9"/>
  <c r="CA61" i="9"/>
  <c r="E37" i="10"/>
  <c r="E41" i="10"/>
  <c r="D50" i="10"/>
  <c r="D54" i="10"/>
  <c r="C50" i="10"/>
  <c r="C54" i="10"/>
  <c r="D28" i="10"/>
  <c r="D24" i="10"/>
  <c r="H28" i="10"/>
  <c r="H24" i="10"/>
  <c r="BU76" i="9"/>
  <c r="BU90" i="9"/>
  <c r="BU63" i="9"/>
  <c r="BU79" i="9"/>
  <c r="BU93" i="9"/>
  <c r="BU65" i="9"/>
  <c r="BU74" i="9"/>
  <c r="BU89" i="9"/>
  <c r="BU60" i="9"/>
  <c r="BU91" i="9"/>
  <c r="BU64" i="9"/>
  <c r="BU92" i="9"/>
  <c r="BU88" i="9"/>
  <c r="BU61" i="9"/>
  <c r="BU75" i="9"/>
  <c r="BU78" i="9"/>
  <c r="BU77" i="9"/>
  <c r="BU62" i="9"/>
  <c r="G28" i="10"/>
  <c r="G24" i="10"/>
  <c r="J144" i="7"/>
  <c r="L144" i="7" s="1"/>
  <c r="I144" i="7"/>
  <c r="BQ25" i="9"/>
  <c r="BR30" i="9"/>
  <c r="BR29" i="9" s="1"/>
  <c r="BR47" i="9"/>
  <c r="BR138" i="9" s="1"/>
  <c r="BR139" i="9" s="1"/>
  <c r="BR100" i="9"/>
  <c r="BR116" i="9" s="1"/>
  <c r="BR117" i="9" s="1"/>
  <c r="BR108" i="9"/>
  <c r="BR123" i="9" s="1"/>
  <c r="BR124" i="9" s="1"/>
  <c r="BR109" i="9"/>
  <c r="BR125" i="9" s="1"/>
  <c r="BR126" i="9" s="1"/>
  <c r="BR110" i="9"/>
  <c r="BR127" i="9" s="1"/>
  <c r="BR128" i="9" s="1"/>
  <c r="BR101" i="9"/>
  <c r="BR118" i="9" s="1"/>
  <c r="BR119" i="9" s="1"/>
  <c r="BR99" i="9"/>
  <c r="BR114" i="9" s="1"/>
  <c r="BR115" i="9" s="1"/>
  <c r="BR102" i="9"/>
  <c r="BR120" i="9" s="1"/>
  <c r="BR121" i="9" s="1"/>
  <c r="BR111" i="9"/>
  <c r="BR129" i="9" s="1"/>
  <c r="BR130" i="9" s="1"/>
  <c r="BR52" i="9"/>
  <c r="BS79" i="9" s="1"/>
  <c r="BR49" i="9"/>
  <c r="BR51" i="9"/>
  <c r="BS78" i="9" s="1"/>
  <c r="BR48" i="9"/>
  <c r="BS75" i="9" s="1"/>
  <c r="BR28" i="9"/>
  <c r="BR50" i="9"/>
  <c r="BS89" i="9"/>
  <c r="BS65" i="9"/>
  <c r="BS88" i="9"/>
  <c r="BT93" i="9"/>
  <c r="BT64" i="9"/>
  <c r="BT63" i="9"/>
  <c r="BT91" i="9"/>
  <c r="BT75" i="9"/>
  <c r="BT78" i="9"/>
  <c r="BT74" i="9"/>
  <c r="BT65" i="9"/>
  <c r="BT61" i="9"/>
  <c r="BT76" i="9"/>
  <c r="BT62" i="9"/>
  <c r="BT77" i="9"/>
  <c r="BT79" i="9"/>
  <c r="BT88" i="9"/>
  <c r="BT90" i="9"/>
  <c r="BT89" i="9"/>
  <c r="BT60" i="9"/>
  <c r="BT92" i="9"/>
  <c r="BY74" i="9"/>
  <c r="BY79" i="9"/>
  <c r="BY93" i="9"/>
  <c r="BY65" i="9"/>
  <c r="BY92" i="9"/>
  <c r="BY61" i="9"/>
  <c r="BY62" i="9"/>
  <c r="BY90" i="9"/>
  <c r="BY78" i="9"/>
  <c r="BY88" i="9"/>
  <c r="BY77" i="9"/>
  <c r="BY91" i="9"/>
  <c r="BY60" i="9"/>
  <c r="BY75" i="9"/>
  <c r="BY89" i="9"/>
  <c r="BY76" i="9"/>
  <c r="BY63" i="9"/>
  <c r="BY64" i="9"/>
  <c r="CB88" i="9"/>
  <c r="CB63" i="9"/>
  <c r="CB90" i="9"/>
  <c r="CB79" i="9"/>
  <c r="CB91" i="9"/>
  <c r="CB77" i="9"/>
  <c r="CB65" i="9"/>
  <c r="CB93" i="9"/>
  <c r="CB76" i="9"/>
  <c r="CB61" i="9"/>
  <c r="CB74" i="9"/>
  <c r="CB60" i="9"/>
  <c r="CB75" i="9"/>
  <c r="CB92" i="9"/>
  <c r="CB62" i="9"/>
  <c r="CB89" i="9"/>
  <c r="CB64" i="9"/>
  <c r="CB78" i="9"/>
  <c r="D30" i="4"/>
  <c r="C32" i="4" s="1"/>
  <c r="D35" i="4"/>
  <c r="D36" i="4" s="1"/>
  <c r="D37" i="4" s="1"/>
  <c r="C41" i="10"/>
  <c r="C37" i="10"/>
  <c r="C44" i="10" s="1"/>
  <c r="CC79" i="9"/>
  <c r="CC78" i="9"/>
  <c r="CC62" i="9"/>
  <c r="CC65" i="9"/>
  <c r="CC77" i="9"/>
  <c r="CC76" i="9"/>
  <c r="CC64" i="9"/>
  <c r="CC74" i="9"/>
  <c r="CC60" i="9"/>
  <c r="CC91" i="9"/>
  <c r="CC93" i="9"/>
  <c r="CC75" i="9"/>
  <c r="CC90" i="9"/>
  <c r="CC63" i="9"/>
  <c r="CC61" i="9"/>
  <c r="CC89" i="9"/>
  <c r="CC88" i="9"/>
  <c r="CC92" i="9"/>
  <c r="E21" i="10"/>
  <c r="BD164" i="9"/>
  <c r="F24" i="10"/>
  <c r="F28" i="10"/>
  <c r="CE88" i="9"/>
  <c r="CE61" i="9"/>
  <c r="CE90" i="9"/>
  <c r="CE62" i="9"/>
  <c r="CE92" i="9"/>
  <c r="CE77" i="9"/>
  <c r="CE89" i="9"/>
  <c r="CE78" i="9"/>
  <c r="CE79" i="9"/>
  <c r="CE76" i="9"/>
  <c r="CE74" i="9"/>
  <c r="CE75" i="9"/>
  <c r="CE60" i="9"/>
  <c r="CE65" i="9"/>
  <c r="CE91" i="9"/>
  <c r="CE63" i="9"/>
  <c r="CE93" i="9"/>
  <c r="CE64" i="9"/>
  <c r="D41" i="10"/>
  <c r="D37" i="10"/>
  <c r="BZ78" i="9"/>
  <c r="BZ61" i="9"/>
  <c r="BZ75" i="9"/>
  <c r="BZ62" i="9"/>
  <c r="BZ77" i="9"/>
  <c r="BZ60" i="9"/>
  <c r="BZ79" i="9"/>
  <c r="BZ88" i="9"/>
  <c r="BZ90" i="9"/>
  <c r="BZ63" i="9"/>
  <c r="BZ93" i="9"/>
  <c r="BZ76" i="9"/>
  <c r="BZ91" i="9"/>
  <c r="BZ89" i="9"/>
  <c r="BZ92" i="9"/>
  <c r="BZ65" i="9"/>
  <c r="BZ74" i="9"/>
  <c r="BZ64" i="9"/>
  <c r="C24" i="10"/>
  <c r="C28" i="10"/>
  <c r="D75" i="5" s="1"/>
  <c r="E50" i="10"/>
  <c r="E54" i="10"/>
  <c r="BS61" i="9" l="1"/>
  <c r="BS92" i="9"/>
  <c r="BR90" i="9"/>
  <c r="C27" i="10"/>
  <c r="C29" i="10" s="1"/>
  <c r="C30" i="10" s="1"/>
  <c r="C25" i="10"/>
  <c r="C26" i="10" s="1"/>
  <c r="C31" i="10"/>
  <c r="C32" i="10"/>
  <c r="BP25" i="9"/>
  <c r="BQ30" i="9"/>
  <c r="BQ29" i="9" s="1"/>
  <c r="BQ101" i="9"/>
  <c r="BQ118" i="9" s="1"/>
  <c r="BQ119" i="9" s="1"/>
  <c r="BQ99" i="9"/>
  <c r="BQ114" i="9" s="1"/>
  <c r="BQ115" i="9" s="1"/>
  <c r="BQ50" i="9"/>
  <c r="BQ142" i="9" s="1"/>
  <c r="BQ143" i="9" s="1"/>
  <c r="BQ49" i="9"/>
  <c r="BQ140" i="9" s="1"/>
  <c r="BQ141" i="9" s="1"/>
  <c r="BQ51" i="9"/>
  <c r="BR92" i="9" s="1"/>
  <c r="BQ111" i="9"/>
  <c r="BQ129" i="9" s="1"/>
  <c r="BQ130" i="9" s="1"/>
  <c r="BQ102" i="9"/>
  <c r="BQ120" i="9" s="1"/>
  <c r="BQ121" i="9" s="1"/>
  <c r="BQ48" i="9"/>
  <c r="BR89" i="9" s="1"/>
  <c r="BQ52" i="9"/>
  <c r="BR93" i="9" s="1"/>
  <c r="BQ47" i="9"/>
  <c r="BQ138" i="9" s="1"/>
  <c r="BQ139" i="9" s="1"/>
  <c r="BQ109" i="9"/>
  <c r="BQ125" i="9" s="1"/>
  <c r="BQ126" i="9" s="1"/>
  <c r="BQ28" i="9"/>
  <c r="BQ108" i="9"/>
  <c r="BQ123" i="9" s="1"/>
  <c r="BQ124" i="9" s="1"/>
  <c r="BQ100" i="9"/>
  <c r="BQ116" i="9" s="1"/>
  <c r="BQ117" i="9" s="1"/>
  <c r="BQ110" i="9"/>
  <c r="BQ127" i="9" s="1"/>
  <c r="BQ128" i="9" s="1"/>
  <c r="BS93" i="9"/>
  <c r="E53" i="10"/>
  <c r="E55" i="10" s="1"/>
  <c r="E56" i="10" s="1"/>
  <c r="E51" i="10"/>
  <c r="E52" i="10" s="1"/>
  <c r="M144" i="7"/>
  <c r="N144" i="7" s="1"/>
  <c r="K144" i="7"/>
  <c r="BR140" i="9"/>
  <c r="BR141" i="9" s="1"/>
  <c r="BS90" i="9"/>
  <c r="C53" i="10"/>
  <c r="C55" i="10" s="1"/>
  <c r="C56" i="10" s="1"/>
  <c r="C51" i="10"/>
  <c r="C52" i="10" s="1"/>
  <c r="BR142" i="9"/>
  <c r="BR143" i="9" s="1"/>
  <c r="BS63" i="9"/>
  <c r="G27" i="10"/>
  <c r="G29" i="10" s="1"/>
  <c r="G30" i="10" s="1"/>
  <c r="G25" i="10"/>
  <c r="G26" i="10" s="1"/>
  <c r="G32" i="10"/>
  <c r="G31" i="10"/>
  <c r="C57" i="10"/>
  <c r="BS62" i="9"/>
  <c r="C40" i="10"/>
  <c r="C42" i="10" s="1"/>
  <c r="C43" i="10" s="1"/>
  <c r="C38" i="10"/>
  <c r="C39" i="10" s="1"/>
  <c r="BS60" i="9"/>
  <c r="BS74" i="9"/>
  <c r="D53" i="10"/>
  <c r="D55" i="10" s="1"/>
  <c r="D56" i="10" s="1"/>
  <c r="D51" i="10"/>
  <c r="D52" i="10" s="1"/>
  <c r="F27" i="10"/>
  <c r="F29" i="10" s="1"/>
  <c r="F30" i="10" s="1"/>
  <c r="F25" i="10"/>
  <c r="F26" i="10" s="1"/>
  <c r="F32" i="10"/>
  <c r="F31" i="10"/>
  <c r="E40" i="10"/>
  <c r="E42" i="10" s="1"/>
  <c r="E43" i="10" s="1"/>
  <c r="E38" i="10"/>
  <c r="E39" i="10" s="1"/>
  <c r="E28" i="10"/>
  <c r="E24" i="10"/>
  <c r="BS77" i="9"/>
  <c r="BS91" i="9"/>
  <c r="BS76" i="9"/>
  <c r="D27" i="10"/>
  <c r="D29" i="10" s="1"/>
  <c r="D30" i="10" s="1"/>
  <c r="D25" i="10"/>
  <c r="D26" i="10" s="1"/>
  <c r="D31" i="10"/>
  <c r="D32" i="10"/>
  <c r="D40" i="10"/>
  <c r="D42" i="10" s="1"/>
  <c r="D43" i="10" s="1"/>
  <c r="D38" i="10"/>
  <c r="D39" i="10" s="1"/>
  <c r="BS64" i="9"/>
  <c r="H27" i="10"/>
  <c r="H29" i="10" s="1"/>
  <c r="H25" i="10"/>
  <c r="H31" i="10"/>
  <c r="H32" i="10"/>
  <c r="BR61" i="9" l="1"/>
  <c r="BR74" i="9"/>
  <c r="BR65" i="9"/>
  <c r="BR88" i="9"/>
  <c r="BR79" i="9"/>
  <c r="BR60" i="9"/>
  <c r="BQ88" i="9"/>
  <c r="E27" i="10"/>
  <c r="D32" i="6" s="1"/>
  <c r="D68" i="4"/>
  <c r="D86" i="5"/>
  <c r="D34" i="5"/>
  <c r="E25" i="10"/>
  <c r="E26" i="10" s="1"/>
  <c r="E31" i="10"/>
  <c r="E32" i="10"/>
  <c r="J31" i="10" s="1"/>
  <c r="D28" i="5" s="1"/>
  <c r="D40" i="5" s="1"/>
  <c r="BO25" i="9"/>
  <c r="BP30" i="9"/>
  <c r="BP29" i="9" s="1"/>
  <c r="BP49" i="9"/>
  <c r="BP140" i="9" s="1"/>
  <c r="BP141" i="9" s="1"/>
  <c r="BP51" i="9"/>
  <c r="BQ92" i="9" s="1"/>
  <c r="BP47" i="9"/>
  <c r="BP138" i="9" s="1"/>
  <c r="BP139" i="9" s="1"/>
  <c r="BP28" i="9"/>
  <c r="BP108" i="9"/>
  <c r="BP123" i="9" s="1"/>
  <c r="BP124" i="9" s="1"/>
  <c r="BP52" i="9"/>
  <c r="BQ65" i="9" s="1"/>
  <c r="BP111" i="9"/>
  <c r="BP129" i="9" s="1"/>
  <c r="BP130" i="9" s="1"/>
  <c r="BP102" i="9"/>
  <c r="BP120" i="9" s="1"/>
  <c r="BP121" i="9" s="1"/>
  <c r="BP109" i="9"/>
  <c r="BP125" i="9" s="1"/>
  <c r="BP126" i="9" s="1"/>
  <c r="BP110" i="9"/>
  <c r="BP127" i="9" s="1"/>
  <c r="BP128" i="9" s="1"/>
  <c r="BP100" i="9"/>
  <c r="BP116" i="9" s="1"/>
  <c r="BP117" i="9" s="1"/>
  <c r="BP101" i="9"/>
  <c r="BP118" i="9" s="1"/>
  <c r="BP119" i="9" s="1"/>
  <c r="BP99" i="9"/>
  <c r="BP114" i="9" s="1"/>
  <c r="BP115" i="9" s="1"/>
  <c r="BP48" i="9"/>
  <c r="BQ89" i="9" s="1"/>
  <c r="BP50" i="9"/>
  <c r="BP142" i="9" s="1"/>
  <c r="BP143" i="9" s="1"/>
  <c r="BR77" i="9"/>
  <c r="BR62" i="9"/>
  <c r="BR64" i="9"/>
  <c r="BR78" i="9"/>
  <c r="H26" i="10"/>
  <c r="H30" i="10"/>
  <c r="BR75" i="9"/>
  <c r="J145" i="7"/>
  <c r="L145" i="7" s="1"/>
  <c r="I145" i="7"/>
  <c r="BR63" i="9"/>
  <c r="BR91" i="9"/>
  <c r="BR76" i="9"/>
  <c r="BQ79" i="9" l="1"/>
  <c r="BQ60" i="9"/>
  <c r="BQ93" i="9"/>
  <c r="BQ74" i="9"/>
  <c r="BP88" i="9"/>
  <c r="BP61" i="9"/>
  <c r="BP62" i="9"/>
  <c r="BQ63" i="9"/>
  <c r="BQ61" i="9"/>
  <c r="BQ77" i="9"/>
  <c r="BQ78" i="9"/>
  <c r="BO30" i="9"/>
  <c r="BO29" i="9" s="1"/>
  <c r="BN25" i="9"/>
  <c r="BO52" i="9"/>
  <c r="BP93" i="9" s="1"/>
  <c r="BO50" i="9"/>
  <c r="BO142" i="9" s="1"/>
  <c r="BO143" i="9" s="1"/>
  <c r="BO48" i="9"/>
  <c r="BP89" i="9" s="1"/>
  <c r="BO49" i="9"/>
  <c r="BO140" i="9" s="1"/>
  <c r="BO141" i="9" s="1"/>
  <c r="BO28" i="9"/>
  <c r="BO51" i="9"/>
  <c r="BP92" i="9" s="1"/>
  <c r="BO111" i="9"/>
  <c r="BO129" i="9" s="1"/>
  <c r="BO130" i="9" s="1"/>
  <c r="BO47" i="9"/>
  <c r="BO138" i="9" s="1"/>
  <c r="BO139" i="9" s="1"/>
  <c r="BO109" i="9"/>
  <c r="BO125" i="9" s="1"/>
  <c r="BO126" i="9" s="1"/>
  <c r="BO108" i="9"/>
  <c r="BO123" i="9" s="1"/>
  <c r="BO124" i="9" s="1"/>
  <c r="BO101" i="9"/>
  <c r="BO118" i="9" s="1"/>
  <c r="BO119" i="9" s="1"/>
  <c r="BO102" i="9"/>
  <c r="BO120" i="9" s="1"/>
  <c r="BO121" i="9" s="1"/>
  <c r="BO100" i="9"/>
  <c r="BO116" i="9" s="1"/>
  <c r="BO117" i="9" s="1"/>
  <c r="BO110" i="9"/>
  <c r="BO127" i="9" s="1"/>
  <c r="BO128" i="9" s="1"/>
  <c r="BO99" i="9"/>
  <c r="BO114" i="9" s="1"/>
  <c r="BO115" i="9" s="1"/>
  <c r="D91" i="5"/>
  <c r="D90" i="5"/>
  <c r="BQ64" i="9"/>
  <c r="BQ75" i="9"/>
  <c r="BQ76" i="9"/>
  <c r="E29" i="10"/>
  <c r="D66" i="4"/>
  <c r="J26" i="10"/>
  <c r="D85" i="5" s="1"/>
  <c r="D87" i="5" s="1"/>
  <c r="D100" i="5" s="1"/>
  <c r="J25" i="10"/>
  <c r="BQ90" i="9"/>
  <c r="BQ62" i="9"/>
  <c r="D39" i="6"/>
  <c r="D44" i="6" s="1"/>
  <c r="D45" i="6" s="1"/>
  <c r="D65" i="5"/>
  <c r="D66" i="5"/>
  <c r="D50" i="6"/>
  <c r="M145" i="7"/>
  <c r="N145" i="7" s="1"/>
  <c r="K145" i="7"/>
  <c r="D39" i="5"/>
  <c r="D37" i="5"/>
  <c r="BQ91" i="9"/>
  <c r="BP74" i="9" l="1"/>
  <c r="BP60" i="9"/>
  <c r="E30" i="10"/>
  <c r="D33" i="6"/>
  <c r="J29" i="10"/>
  <c r="BP77" i="9"/>
  <c r="BP65" i="9"/>
  <c r="BO89" i="9"/>
  <c r="BP63" i="9"/>
  <c r="BO62" i="9"/>
  <c r="BP91" i="9"/>
  <c r="BO76" i="9"/>
  <c r="BO91" i="9"/>
  <c r="BN29" i="9"/>
  <c r="BO88" i="9"/>
  <c r="BP64" i="9"/>
  <c r="BP78" i="9"/>
  <c r="BP79" i="9"/>
  <c r="BP90" i="9"/>
  <c r="D84" i="5"/>
  <c r="D67" i="4"/>
  <c r="BO74" i="9"/>
  <c r="BP75" i="9"/>
  <c r="BO75" i="9"/>
  <c r="I146" i="7"/>
  <c r="J146" i="7"/>
  <c r="L146" i="7" s="1"/>
  <c r="BO60" i="9"/>
  <c r="BO93" i="9"/>
  <c r="BN30" i="9"/>
  <c r="BM25" i="9"/>
  <c r="BN51" i="9"/>
  <c r="BO78" i="9" s="1"/>
  <c r="BN47" i="9"/>
  <c r="BN138" i="9" s="1"/>
  <c r="BN139" i="9" s="1"/>
  <c r="BN50" i="9"/>
  <c r="BN49" i="9"/>
  <c r="BN140" i="9" s="1"/>
  <c r="BN141" i="9" s="1"/>
  <c r="BN48" i="9"/>
  <c r="BO61" i="9" s="1"/>
  <c r="BN52" i="9"/>
  <c r="BO79" i="9" s="1"/>
  <c r="BN28" i="9"/>
  <c r="BN110" i="9"/>
  <c r="BN127" i="9" s="1"/>
  <c r="BN128" i="9" s="1"/>
  <c r="BN109" i="9"/>
  <c r="BN125" i="9" s="1"/>
  <c r="BN126" i="9" s="1"/>
  <c r="BN111" i="9"/>
  <c r="BN129" i="9" s="1"/>
  <c r="BN130" i="9" s="1"/>
  <c r="BN102" i="9"/>
  <c r="BN120" i="9" s="1"/>
  <c r="BN121" i="9" s="1"/>
  <c r="BN100" i="9"/>
  <c r="BN116" i="9" s="1"/>
  <c r="BN117" i="9" s="1"/>
  <c r="BN101" i="9"/>
  <c r="BN118" i="9" s="1"/>
  <c r="BN119" i="9" s="1"/>
  <c r="BN108" i="9"/>
  <c r="BN123" i="9" s="1"/>
  <c r="BN124" i="9" s="1"/>
  <c r="BN99" i="9"/>
  <c r="BN114" i="9" s="1"/>
  <c r="BN115" i="9" s="1"/>
  <c r="D102" i="5"/>
  <c r="D101" i="5"/>
  <c r="BP76" i="9"/>
  <c r="BO64" i="9" l="1"/>
  <c r="BO92" i="9"/>
  <c r="M146" i="7"/>
  <c r="N146" i="7" s="1"/>
  <c r="K146" i="7"/>
  <c r="J30" i="10"/>
  <c r="D61" i="5" s="1"/>
  <c r="D62" i="5" s="1"/>
  <c r="D78" i="5" s="1"/>
  <c r="D80" i="5" s="1"/>
  <c r="D60" i="5"/>
  <c r="D79" i="5" s="1"/>
  <c r="D65" i="4"/>
  <c r="BN79" i="9"/>
  <c r="BO90" i="9"/>
  <c r="D40" i="6"/>
  <c r="D42" i="6" s="1"/>
  <c r="D47" i="6"/>
  <c r="BN64" i="9"/>
  <c r="BN142" i="9"/>
  <c r="BN143" i="9" s="1"/>
  <c r="BO63" i="9"/>
  <c r="BO77" i="9"/>
  <c r="BM30" i="9"/>
  <c r="BL25" i="9"/>
  <c r="BM111" i="9"/>
  <c r="BM129" i="9" s="1"/>
  <c r="BM130" i="9" s="1"/>
  <c r="BM102" i="9"/>
  <c r="BM120" i="9" s="1"/>
  <c r="BM121" i="9" s="1"/>
  <c r="BM110" i="9"/>
  <c r="BM127" i="9" s="1"/>
  <c r="BM128" i="9" s="1"/>
  <c r="BM100" i="9"/>
  <c r="BM116" i="9" s="1"/>
  <c r="BM117" i="9" s="1"/>
  <c r="BM99" i="9"/>
  <c r="BM114" i="9" s="1"/>
  <c r="BM115" i="9" s="1"/>
  <c r="BM101" i="9"/>
  <c r="BM118" i="9" s="1"/>
  <c r="BM119" i="9" s="1"/>
  <c r="BM47" i="9"/>
  <c r="BN74" i="9" s="1"/>
  <c r="BM50" i="9"/>
  <c r="BM142" i="9" s="1"/>
  <c r="BM143" i="9" s="1"/>
  <c r="BM49" i="9"/>
  <c r="BN76" i="9" s="1"/>
  <c r="BM48" i="9"/>
  <c r="BN61" i="9" s="1"/>
  <c r="BM51" i="9"/>
  <c r="BM108" i="9"/>
  <c r="BM123" i="9" s="1"/>
  <c r="BM124" i="9" s="1"/>
  <c r="BM109" i="9"/>
  <c r="BM125" i="9" s="1"/>
  <c r="BM126" i="9" s="1"/>
  <c r="BM28" i="9"/>
  <c r="BM52" i="9"/>
  <c r="BN93" i="9" s="1"/>
  <c r="BM29" i="9"/>
  <c r="BO65" i="9"/>
  <c r="BN91" i="9" l="1"/>
  <c r="BN77" i="9"/>
  <c r="BN89" i="9"/>
  <c r="BN90" i="9"/>
  <c r="BL30" i="9"/>
  <c r="BK25" i="9"/>
  <c r="BL28" i="9"/>
  <c r="BL110" i="9"/>
  <c r="BL127" i="9" s="1"/>
  <c r="BL128" i="9" s="1"/>
  <c r="BL109" i="9"/>
  <c r="BL125" i="9" s="1"/>
  <c r="BL126" i="9" s="1"/>
  <c r="BL102" i="9"/>
  <c r="BL120" i="9" s="1"/>
  <c r="BL121" i="9" s="1"/>
  <c r="BL108" i="9"/>
  <c r="BL123" i="9" s="1"/>
  <c r="BL124" i="9" s="1"/>
  <c r="BL111" i="9"/>
  <c r="BL129" i="9" s="1"/>
  <c r="BL130" i="9" s="1"/>
  <c r="BL99" i="9"/>
  <c r="BL114" i="9" s="1"/>
  <c r="BL115" i="9" s="1"/>
  <c r="BL101" i="9"/>
  <c r="BL118" i="9" s="1"/>
  <c r="BL119" i="9" s="1"/>
  <c r="BL100" i="9"/>
  <c r="BL116" i="9" s="1"/>
  <c r="BL117" i="9" s="1"/>
  <c r="BL51" i="9"/>
  <c r="BM64" i="9" s="1"/>
  <c r="BL49" i="9"/>
  <c r="BL52" i="9"/>
  <c r="BM65" i="9" s="1"/>
  <c r="BL50" i="9"/>
  <c r="BM63" i="9" s="1"/>
  <c r="BL48" i="9"/>
  <c r="BL47" i="9"/>
  <c r="BM89" i="9"/>
  <c r="BM91" i="9"/>
  <c r="BM75" i="9"/>
  <c r="BM93" i="9"/>
  <c r="BL29" i="9"/>
  <c r="BN65" i="9"/>
  <c r="BM61" i="9"/>
  <c r="I147" i="7"/>
  <c r="J147" i="7"/>
  <c r="L147" i="7" s="1"/>
  <c r="BM140" i="9"/>
  <c r="BM141" i="9" s="1"/>
  <c r="BN62" i="9"/>
  <c r="BM79" i="9"/>
  <c r="BN78" i="9"/>
  <c r="BN92" i="9"/>
  <c r="BM74" i="9"/>
  <c r="BN75" i="9"/>
  <c r="BM138" i="9"/>
  <c r="BM139" i="9" s="1"/>
  <c r="BN60" i="9"/>
  <c r="BN63" i="9"/>
  <c r="BN88" i="9"/>
  <c r="BL140" i="9" l="1"/>
  <c r="BL141" i="9" s="1"/>
  <c r="BM76" i="9"/>
  <c r="BK30" i="9"/>
  <c r="BK29" i="9" s="1"/>
  <c r="BJ25" i="9"/>
  <c r="BK47" i="9"/>
  <c r="BK49" i="9"/>
  <c r="BK140" i="9" s="1"/>
  <c r="BK141" i="9" s="1"/>
  <c r="BK28" i="9"/>
  <c r="BK51" i="9"/>
  <c r="BL64" i="9" s="1"/>
  <c r="BK111" i="9"/>
  <c r="BK129" i="9" s="1"/>
  <c r="BK130" i="9" s="1"/>
  <c r="BK110" i="9"/>
  <c r="BK127" i="9" s="1"/>
  <c r="BK128" i="9" s="1"/>
  <c r="BK109" i="9"/>
  <c r="BK125" i="9" s="1"/>
  <c r="BK126" i="9" s="1"/>
  <c r="BK100" i="9"/>
  <c r="BK116" i="9" s="1"/>
  <c r="BK117" i="9" s="1"/>
  <c r="BK101" i="9"/>
  <c r="BK118" i="9" s="1"/>
  <c r="BK119" i="9" s="1"/>
  <c r="BK108" i="9"/>
  <c r="BK123" i="9" s="1"/>
  <c r="BK124" i="9" s="1"/>
  <c r="BK102" i="9"/>
  <c r="BK120" i="9" s="1"/>
  <c r="BK121" i="9" s="1"/>
  <c r="BK99" i="9"/>
  <c r="BK114" i="9" s="1"/>
  <c r="BK115" i="9" s="1"/>
  <c r="BK52" i="9"/>
  <c r="BL65" i="9" s="1"/>
  <c r="BK50" i="9"/>
  <c r="BL91" i="9" s="1"/>
  <c r="BK48" i="9"/>
  <c r="BL61" i="9" s="1"/>
  <c r="M147" i="7"/>
  <c r="N147" i="7" s="1"/>
  <c r="K147" i="7"/>
  <c r="BM78" i="9"/>
  <c r="BL62" i="9"/>
  <c r="BL77" i="9"/>
  <c r="BM90" i="9"/>
  <c r="BM92" i="9"/>
  <c r="BM62" i="9"/>
  <c r="BL138" i="9"/>
  <c r="BL139" i="9" s="1"/>
  <c r="BM60" i="9"/>
  <c r="BL93" i="9"/>
  <c r="BL142" i="9"/>
  <c r="BL143" i="9" s="1"/>
  <c r="BM77" i="9"/>
  <c r="BL79" i="9"/>
  <c r="BM88" i="9"/>
  <c r="BL92" i="9" l="1"/>
  <c r="BK138" i="9"/>
  <c r="BK139" i="9" s="1"/>
  <c r="BL60" i="9"/>
  <c r="BL74" i="9"/>
  <c r="I148" i="7"/>
  <c r="J148" i="7"/>
  <c r="L148" i="7" s="1"/>
  <c r="BL76" i="9"/>
  <c r="BL89" i="9"/>
  <c r="BJ30" i="9"/>
  <c r="BI25" i="9"/>
  <c r="BJ47" i="9"/>
  <c r="BJ49" i="9"/>
  <c r="BJ140" i="9" s="1"/>
  <c r="BJ141" i="9" s="1"/>
  <c r="BJ28" i="9"/>
  <c r="BJ48" i="9"/>
  <c r="BK61" i="9" s="1"/>
  <c r="BJ110" i="9"/>
  <c r="BJ127" i="9" s="1"/>
  <c r="BJ128" i="9" s="1"/>
  <c r="BJ109" i="9"/>
  <c r="BJ125" i="9" s="1"/>
  <c r="BJ126" i="9" s="1"/>
  <c r="BJ111" i="9"/>
  <c r="BJ129" i="9" s="1"/>
  <c r="BJ130" i="9" s="1"/>
  <c r="BJ99" i="9"/>
  <c r="BJ114" i="9" s="1"/>
  <c r="BJ115" i="9" s="1"/>
  <c r="BJ100" i="9"/>
  <c r="BJ116" i="9" s="1"/>
  <c r="BJ117" i="9" s="1"/>
  <c r="BJ102" i="9"/>
  <c r="BJ120" i="9" s="1"/>
  <c r="BJ121" i="9" s="1"/>
  <c r="BJ101" i="9"/>
  <c r="BJ118" i="9" s="1"/>
  <c r="BJ119" i="9" s="1"/>
  <c r="BJ51" i="9"/>
  <c r="BK64" i="9" s="1"/>
  <c r="BJ108" i="9"/>
  <c r="BJ123" i="9" s="1"/>
  <c r="BJ124" i="9" s="1"/>
  <c r="BJ52" i="9"/>
  <c r="BK65" i="9" s="1"/>
  <c r="BJ50" i="9"/>
  <c r="BK91" i="9" s="1"/>
  <c r="BL90" i="9"/>
  <c r="BK142" i="9"/>
  <c r="BK143" i="9" s="1"/>
  <c r="BL63" i="9"/>
  <c r="BL88" i="9"/>
  <c r="BL75" i="9"/>
  <c r="BL78" i="9"/>
  <c r="BK75" i="9" l="1"/>
  <c r="BK62" i="9"/>
  <c r="BK89" i="9"/>
  <c r="BK78" i="9"/>
  <c r="BK90" i="9"/>
  <c r="BJ138" i="9"/>
  <c r="BJ139" i="9" s="1"/>
  <c r="BK88" i="9"/>
  <c r="BK60" i="9"/>
  <c r="M148" i="7"/>
  <c r="N148" i="7" s="1"/>
  <c r="K148" i="7"/>
  <c r="BI30" i="9"/>
  <c r="BI29" i="9" s="1"/>
  <c r="BH25" i="9"/>
  <c r="BI102" i="9"/>
  <c r="BI120" i="9" s="1"/>
  <c r="BI121" i="9" s="1"/>
  <c r="BI52" i="9"/>
  <c r="BI51" i="9"/>
  <c r="BI49" i="9"/>
  <c r="BI140" i="9" s="1"/>
  <c r="BI141" i="9" s="1"/>
  <c r="BI111" i="9"/>
  <c r="BI129" i="9" s="1"/>
  <c r="BI130" i="9" s="1"/>
  <c r="BI110" i="9"/>
  <c r="BI127" i="9" s="1"/>
  <c r="BI128" i="9" s="1"/>
  <c r="BI109" i="9"/>
  <c r="BI125" i="9" s="1"/>
  <c r="BI126" i="9" s="1"/>
  <c r="BI108" i="9"/>
  <c r="BI123" i="9" s="1"/>
  <c r="BI124" i="9" s="1"/>
  <c r="BI47" i="9"/>
  <c r="BI138" i="9" s="1"/>
  <c r="BI139" i="9" s="1"/>
  <c r="BI101" i="9"/>
  <c r="BI118" i="9" s="1"/>
  <c r="BI119" i="9" s="1"/>
  <c r="BI99" i="9"/>
  <c r="BI114" i="9" s="1"/>
  <c r="BI115" i="9" s="1"/>
  <c r="BI100" i="9"/>
  <c r="BI116" i="9" s="1"/>
  <c r="BI117" i="9" s="1"/>
  <c r="BI50" i="9"/>
  <c r="BI142" i="9" s="1"/>
  <c r="BI143" i="9" s="1"/>
  <c r="BI48" i="9"/>
  <c r="BI28" i="9"/>
  <c r="BK79" i="9"/>
  <c r="BJ142" i="9"/>
  <c r="BJ143" i="9" s="1"/>
  <c r="BK63" i="9"/>
  <c r="BK77" i="9"/>
  <c r="BJ29" i="9"/>
  <c r="BK92" i="9"/>
  <c r="BK74" i="9"/>
  <c r="BK76" i="9"/>
  <c r="BK93" i="9"/>
  <c r="BJ89" i="9" l="1"/>
  <c r="BJ75" i="9"/>
  <c r="BJ65" i="9"/>
  <c r="BJ77" i="9"/>
  <c r="BJ93" i="9"/>
  <c r="BJ90" i="9"/>
  <c r="BJ76" i="9"/>
  <c r="BJ62" i="9"/>
  <c r="BJ64" i="9"/>
  <c r="BJ61" i="9"/>
  <c r="BJ60" i="9"/>
  <c r="BJ63" i="9"/>
  <c r="BJ91" i="9"/>
  <c r="BJ79" i="9"/>
  <c r="BJ88" i="9"/>
  <c r="BJ78" i="9"/>
  <c r="BJ92" i="9"/>
  <c r="BJ74" i="9"/>
  <c r="BG25" i="9"/>
  <c r="BH30" i="9"/>
  <c r="BH109" i="9"/>
  <c r="BH125" i="9" s="1"/>
  <c r="BH126" i="9" s="1"/>
  <c r="BH100" i="9"/>
  <c r="BH116" i="9" s="1"/>
  <c r="BH117" i="9" s="1"/>
  <c r="BH102" i="9"/>
  <c r="BH120" i="9" s="1"/>
  <c r="BH121" i="9" s="1"/>
  <c r="BH51" i="9"/>
  <c r="BI78" i="9" s="1"/>
  <c r="BH49" i="9"/>
  <c r="BH140" i="9" s="1"/>
  <c r="BH141" i="9" s="1"/>
  <c r="BH47" i="9"/>
  <c r="BH138" i="9" s="1"/>
  <c r="BH139" i="9" s="1"/>
  <c r="BH52" i="9"/>
  <c r="BI65" i="9" s="1"/>
  <c r="BH50" i="9"/>
  <c r="BH142" i="9" s="1"/>
  <c r="BH143" i="9" s="1"/>
  <c r="BH28" i="9"/>
  <c r="BH48" i="9"/>
  <c r="BI61" i="9" s="1"/>
  <c r="BH111" i="9"/>
  <c r="BH129" i="9" s="1"/>
  <c r="BH130" i="9" s="1"/>
  <c r="BH110" i="9"/>
  <c r="BH127" i="9" s="1"/>
  <c r="BH128" i="9" s="1"/>
  <c r="BH101" i="9"/>
  <c r="BH118" i="9" s="1"/>
  <c r="BH119" i="9" s="1"/>
  <c r="BH99" i="9"/>
  <c r="BH114" i="9" s="1"/>
  <c r="BH115" i="9" s="1"/>
  <c r="BH108" i="9"/>
  <c r="BH123" i="9" s="1"/>
  <c r="BH124" i="9" s="1"/>
  <c r="I149" i="7"/>
  <c r="J149" i="7"/>
  <c r="L149" i="7" s="1"/>
  <c r="BI74" i="9" l="1"/>
  <c r="BI89" i="9"/>
  <c r="BI75" i="9"/>
  <c r="BI90" i="9"/>
  <c r="BI91" i="9"/>
  <c r="BI93" i="9"/>
  <c r="BI79" i="9"/>
  <c r="BH29" i="9"/>
  <c r="BG30" i="9"/>
  <c r="BF25" i="9"/>
  <c r="BG109" i="9"/>
  <c r="BG125" i="9" s="1"/>
  <c r="BG126" i="9" s="1"/>
  <c r="BG51" i="9"/>
  <c r="BG49" i="9"/>
  <c r="BG140" i="9" s="1"/>
  <c r="BG141" i="9" s="1"/>
  <c r="BG47" i="9"/>
  <c r="BG138" i="9" s="1"/>
  <c r="BG139" i="9" s="1"/>
  <c r="BG52" i="9"/>
  <c r="BG50" i="9"/>
  <c r="BG142" i="9" s="1"/>
  <c r="BG143" i="9" s="1"/>
  <c r="BG28" i="9"/>
  <c r="BG111" i="9"/>
  <c r="BG129" i="9" s="1"/>
  <c r="BG130" i="9" s="1"/>
  <c r="BG48" i="9"/>
  <c r="BG110" i="9"/>
  <c r="BG127" i="9" s="1"/>
  <c r="BG128" i="9" s="1"/>
  <c r="BG108" i="9"/>
  <c r="BG123" i="9" s="1"/>
  <c r="BG124" i="9" s="1"/>
  <c r="BG101" i="9"/>
  <c r="BG118" i="9" s="1"/>
  <c r="BG119" i="9" s="1"/>
  <c r="BG100" i="9"/>
  <c r="BG116" i="9" s="1"/>
  <c r="BG117" i="9" s="1"/>
  <c r="BG99" i="9"/>
  <c r="BG114" i="9" s="1"/>
  <c r="BG115" i="9" s="1"/>
  <c r="BG102" i="9"/>
  <c r="BG120" i="9" s="1"/>
  <c r="BG121" i="9" s="1"/>
  <c r="BI63" i="9"/>
  <c r="BI88" i="9"/>
  <c r="BI62" i="9"/>
  <c r="BI92" i="9"/>
  <c r="BI64" i="9"/>
  <c r="M149" i="7"/>
  <c r="N149" i="7" s="1"/>
  <c r="K149" i="7"/>
  <c r="BI60" i="9"/>
  <c r="BI77" i="9"/>
  <c r="BI76" i="9"/>
  <c r="BF30" i="9" l="1"/>
  <c r="BE25" i="9"/>
  <c r="BF52" i="9"/>
  <c r="BF47" i="9"/>
  <c r="BF138" i="9" s="1"/>
  <c r="BF139" i="9" s="1"/>
  <c r="BF49" i="9"/>
  <c r="BF140" i="9" s="1"/>
  <c r="BF141" i="9" s="1"/>
  <c r="BF50" i="9"/>
  <c r="BF142" i="9" s="1"/>
  <c r="BF143" i="9" s="1"/>
  <c r="BF51" i="9"/>
  <c r="BF28" i="9"/>
  <c r="BF99" i="9"/>
  <c r="BF114" i="9" s="1"/>
  <c r="BF115" i="9" s="1"/>
  <c r="BF101" i="9"/>
  <c r="BF118" i="9" s="1"/>
  <c r="BF119" i="9" s="1"/>
  <c r="BF48" i="9"/>
  <c r="BF111" i="9"/>
  <c r="BF129" i="9" s="1"/>
  <c r="BF130" i="9" s="1"/>
  <c r="BF110" i="9"/>
  <c r="BF127" i="9" s="1"/>
  <c r="BF128" i="9" s="1"/>
  <c r="BF100" i="9"/>
  <c r="BF116" i="9" s="1"/>
  <c r="BF117" i="9" s="1"/>
  <c r="BF108" i="9"/>
  <c r="BF123" i="9" s="1"/>
  <c r="BF124" i="9" s="1"/>
  <c r="BF102" i="9"/>
  <c r="BF120" i="9" s="1"/>
  <c r="BF121" i="9" s="1"/>
  <c r="BF109" i="9"/>
  <c r="BF125" i="9" s="1"/>
  <c r="BF126" i="9" s="1"/>
  <c r="BH76" i="9"/>
  <c r="BH88" i="9"/>
  <c r="BH65" i="9"/>
  <c r="BH92" i="9"/>
  <c r="BH77" i="9"/>
  <c r="BH75" i="9"/>
  <c r="BH60" i="9"/>
  <c r="BH74" i="9"/>
  <c r="BH93" i="9"/>
  <c r="BH63" i="9"/>
  <c r="BH91" i="9"/>
  <c r="BH90" i="9"/>
  <c r="BH78" i="9"/>
  <c r="BH89" i="9"/>
  <c r="BH79" i="9"/>
  <c r="BH64" i="9"/>
  <c r="BH62" i="9"/>
  <c r="BH61" i="9"/>
  <c r="BG29" i="9"/>
  <c r="J150" i="7"/>
  <c r="L150" i="7" s="1"/>
  <c r="I150" i="7"/>
  <c r="M150" i="7" l="1"/>
  <c r="N150" i="7" s="1"/>
  <c r="K150" i="7"/>
  <c r="BG76" i="9"/>
  <c r="BG78" i="9"/>
  <c r="BG79" i="9"/>
  <c r="BG75" i="9"/>
  <c r="BG88" i="9"/>
  <c r="BG61" i="9"/>
  <c r="BG60" i="9"/>
  <c r="BG65" i="9"/>
  <c r="BG90" i="9"/>
  <c r="BG63" i="9"/>
  <c r="BG77" i="9"/>
  <c r="BG74" i="9"/>
  <c r="BG89" i="9"/>
  <c r="BG64" i="9"/>
  <c r="BG93" i="9"/>
  <c r="BG62" i="9"/>
  <c r="BG91" i="9"/>
  <c r="BG92" i="9"/>
  <c r="BD25" i="9"/>
  <c r="BE30" i="9"/>
  <c r="BE51" i="9"/>
  <c r="BE47" i="9"/>
  <c r="BE138" i="9" s="1"/>
  <c r="BE139" i="9" s="1"/>
  <c r="BE111" i="9"/>
  <c r="BE129" i="9" s="1"/>
  <c r="BE130" i="9" s="1"/>
  <c r="BE28" i="9"/>
  <c r="BE100" i="9"/>
  <c r="BE116" i="9" s="1"/>
  <c r="BE117" i="9" s="1"/>
  <c r="BE101" i="9"/>
  <c r="BE118" i="9" s="1"/>
  <c r="BE119" i="9" s="1"/>
  <c r="BE108" i="9"/>
  <c r="BE123" i="9" s="1"/>
  <c r="BE124" i="9" s="1"/>
  <c r="BE99" i="9"/>
  <c r="BE114" i="9" s="1"/>
  <c r="BE115" i="9" s="1"/>
  <c r="BE102" i="9"/>
  <c r="BE120" i="9" s="1"/>
  <c r="BE121" i="9" s="1"/>
  <c r="BE109" i="9"/>
  <c r="BE125" i="9" s="1"/>
  <c r="BE126" i="9" s="1"/>
  <c r="BE110" i="9"/>
  <c r="BE127" i="9" s="1"/>
  <c r="BE128" i="9" s="1"/>
  <c r="BE48" i="9"/>
  <c r="BE52" i="9"/>
  <c r="BE50" i="9"/>
  <c r="BE142" i="9" s="1"/>
  <c r="BE143" i="9" s="1"/>
  <c r="BE49" i="9"/>
  <c r="BE140" i="9" s="1"/>
  <c r="BE141" i="9" s="1"/>
  <c r="BE29" i="9"/>
  <c r="BF29" i="9"/>
  <c r="BC25" i="9" l="1"/>
  <c r="BD30" i="9"/>
  <c r="BD110" i="9"/>
  <c r="BD127" i="9" s="1"/>
  <c r="BD128" i="9" s="1"/>
  <c r="BD52" i="9"/>
  <c r="BE79" i="9" s="1"/>
  <c r="BD47" i="9"/>
  <c r="BE88" i="9" s="1"/>
  <c r="BD48" i="9"/>
  <c r="BE75" i="9" s="1"/>
  <c r="BD100" i="9"/>
  <c r="BD116" i="9" s="1"/>
  <c r="BD117" i="9" s="1"/>
  <c r="BD101" i="9"/>
  <c r="BD118" i="9" s="1"/>
  <c r="BD119" i="9" s="1"/>
  <c r="BD99" i="9"/>
  <c r="BD114" i="9" s="1"/>
  <c r="BD115" i="9" s="1"/>
  <c r="BD102" i="9"/>
  <c r="BD120" i="9" s="1"/>
  <c r="BD121" i="9" s="1"/>
  <c r="BD109" i="9"/>
  <c r="BD125" i="9" s="1"/>
  <c r="BD126" i="9" s="1"/>
  <c r="BD50" i="9"/>
  <c r="BD142" i="9" s="1"/>
  <c r="BD143" i="9" s="1"/>
  <c r="BD51" i="9"/>
  <c r="BD49" i="9"/>
  <c r="BD28" i="9"/>
  <c r="BD108" i="9"/>
  <c r="BD123" i="9" s="1"/>
  <c r="BD124" i="9" s="1"/>
  <c r="BD111" i="9"/>
  <c r="BD129" i="9" s="1"/>
  <c r="BD130" i="9" s="1"/>
  <c r="BF77" i="9"/>
  <c r="BF90" i="9"/>
  <c r="BF63" i="9"/>
  <c r="BF79" i="9"/>
  <c r="BF62" i="9"/>
  <c r="BF91" i="9"/>
  <c r="BF92" i="9"/>
  <c r="BF65" i="9"/>
  <c r="BF64" i="9"/>
  <c r="BF93" i="9"/>
  <c r="BF60" i="9"/>
  <c r="BF78" i="9"/>
  <c r="BF61" i="9"/>
  <c r="BF76" i="9"/>
  <c r="BF75" i="9"/>
  <c r="BF89" i="9"/>
  <c r="BF88" i="9"/>
  <c r="BF74" i="9"/>
  <c r="BD29" i="9"/>
  <c r="BE93" i="9"/>
  <c r="BE65" i="9"/>
  <c r="J151" i="7"/>
  <c r="L151" i="7" s="1"/>
  <c r="I151" i="7"/>
  <c r="BE60" i="9" l="1"/>
  <c r="BE89" i="9"/>
  <c r="BE77" i="9"/>
  <c r="BE91" i="9"/>
  <c r="BD138" i="9"/>
  <c r="BD139" i="9" s="1"/>
  <c r="BE74" i="9"/>
  <c r="BE63" i="9"/>
  <c r="BB25" i="9"/>
  <c r="BC30" i="9"/>
  <c r="BC47" i="9"/>
  <c r="BD60" i="9" s="1"/>
  <c r="BC102" i="9"/>
  <c r="BC120" i="9" s="1"/>
  <c r="BC121" i="9" s="1"/>
  <c r="BC28" i="9"/>
  <c r="BC111" i="9"/>
  <c r="BC129" i="9" s="1"/>
  <c r="BC130" i="9" s="1"/>
  <c r="BC100" i="9"/>
  <c r="BC116" i="9" s="1"/>
  <c r="BC117" i="9" s="1"/>
  <c r="BC108" i="9"/>
  <c r="BC123" i="9" s="1"/>
  <c r="BC124" i="9" s="1"/>
  <c r="BC101" i="9"/>
  <c r="BC118" i="9" s="1"/>
  <c r="BC119" i="9" s="1"/>
  <c r="BC99" i="9"/>
  <c r="BC114" i="9" s="1"/>
  <c r="BC115" i="9" s="1"/>
  <c r="BC109" i="9"/>
  <c r="BC125" i="9" s="1"/>
  <c r="BC126" i="9" s="1"/>
  <c r="BC110" i="9"/>
  <c r="BC127" i="9" s="1"/>
  <c r="BC128" i="9" s="1"/>
  <c r="BC48" i="9"/>
  <c r="BD61" i="9" s="1"/>
  <c r="BC52" i="9"/>
  <c r="BD79" i="9" s="1"/>
  <c r="BC50" i="9"/>
  <c r="BC142" i="9" s="1"/>
  <c r="BC143" i="9" s="1"/>
  <c r="BC49" i="9"/>
  <c r="BC51" i="9"/>
  <c r="BD64" i="9" s="1"/>
  <c r="BD89" i="9"/>
  <c r="BD75" i="9"/>
  <c r="BD140" i="9"/>
  <c r="BD141" i="9" s="1"/>
  <c r="BE62" i="9"/>
  <c r="BE90" i="9"/>
  <c r="M151" i="7"/>
  <c r="N151" i="7" s="1"/>
  <c r="K151" i="7"/>
  <c r="BE76" i="9"/>
  <c r="BE78" i="9"/>
  <c r="BE92" i="9"/>
  <c r="BE64" i="9"/>
  <c r="BE61" i="9"/>
  <c r="BD74" i="9" l="1"/>
  <c r="BD65" i="9"/>
  <c r="BD78" i="9"/>
  <c r="BD91" i="9"/>
  <c r="BC138" i="9"/>
  <c r="BC139" i="9" s="1"/>
  <c r="BD88" i="9"/>
  <c r="BD63" i="9"/>
  <c r="BD92" i="9"/>
  <c r="BD93" i="9"/>
  <c r="J152" i="7"/>
  <c r="L152" i="7" s="1"/>
  <c r="I152" i="7"/>
  <c r="BA25" i="9"/>
  <c r="BB30" i="9"/>
  <c r="BB99" i="9"/>
  <c r="BB114" i="9" s="1"/>
  <c r="BB115" i="9" s="1"/>
  <c r="BB109" i="9"/>
  <c r="BB125" i="9" s="1"/>
  <c r="BB126" i="9" s="1"/>
  <c r="BB101" i="9"/>
  <c r="BB118" i="9" s="1"/>
  <c r="BB119" i="9" s="1"/>
  <c r="BB52" i="9"/>
  <c r="BB48" i="9"/>
  <c r="BB47" i="9"/>
  <c r="BB138" i="9" s="1"/>
  <c r="BB139" i="9" s="1"/>
  <c r="BB50" i="9"/>
  <c r="BB142" i="9" s="1"/>
  <c r="BB143" i="9" s="1"/>
  <c r="BB49" i="9"/>
  <c r="BB140" i="9" s="1"/>
  <c r="BB141" i="9" s="1"/>
  <c r="BB51" i="9"/>
  <c r="BB28" i="9"/>
  <c r="BB108" i="9"/>
  <c r="BB123" i="9" s="1"/>
  <c r="BB124" i="9" s="1"/>
  <c r="BB110" i="9"/>
  <c r="BB127" i="9" s="1"/>
  <c r="BB128" i="9" s="1"/>
  <c r="BB100" i="9"/>
  <c r="BB116" i="9" s="1"/>
  <c r="BB117" i="9" s="1"/>
  <c r="BB111" i="9"/>
  <c r="BB129" i="9" s="1"/>
  <c r="BB130" i="9" s="1"/>
  <c r="BB102" i="9"/>
  <c r="BB120" i="9" s="1"/>
  <c r="BB121" i="9" s="1"/>
  <c r="BC140" i="9"/>
  <c r="BC141" i="9" s="1"/>
  <c r="BD62" i="9"/>
  <c r="BB29" i="9"/>
  <c r="BD77" i="9"/>
  <c r="BD90" i="9"/>
  <c r="BC29" i="9"/>
  <c r="BD76" i="9"/>
  <c r="BC60" i="9" l="1"/>
  <c r="BC75" i="9"/>
  <c r="BC79" i="9"/>
  <c r="BC62" i="9"/>
  <c r="BC91" i="9"/>
  <c r="BC76" i="9"/>
  <c r="BC89" i="9"/>
  <c r="BC77" i="9"/>
  <c r="BC88" i="9"/>
  <c r="BC61" i="9"/>
  <c r="BC74" i="9"/>
  <c r="BC90" i="9"/>
  <c r="BC65" i="9"/>
  <c r="BC92" i="9"/>
  <c r="BC63" i="9"/>
  <c r="BC78" i="9"/>
  <c r="BC64" i="9"/>
  <c r="BC93" i="9"/>
  <c r="AZ25" i="9"/>
  <c r="BA30" i="9"/>
  <c r="BA110" i="9"/>
  <c r="BA127" i="9" s="1"/>
  <c r="BA128" i="9" s="1"/>
  <c r="BA100" i="9"/>
  <c r="BA116" i="9" s="1"/>
  <c r="BA117" i="9" s="1"/>
  <c r="BA101" i="9"/>
  <c r="BA118" i="9" s="1"/>
  <c r="BA119" i="9" s="1"/>
  <c r="BA102" i="9"/>
  <c r="BA120" i="9" s="1"/>
  <c r="BA121" i="9" s="1"/>
  <c r="BA99" i="9"/>
  <c r="BA114" i="9" s="1"/>
  <c r="BA115" i="9" s="1"/>
  <c r="BA111" i="9"/>
  <c r="BA129" i="9" s="1"/>
  <c r="BA130" i="9" s="1"/>
  <c r="BA48" i="9"/>
  <c r="BB75" i="9" s="1"/>
  <c r="BA50" i="9"/>
  <c r="BA142" i="9" s="1"/>
  <c r="BA143" i="9" s="1"/>
  <c r="BA49" i="9"/>
  <c r="BA140" i="9" s="1"/>
  <c r="BA141" i="9" s="1"/>
  <c r="BA51" i="9"/>
  <c r="BB78" i="9" s="1"/>
  <c r="BA52" i="9"/>
  <c r="BB93" i="9" s="1"/>
  <c r="BA47" i="9"/>
  <c r="BA138" i="9" s="1"/>
  <c r="BA139" i="9" s="1"/>
  <c r="BA28" i="9"/>
  <c r="BA109" i="9"/>
  <c r="BA125" i="9" s="1"/>
  <c r="BA126" i="9" s="1"/>
  <c r="BA108" i="9"/>
  <c r="BA123" i="9" s="1"/>
  <c r="BA124" i="9" s="1"/>
  <c r="BB88" i="9"/>
  <c r="BB60" i="9"/>
  <c r="M152" i="7"/>
  <c r="N152" i="7" s="1"/>
  <c r="K152" i="7"/>
  <c r="BA29" i="9"/>
  <c r="BB89" i="9"/>
  <c r="BB61" i="9"/>
  <c r="BB76" i="9"/>
  <c r="BB74" i="9"/>
  <c r="BB62" i="9" l="1"/>
  <c r="BB64" i="9"/>
  <c r="BB92" i="9"/>
  <c r="BB91" i="9"/>
  <c r="BB63" i="9"/>
  <c r="BB77" i="9"/>
  <c r="J153" i="7"/>
  <c r="L153" i="7" s="1"/>
  <c r="I153" i="7"/>
  <c r="AY25" i="9"/>
  <c r="AZ30" i="9"/>
  <c r="AZ102" i="9"/>
  <c r="AZ120" i="9" s="1"/>
  <c r="AZ121" i="9" s="1"/>
  <c r="AZ99" i="9"/>
  <c r="AZ114" i="9" s="1"/>
  <c r="AZ115" i="9" s="1"/>
  <c r="AZ109" i="9"/>
  <c r="AZ125" i="9" s="1"/>
  <c r="AZ126" i="9" s="1"/>
  <c r="AZ52" i="9"/>
  <c r="BA93" i="9" s="1"/>
  <c r="AZ50" i="9"/>
  <c r="AZ142" i="9" s="1"/>
  <c r="AZ143" i="9" s="1"/>
  <c r="AZ48" i="9"/>
  <c r="BA61" i="9" s="1"/>
  <c r="AZ108" i="9"/>
  <c r="AZ123" i="9" s="1"/>
  <c r="AZ124" i="9" s="1"/>
  <c r="AZ49" i="9"/>
  <c r="AZ140" i="9" s="1"/>
  <c r="AZ141" i="9" s="1"/>
  <c r="AZ28" i="9"/>
  <c r="AZ47" i="9"/>
  <c r="AZ138" i="9" s="1"/>
  <c r="AZ139" i="9" s="1"/>
  <c r="AZ110" i="9"/>
  <c r="AZ127" i="9" s="1"/>
  <c r="AZ128" i="9" s="1"/>
  <c r="AZ51" i="9"/>
  <c r="BA78" i="9" s="1"/>
  <c r="AZ111" i="9"/>
  <c r="AZ129" i="9" s="1"/>
  <c r="AZ130" i="9" s="1"/>
  <c r="AZ101" i="9"/>
  <c r="AZ118" i="9" s="1"/>
  <c r="AZ119" i="9" s="1"/>
  <c r="AZ100" i="9"/>
  <c r="AZ116" i="9" s="1"/>
  <c r="AZ117" i="9" s="1"/>
  <c r="BB65" i="9"/>
  <c r="BA74" i="9"/>
  <c r="BA90" i="9"/>
  <c r="BA76" i="9"/>
  <c r="BB90" i="9"/>
  <c r="BA63" i="9"/>
  <c r="BB79" i="9"/>
  <c r="BA64" i="9" l="1"/>
  <c r="BA60" i="9"/>
  <c r="BA89" i="9"/>
  <c r="BA91" i="9"/>
  <c r="BA75" i="9"/>
  <c r="BA79" i="9"/>
  <c r="AZ29" i="9"/>
  <c r="BA88" i="9"/>
  <c r="AX25" i="9"/>
  <c r="AY30" i="9"/>
  <c r="AY110" i="9"/>
  <c r="AY127" i="9" s="1"/>
  <c r="AY128" i="9" s="1"/>
  <c r="AY111" i="9"/>
  <c r="AY129" i="9" s="1"/>
  <c r="AY130" i="9" s="1"/>
  <c r="AY50" i="9"/>
  <c r="AY142" i="9" s="1"/>
  <c r="AY143" i="9" s="1"/>
  <c r="AY48" i="9"/>
  <c r="AY100" i="9"/>
  <c r="AY116" i="9" s="1"/>
  <c r="AY117" i="9" s="1"/>
  <c r="AY99" i="9"/>
  <c r="AY114" i="9" s="1"/>
  <c r="AY115" i="9" s="1"/>
  <c r="AY52" i="9"/>
  <c r="AY51" i="9"/>
  <c r="AY28" i="9"/>
  <c r="AY108" i="9"/>
  <c r="AY123" i="9" s="1"/>
  <c r="AY124" i="9" s="1"/>
  <c r="AY47" i="9"/>
  <c r="AY138" i="9" s="1"/>
  <c r="AY139" i="9" s="1"/>
  <c r="AY49" i="9"/>
  <c r="AY140" i="9" s="1"/>
  <c r="AY141" i="9" s="1"/>
  <c r="AY109" i="9"/>
  <c r="AY125" i="9" s="1"/>
  <c r="AY126" i="9" s="1"/>
  <c r="AY101" i="9"/>
  <c r="AY118" i="9" s="1"/>
  <c r="AY119" i="9" s="1"/>
  <c r="AY102" i="9"/>
  <c r="AY120" i="9" s="1"/>
  <c r="AY121" i="9" s="1"/>
  <c r="BA65" i="9"/>
  <c r="BA92" i="9"/>
  <c r="M153" i="7"/>
  <c r="N153" i="7" s="1"/>
  <c r="K153" i="7"/>
  <c r="BA62" i="9"/>
  <c r="BA77" i="9"/>
  <c r="AX30" i="9" l="1"/>
  <c r="AW25" i="9"/>
  <c r="AX111" i="9"/>
  <c r="AX129" i="9" s="1"/>
  <c r="AX130" i="9" s="1"/>
  <c r="AX101" i="9"/>
  <c r="AX118" i="9" s="1"/>
  <c r="AX119" i="9" s="1"/>
  <c r="AX100" i="9"/>
  <c r="AX116" i="9" s="1"/>
  <c r="AX117" i="9" s="1"/>
  <c r="AX99" i="9"/>
  <c r="AX114" i="9" s="1"/>
  <c r="AX115" i="9" s="1"/>
  <c r="AX51" i="9"/>
  <c r="AX49" i="9"/>
  <c r="AX140" i="9" s="1"/>
  <c r="AX141" i="9" s="1"/>
  <c r="AX48" i="9"/>
  <c r="AX50" i="9"/>
  <c r="AX142" i="9" s="1"/>
  <c r="AX143" i="9" s="1"/>
  <c r="AX47" i="9"/>
  <c r="AX138" i="9" s="1"/>
  <c r="AX139" i="9" s="1"/>
  <c r="AX52" i="9"/>
  <c r="AX28" i="9"/>
  <c r="AX110" i="9"/>
  <c r="AX127" i="9" s="1"/>
  <c r="AX128" i="9" s="1"/>
  <c r="AX102" i="9"/>
  <c r="AX120" i="9" s="1"/>
  <c r="AX121" i="9" s="1"/>
  <c r="AX109" i="9"/>
  <c r="AX125" i="9" s="1"/>
  <c r="AX126" i="9" s="1"/>
  <c r="AX108" i="9"/>
  <c r="AX123" i="9" s="1"/>
  <c r="AX124" i="9" s="1"/>
  <c r="I154" i="7"/>
  <c r="J154" i="7"/>
  <c r="L154" i="7" s="1"/>
  <c r="AX29" i="9"/>
  <c r="AZ63" i="9"/>
  <c r="AZ77" i="9"/>
  <c r="AZ93" i="9"/>
  <c r="AZ79" i="9"/>
  <c r="AZ61" i="9"/>
  <c r="AZ74" i="9"/>
  <c r="AZ65" i="9"/>
  <c r="AZ76" i="9"/>
  <c r="AZ92" i="9"/>
  <c r="AZ75" i="9"/>
  <c r="AZ64" i="9"/>
  <c r="AZ88" i="9"/>
  <c r="AZ90" i="9"/>
  <c r="AZ91" i="9"/>
  <c r="AZ60" i="9"/>
  <c r="AZ62" i="9"/>
  <c r="AZ78" i="9"/>
  <c r="AZ89" i="9"/>
  <c r="AY29" i="9"/>
  <c r="AY62" i="9" l="1"/>
  <c r="AY74" i="9"/>
  <c r="AY63" i="9"/>
  <c r="AY76" i="9"/>
  <c r="AY92" i="9"/>
  <c r="AY93" i="9"/>
  <c r="AY61" i="9"/>
  <c r="AY64" i="9"/>
  <c r="AY79" i="9"/>
  <c r="AY65" i="9"/>
  <c r="AY75" i="9"/>
  <c r="AY88" i="9"/>
  <c r="AY89" i="9"/>
  <c r="AY90" i="9"/>
  <c r="AY78" i="9"/>
  <c r="AY91" i="9"/>
  <c r="AY60" i="9"/>
  <c r="AY77" i="9"/>
  <c r="M154" i="7"/>
  <c r="N154" i="7" s="1"/>
  <c r="K154" i="7"/>
  <c r="AX60" i="9"/>
  <c r="AW30" i="9"/>
  <c r="AV25" i="9"/>
  <c r="AW52" i="9"/>
  <c r="AX79" i="9" s="1"/>
  <c r="AW50" i="9"/>
  <c r="AX77" i="9" s="1"/>
  <c r="AW28" i="9"/>
  <c r="AW109" i="9"/>
  <c r="AW125" i="9" s="1"/>
  <c r="AW126" i="9" s="1"/>
  <c r="AW47" i="9"/>
  <c r="AW138" i="9" s="1"/>
  <c r="AW139" i="9" s="1"/>
  <c r="AW108" i="9"/>
  <c r="AW123" i="9" s="1"/>
  <c r="AW124" i="9" s="1"/>
  <c r="AW110" i="9"/>
  <c r="AW127" i="9" s="1"/>
  <c r="AW128" i="9" s="1"/>
  <c r="AW102" i="9"/>
  <c r="AW120" i="9" s="1"/>
  <c r="AW121" i="9" s="1"/>
  <c r="AW111" i="9"/>
  <c r="AW129" i="9" s="1"/>
  <c r="AW130" i="9" s="1"/>
  <c r="AW101" i="9"/>
  <c r="AW118" i="9" s="1"/>
  <c r="AW119" i="9" s="1"/>
  <c r="AW100" i="9"/>
  <c r="AW116" i="9" s="1"/>
  <c r="AW117" i="9" s="1"/>
  <c r="AW99" i="9"/>
  <c r="AW114" i="9" s="1"/>
  <c r="AW115" i="9" s="1"/>
  <c r="AW51" i="9"/>
  <c r="AW49" i="9"/>
  <c r="AW140" i="9" s="1"/>
  <c r="AW141" i="9" s="1"/>
  <c r="AW48" i="9"/>
  <c r="AX61" i="9" s="1"/>
  <c r="AX78" i="9"/>
  <c r="AX62" i="9" l="1"/>
  <c r="AX89" i="9"/>
  <c r="AX90" i="9"/>
  <c r="AX76" i="9"/>
  <c r="AW142" i="9"/>
  <c r="AW143" i="9" s="1"/>
  <c r="AX91" i="9"/>
  <c r="AV30" i="9"/>
  <c r="AU25" i="9"/>
  <c r="AV108" i="9"/>
  <c r="AV123" i="9" s="1"/>
  <c r="AV124" i="9" s="1"/>
  <c r="AV111" i="9"/>
  <c r="AV129" i="9" s="1"/>
  <c r="AV130" i="9" s="1"/>
  <c r="AV101" i="9"/>
  <c r="AV118" i="9" s="1"/>
  <c r="AV119" i="9" s="1"/>
  <c r="AV100" i="9"/>
  <c r="AV116" i="9" s="1"/>
  <c r="AV117" i="9" s="1"/>
  <c r="AV99" i="9"/>
  <c r="AV114" i="9" s="1"/>
  <c r="AV115" i="9" s="1"/>
  <c r="AV51" i="9"/>
  <c r="AV49" i="9"/>
  <c r="AV140" i="9" s="1"/>
  <c r="AV141" i="9" s="1"/>
  <c r="AV50" i="9"/>
  <c r="AV142" i="9" s="1"/>
  <c r="AV143" i="9" s="1"/>
  <c r="AV52" i="9"/>
  <c r="AV48" i="9"/>
  <c r="AV47" i="9"/>
  <c r="AV138" i="9" s="1"/>
  <c r="AV139" i="9" s="1"/>
  <c r="AV102" i="9"/>
  <c r="AV120" i="9" s="1"/>
  <c r="AV121" i="9" s="1"/>
  <c r="AV28" i="9"/>
  <c r="AV109" i="9"/>
  <c r="AV125" i="9" s="1"/>
  <c r="AV126" i="9" s="1"/>
  <c r="AV110" i="9"/>
  <c r="AV127" i="9" s="1"/>
  <c r="AV128" i="9" s="1"/>
  <c r="AX65" i="9"/>
  <c r="I155" i="7"/>
  <c r="J155" i="7"/>
  <c r="L155" i="7" s="1"/>
  <c r="AX93" i="9"/>
  <c r="AX88" i="9"/>
  <c r="AX75" i="9"/>
  <c r="AX74" i="9"/>
  <c r="AW29" i="9"/>
  <c r="AX64" i="9"/>
  <c r="AX92" i="9"/>
  <c r="AX63" i="9"/>
  <c r="M155" i="7" l="1"/>
  <c r="N155" i="7" s="1"/>
  <c r="K155" i="7"/>
  <c r="AW62" i="9"/>
  <c r="AW91" i="9"/>
  <c r="AW79" i="9"/>
  <c r="AW74" i="9"/>
  <c r="AW88" i="9"/>
  <c r="AW61" i="9"/>
  <c r="AW60" i="9"/>
  <c r="AW75" i="9"/>
  <c r="AW93" i="9"/>
  <c r="AW77" i="9"/>
  <c r="AW64" i="9"/>
  <c r="AW92" i="9"/>
  <c r="AW78" i="9"/>
  <c r="AW90" i="9"/>
  <c r="AW89" i="9"/>
  <c r="AW65" i="9"/>
  <c r="AW76" i="9"/>
  <c r="AW63" i="9"/>
  <c r="AU30" i="9"/>
  <c r="AT25" i="9"/>
  <c r="AU48" i="9"/>
  <c r="AU52" i="9"/>
  <c r="AU28" i="9"/>
  <c r="AU111" i="9"/>
  <c r="AU129" i="9" s="1"/>
  <c r="AU130" i="9" s="1"/>
  <c r="AU50" i="9"/>
  <c r="AU142" i="9" s="1"/>
  <c r="AU143" i="9" s="1"/>
  <c r="AU110" i="9"/>
  <c r="AU127" i="9" s="1"/>
  <c r="AU128" i="9" s="1"/>
  <c r="AU109" i="9"/>
  <c r="AU125" i="9" s="1"/>
  <c r="AU126" i="9" s="1"/>
  <c r="AU102" i="9"/>
  <c r="AU120" i="9" s="1"/>
  <c r="AU121" i="9" s="1"/>
  <c r="AU108" i="9"/>
  <c r="AU123" i="9" s="1"/>
  <c r="AU124" i="9" s="1"/>
  <c r="AU101" i="9"/>
  <c r="AU118" i="9" s="1"/>
  <c r="AU119" i="9" s="1"/>
  <c r="AU100" i="9"/>
  <c r="AU116" i="9" s="1"/>
  <c r="AU117" i="9" s="1"/>
  <c r="AU99" i="9"/>
  <c r="AU114" i="9" s="1"/>
  <c r="AU115" i="9" s="1"/>
  <c r="AU47" i="9"/>
  <c r="AU138" i="9" s="1"/>
  <c r="AU139" i="9" s="1"/>
  <c r="AU51" i="9"/>
  <c r="AU49" i="9"/>
  <c r="AU140" i="9" s="1"/>
  <c r="AU141" i="9" s="1"/>
  <c r="AU29" i="9"/>
  <c r="AV29" i="9"/>
  <c r="AT30" i="9" l="1"/>
  <c r="AS25" i="9"/>
  <c r="AT50" i="9"/>
  <c r="AT142" i="9" s="1"/>
  <c r="AT143" i="9" s="1"/>
  <c r="AT47" i="9"/>
  <c r="AU88" i="9" s="1"/>
  <c r="AT49" i="9"/>
  <c r="AT28" i="9"/>
  <c r="AT48" i="9"/>
  <c r="AU61" i="9" s="1"/>
  <c r="AT52" i="9"/>
  <c r="AU65" i="9" s="1"/>
  <c r="AT110" i="9"/>
  <c r="AT127" i="9" s="1"/>
  <c r="AT128" i="9" s="1"/>
  <c r="AT109" i="9"/>
  <c r="AT125" i="9" s="1"/>
  <c r="AT126" i="9" s="1"/>
  <c r="AT102" i="9"/>
  <c r="AT120" i="9" s="1"/>
  <c r="AT121" i="9" s="1"/>
  <c r="AT108" i="9"/>
  <c r="AT123" i="9" s="1"/>
  <c r="AT124" i="9" s="1"/>
  <c r="AT111" i="9"/>
  <c r="AT129" i="9" s="1"/>
  <c r="AT130" i="9" s="1"/>
  <c r="AT101" i="9"/>
  <c r="AT118" i="9" s="1"/>
  <c r="AT119" i="9" s="1"/>
  <c r="AT99" i="9"/>
  <c r="AT114" i="9" s="1"/>
  <c r="AT115" i="9" s="1"/>
  <c r="AT100" i="9"/>
  <c r="AT116" i="9" s="1"/>
  <c r="AT117" i="9" s="1"/>
  <c r="AT51" i="9"/>
  <c r="AU78" i="9" s="1"/>
  <c r="AT29" i="9"/>
  <c r="AU77" i="9"/>
  <c r="AU64" i="9"/>
  <c r="AU91" i="9"/>
  <c r="AU75" i="9"/>
  <c r="AU92" i="9"/>
  <c r="AV64" i="9"/>
  <c r="AV90" i="9"/>
  <c r="AV60" i="9"/>
  <c r="AV75" i="9"/>
  <c r="AV91" i="9"/>
  <c r="AV92" i="9"/>
  <c r="AV78" i="9"/>
  <c r="AV93" i="9"/>
  <c r="AV61" i="9"/>
  <c r="AV65" i="9"/>
  <c r="AV89" i="9"/>
  <c r="AV77" i="9"/>
  <c r="AV76" i="9"/>
  <c r="AV88" i="9"/>
  <c r="AV62" i="9"/>
  <c r="AV63" i="9"/>
  <c r="AV79" i="9"/>
  <c r="AV74" i="9"/>
  <c r="AU93" i="9"/>
  <c r="AU60" i="9"/>
  <c r="I156" i="7"/>
  <c r="J156" i="7"/>
  <c r="L156" i="7" s="1"/>
  <c r="AT140" i="9" l="1"/>
  <c r="AT141" i="9" s="1"/>
  <c r="AU76" i="9"/>
  <c r="AU62" i="9"/>
  <c r="AU90" i="9"/>
  <c r="AT138" i="9"/>
  <c r="AT139" i="9" s="1"/>
  <c r="AU74" i="9"/>
  <c r="AT90" i="9"/>
  <c r="AT62" i="9"/>
  <c r="AT74" i="9"/>
  <c r="AT78" i="9"/>
  <c r="AT79" i="9"/>
  <c r="AT89" i="9"/>
  <c r="AU79" i="9"/>
  <c r="AS30" i="9"/>
  <c r="AS29" i="9" s="1"/>
  <c r="AR25" i="9"/>
  <c r="AS47" i="9"/>
  <c r="AS51" i="9"/>
  <c r="AT64" i="9" s="1"/>
  <c r="AS49" i="9"/>
  <c r="AS48" i="9"/>
  <c r="AT75" i="9" s="1"/>
  <c r="AS28" i="9"/>
  <c r="AS52" i="9"/>
  <c r="AT93" i="9" s="1"/>
  <c r="AS110" i="9"/>
  <c r="AS127" i="9" s="1"/>
  <c r="AS128" i="9" s="1"/>
  <c r="AS111" i="9"/>
  <c r="AS129" i="9" s="1"/>
  <c r="AS130" i="9" s="1"/>
  <c r="AS109" i="9"/>
  <c r="AS125" i="9" s="1"/>
  <c r="AS126" i="9" s="1"/>
  <c r="AS99" i="9"/>
  <c r="AS114" i="9" s="1"/>
  <c r="AS115" i="9" s="1"/>
  <c r="AS102" i="9"/>
  <c r="AS120" i="9" s="1"/>
  <c r="AS121" i="9" s="1"/>
  <c r="AS108" i="9"/>
  <c r="AS123" i="9" s="1"/>
  <c r="AS124" i="9" s="1"/>
  <c r="AS101" i="9"/>
  <c r="AS118" i="9" s="1"/>
  <c r="AS119" i="9" s="1"/>
  <c r="AS100" i="9"/>
  <c r="AS116" i="9" s="1"/>
  <c r="AS117" i="9" s="1"/>
  <c r="AS50" i="9"/>
  <c r="AT77" i="9" s="1"/>
  <c r="M156" i="7"/>
  <c r="N156" i="7" s="1"/>
  <c r="K156" i="7"/>
  <c r="AU89" i="9"/>
  <c r="AU63" i="9"/>
  <c r="AT61" i="9" l="1"/>
  <c r="AS140" i="9"/>
  <c r="AS141" i="9" s="1"/>
  <c r="AT76" i="9"/>
  <c r="AT65" i="9"/>
  <c r="AS138" i="9"/>
  <c r="AS139" i="9" s="1"/>
  <c r="AT60" i="9"/>
  <c r="AT88" i="9"/>
  <c r="I157" i="7"/>
  <c r="J157" i="7"/>
  <c r="L157" i="7" s="1"/>
  <c r="AS142" i="9"/>
  <c r="AS143" i="9" s="1"/>
  <c r="AT91" i="9"/>
  <c r="AT63" i="9"/>
  <c r="AS64" i="9"/>
  <c r="AR30" i="9"/>
  <c r="AR29" i="9" s="1"/>
  <c r="AQ25" i="9"/>
  <c r="AR28" i="9"/>
  <c r="AR52" i="9"/>
  <c r="AS79" i="9" s="1"/>
  <c r="AR48" i="9"/>
  <c r="AS61" i="9" s="1"/>
  <c r="AR111" i="9"/>
  <c r="AR129" i="9" s="1"/>
  <c r="AR130" i="9" s="1"/>
  <c r="AR99" i="9"/>
  <c r="AR114" i="9" s="1"/>
  <c r="AR115" i="9" s="1"/>
  <c r="AR108" i="9"/>
  <c r="AR123" i="9" s="1"/>
  <c r="AR124" i="9" s="1"/>
  <c r="AR102" i="9"/>
  <c r="AR120" i="9" s="1"/>
  <c r="AR121" i="9" s="1"/>
  <c r="AR100" i="9"/>
  <c r="AR116" i="9" s="1"/>
  <c r="AR117" i="9" s="1"/>
  <c r="AR51" i="9"/>
  <c r="AS92" i="9" s="1"/>
  <c r="AR49" i="9"/>
  <c r="AS90" i="9" s="1"/>
  <c r="AR110" i="9"/>
  <c r="AR127" i="9" s="1"/>
  <c r="AR128" i="9" s="1"/>
  <c r="AR109" i="9"/>
  <c r="AR125" i="9" s="1"/>
  <c r="AR126" i="9" s="1"/>
  <c r="AR101" i="9"/>
  <c r="AR118" i="9" s="1"/>
  <c r="AR119" i="9" s="1"/>
  <c r="AR47" i="9"/>
  <c r="AS88" i="9" s="1"/>
  <c r="AR50" i="9"/>
  <c r="AT92" i="9"/>
  <c r="AS74" i="9" l="1"/>
  <c r="AR142" i="9"/>
  <c r="AR143" i="9" s="1"/>
  <c r="AS63" i="9"/>
  <c r="AS91" i="9"/>
  <c r="M157" i="7"/>
  <c r="N157" i="7" s="1"/>
  <c r="K157" i="7"/>
  <c r="AR63" i="9"/>
  <c r="AQ30" i="9"/>
  <c r="AP25" i="9"/>
  <c r="AQ108" i="9"/>
  <c r="AQ123" i="9" s="1"/>
  <c r="AQ124" i="9" s="1"/>
  <c r="AQ102" i="9"/>
  <c r="AQ120" i="9" s="1"/>
  <c r="AQ121" i="9" s="1"/>
  <c r="AQ109" i="9"/>
  <c r="AQ125" i="9" s="1"/>
  <c r="AQ126" i="9" s="1"/>
  <c r="AQ100" i="9"/>
  <c r="AQ116" i="9" s="1"/>
  <c r="AQ117" i="9" s="1"/>
  <c r="AQ51" i="9"/>
  <c r="AR78" i="9" s="1"/>
  <c r="AQ49" i="9"/>
  <c r="AR76" i="9" s="1"/>
  <c r="AQ47" i="9"/>
  <c r="AQ50" i="9"/>
  <c r="AQ28" i="9"/>
  <c r="AQ48" i="9"/>
  <c r="AQ111" i="9"/>
  <c r="AQ129" i="9" s="1"/>
  <c r="AQ130" i="9" s="1"/>
  <c r="AQ52" i="9"/>
  <c r="AR79" i="9" s="1"/>
  <c r="AQ101" i="9"/>
  <c r="AQ118" i="9" s="1"/>
  <c r="AQ119" i="9" s="1"/>
  <c r="AQ110" i="9"/>
  <c r="AQ127" i="9" s="1"/>
  <c r="AQ128" i="9" s="1"/>
  <c r="AQ99" i="9"/>
  <c r="AQ114" i="9" s="1"/>
  <c r="AQ115" i="9" s="1"/>
  <c r="AR75" i="9"/>
  <c r="AR140" i="9"/>
  <c r="AR141" i="9" s="1"/>
  <c r="AS76" i="9"/>
  <c r="AS62" i="9"/>
  <c r="AS89" i="9"/>
  <c r="AS75" i="9"/>
  <c r="AS65" i="9"/>
  <c r="AS93" i="9"/>
  <c r="AR88" i="9"/>
  <c r="AR138" i="9"/>
  <c r="AR139" i="9" s="1"/>
  <c r="AS60" i="9"/>
  <c r="AR89" i="9"/>
  <c r="AR65" i="9"/>
  <c r="AR61" i="9"/>
  <c r="AS77" i="9"/>
  <c r="AS78" i="9"/>
  <c r="AR64" i="9" l="1"/>
  <c r="AQ142" i="9"/>
  <c r="AQ143" i="9" s="1"/>
  <c r="AR77" i="9"/>
  <c r="AR93" i="9"/>
  <c r="AQ138" i="9"/>
  <c r="AQ139" i="9" s="1"/>
  <c r="AR74" i="9"/>
  <c r="AR92" i="9"/>
  <c r="AR60" i="9"/>
  <c r="AR91" i="9"/>
  <c r="AP30" i="9"/>
  <c r="AO25" i="9"/>
  <c r="AP50" i="9"/>
  <c r="AP142" i="9" s="1"/>
  <c r="AP143" i="9" s="1"/>
  <c r="AP49" i="9"/>
  <c r="AP140" i="9" s="1"/>
  <c r="AP141" i="9" s="1"/>
  <c r="AP28" i="9"/>
  <c r="AP101" i="9"/>
  <c r="AP118" i="9" s="1"/>
  <c r="AP119" i="9" s="1"/>
  <c r="AP48" i="9"/>
  <c r="AP111" i="9"/>
  <c r="AP129" i="9" s="1"/>
  <c r="AP130" i="9" s="1"/>
  <c r="AP110" i="9"/>
  <c r="AP127" i="9" s="1"/>
  <c r="AP128" i="9" s="1"/>
  <c r="AP100" i="9"/>
  <c r="AP116" i="9" s="1"/>
  <c r="AP117" i="9" s="1"/>
  <c r="AP99" i="9"/>
  <c r="AP114" i="9" s="1"/>
  <c r="AP115" i="9" s="1"/>
  <c r="AP108" i="9"/>
  <c r="AP123" i="9" s="1"/>
  <c r="AP124" i="9" s="1"/>
  <c r="AP102" i="9"/>
  <c r="AP120" i="9" s="1"/>
  <c r="AP121" i="9" s="1"/>
  <c r="AP109" i="9"/>
  <c r="AP125" i="9" s="1"/>
  <c r="AP126" i="9" s="1"/>
  <c r="AP52" i="9"/>
  <c r="AP47" i="9"/>
  <c r="AP138" i="9" s="1"/>
  <c r="AP139" i="9" s="1"/>
  <c r="AP51" i="9"/>
  <c r="AQ29" i="9"/>
  <c r="J158" i="7"/>
  <c r="L158" i="7" s="1"/>
  <c r="I158" i="7"/>
  <c r="AQ140" i="9"/>
  <c r="AQ141" i="9" s="1"/>
  <c r="AR90" i="9"/>
  <c r="AR62" i="9"/>
  <c r="AN25" i="9" l="1"/>
  <c r="AO30" i="9"/>
  <c r="AO48" i="9"/>
  <c r="AO111" i="9"/>
  <c r="AO129" i="9" s="1"/>
  <c r="AO130" i="9" s="1"/>
  <c r="AO52" i="9"/>
  <c r="AO109" i="9"/>
  <c r="AO125" i="9" s="1"/>
  <c r="AO126" i="9" s="1"/>
  <c r="AO101" i="9"/>
  <c r="AO118" i="9" s="1"/>
  <c r="AO119" i="9" s="1"/>
  <c r="AO100" i="9"/>
  <c r="AO116" i="9" s="1"/>
  <c r="AO117" i="9" s="1"/>
  <c r="AO99" i="9"/>
  <c r="AO114" i="9" s="1"/>
  <c r="AO115" i="9" s="1"/>
  <c r="AO110" i="9"/>
  <c r="AO127" i="9" s="1"/>
  <c r="AO128" i="9" s="1"/>
  <c r="AO102" i="9"/>
  <c r="AO120" i="9" s="1"/>
  <c r="AO121" i="9" s="1"/>
  <c r="AO108" i="9"/>
  <c r="AO123" i="9" s="1"/>
  <c r="AO124" i="9" s="1"/>
  <c r="AO47" i="9"/>
  <c r="AO138" i="9" s="1"/>
  <c r="AO139" i="9" s="1"/>
  <c r="AO51" i="9"/>
  <c r="AO50" i="9"/>
  <c r="AO142" i="9" s="1"/>
  <c r="AO143" i="9" s="1"/>
  <c r="AO49" i="9"/>
  <c r="AO140" i="9" s="1"/>
  <c r="AO141" i="9" s="1"/>
  <c r="AO28" i="9"/>
  <c r="AP29" i="9"/>
  <c r="M158" i="7"/>
  <c r="N158" i="7" s="1"/>
  <c r="K158" i="7"/>
  <c r="AQ88" i="9"/>
  <c r="AQ74" i="9"/>
  <c r="AQ76" i="9"/>
  <c r="AQ64" i="9"/>
  <c r="AQ61" i="9"/>
  <c r="AQ77" i="9"/>
  <c r="AQ90" i="9"/>
  <c r="AQ91" i="9"/>
  <c r="AQ62" i="9"/>
  <c r="AQ89" i="9"/>
  <c r="AQ65" i="9"/>
  <c r="AQ75" i="9"/>
  <c r="AQ78" i="9"/>
  <c r="AQ63" i="9"/>
  <c r="AQ60" i="9"/>
  <c r="AQ92" i="9"/>
  <c r="AQ93" i="9"/>
  <c r="AQ79" i="9"/>
  <c r="AP74" i="9" l="1"/>
  <c r="AP90" i="9"/>
  <c r="AP76" i="9"/>
  <c r="AP78" i="9"/>
  <c r="AP63" i="9"/>
  <c r="AP93" i="9"/>
  <c r="AP77" i="9"/>
  <c r="AP64" i="9"/>
  <c r="AP65" i="9"/>
  <c r="AP89" i="9"/>
  <c r="AP75" i="9"/>
  <c r="AP62" i="9"/>
  <c r="AP61" i="9"/>
  <c r="AP60" i="9"/>
  <c r="AP92" i="9"/>
  <c r="AP79" i="9"/>
  <c r="AP91" i="9"/>
  <c r="AP88" i="9"/>
  <c r="J159" i="7"/>
  <c r="L159" i="7" s="1"/>
  <c r="I159" i="7"/>
  <c r="AM25" i="9"/>
  <c r="AN30" i="9"/>
  <c r="AN49" i="9"/>
  <c r="AN140" i="9" s="1"/>
  <c r="AN141" i="9" s="1"/>
  <c r="AN47" i="9"/>
  <c r="AN138" i="9" s="1"/>
  <c r="AN139" i="9" s="1"/>
  <c r="AN108" i="9"/>
  <c r="AN123" i="9" s="1"/>
  <c r="AN124" i="9" s="1"/>
  <c r="AN48" i="9"/>
  <c r="AN111" i="9"/>
  <c r="AN129" i="9" s="1"/>
  <c r="AN130" i="9" s="1"/>
  <c r="AN110" i="9"/>
  <c r="AN127" i="9" s="1"/>
  <c r="AN128" i="9" s="1"/>
  <c r="AN102" i="9"/>
  <c r="AN120" i="9" s="1"/>
  <c r="AN121" i="9" s="1"/>
  <c r="AN52" i="9"/>
  <c r="AN50" i="9"/>
  <c r="AN142" i="9" s="1"/>
  <c r="AN143" i="9" s="1"/>
  <c r="AN51" i="9"/>
  <c r="AN28" i="9"/>
  <c r="AN109" i="9"/>
  <c r="AN125" i="9" s="1"/>
  <c r="AN126" i="9" s="1"/>
  <c r="AN101" i="9"/>
  <c r="AN118" i="9" s="1"/>
  <c r="AN119" i="9" s="1"/>
  <c r="AN100" i="9"/>
  <c r="AN116" i="9" s="1"/>
  <c r="AN117" i="9" s="1"/>
  <c r="AN99" i="9"/>
  <c r="AN114" i="9" s="1"/>
  <c r="AN115" i="9" s="1"/>
  <c r="AO29" i="9"/>
  <c r="AO64" i="9" l="1"/>
  <c r="AO93" i="9"/>
  <c r="AO60" i="9"/>
  <c r="AO77" i="9"/>
  <c r="AO76" i="9"/>
  <c r="AO89" i="9"/>
  <c r="AO74" i="9"/>
  <c r="AO90" i="9"/>
  <c r="AO63" i="9"/>
  <c r="AO62" i="9"/>
  <c r="AO78" i="9"/>
  <c r="AO91" i="9"/>
  <c r="AO92" i="9"/>
  <c r="AO79" i="9"/>
  <c r="AO75" i="9"/>
  <c r="AO88" i="9"/>
  <c r="AO61" i="9"/>
  <c r="AO65" i="9"/>
  <c r="AM30" i="9"/>
  <c r="AL25" i="9"/>
  <c r="AM111" i="9"/>
  <c r="AM129" i="9" s="1"/>
  <c r="AM130" i="9" s="1"/>
  <c r="AM109" i="9"/>
  <c r="AM125" i="9" s="1"/>
  <c r="AM126" i="9" s="1"/>
  <c r="AM101" i="9"/>
  <c r="AM118" i="9" s="1"/>
  <c r="AM119" i="9" s="1"/>
  <c r="AM100" i="9"/>
  <c r="AM116" i="9" s="1"/>
  <c r="AM117" i="9" s="1"/>
  <c r="AM108" i="9"/>
  <c r="AM123" i="9" s="1"/>
  <c r="AM124" i="9" s="1"/>
  <c r="AM110" i="9"/>
  <c r="AM127" i="9" s="1"/>
  <c r="AM128" i="9" s="1"/>
  <c r="AM99" i="9"/>
  <c r="AM114" i="9" s="1"/>
  <c r="AM115" i="9" s="1"/>
  <c r="AM52" i="9"/>
  <c r="AM47" i="9"/>
  <c r="AM138" i="9" s="1"/>
  <c r="AM139" i="9" s="1"/>
  <c r="AM51" i="9"/>
  <c r="AM50" i="9"/>
  <c r="AM142" i="9" s="1"/>
  <c r="AM143" i="9" s="1"/>
  <c r="AM102" i="9"/>
  <c r="AM120" i="9" s="1"/>
  <c r="AM121" i="9" s="1"/>
  <c r="AM49" i="9"/>
  <c r="AM140" i="9" s="1"/>
  <c r="AM141" i="9" s="1"/>
  <c r="AM28" i="9"/>
  <c r="AM48" i="9"/>
  <c r="AM29" i="9"/>
  <c r="M159" i="7"/>
  <c r="N159" i="7" s="1"/>
  <c r="K159" i="7"/>
  <c r="AN29" i="9"/>
  <c r="J160" i="7" l="1"/>
  <c r="L160" i="7" s="1"/>
  <c r="I160" i="7"/>
  <c r="AN77" i="9"/>
  <c r="AN62" i="9"/>
  <c r="AN61" i="9"/>
  <c r="AN88" i="9"/>
  <c r="AN60" i="9"/>
  <c r="AN92" i="9"/>
  <c r="AN93" i="9"/>
  <c r="AN64" i="9"/>
  <c r="AN89" i="9"/>
  <c r="AN65" i="9"/>
  <c r="AN79" i="9"/>
  <c r="AN90" i="9"/>
  <c r="AN78" i="9"/>
  <c r="AN75" i="9"/>
  <c r="AN91" i="9"/>
  <c r="AN63" i="9"/>
  <c r="AN74" i="9"/>
  <c r="AN76" i="9"/>
  <c r="AK25" i="9"/>
  <c r="AL101" i="9"/>
  <c r="AL118" i="9" s="1"/>
  <c r="AL119" i="9" s="1"/>
  <c r="AL100" i="9"/>
  <c r="AL116" i="9" s="1"/>
  <c r="AL117" i="9" s="1"/>
  <c r="AL99" i="9"/>
  <c r="AL114" i="9" s="1"/>
  <c r="AL115" i="9" s="1"/>
  <c r="AL52" i="9"/>
  <c r="AM65" i="9" s="1"/>
  <c r="AL50" i="9"/>
  <c r="AM91" i="9" s="1"/>
  <c r="AL49" i="9"/>
  <c r="AL28" i="9"/>
  <c r="AL30" i="9" s="1"/>
  <c r="AL47" i="9"/>
  <c r="AL138" i="9" s="1"/>
  <c r="AL139" i="9" s="1"/>
  <c r="AL108" i="9"/>
  <c r="AL123" i="9" s="1"/>
  <c r="AL124" i="9" s="1"/>
  <c r="AL109" i="9"/>
  <c r="AL125" i="9" s="1"/>
  <c r="AL126" i="9" s="1"/>
  <c r="AL111" i="9"/>
  <c r="AL129" i="9" s="1"/>
  <c r="AL130" i="9" s="1"/>
  <c r="AL102" i="9"/>
  <c r="AL120" i="9" s="1"/>
  <c r="AL121" i="9" s="1"/>
  <c r="AL110" i="9"/>
  <c r="AL127" i="9" s="1"/>
  <c r="AL128" i="9" s="1"/>
  <c r="AL48" i="9"/>
  <c r="AM75" i="9" s="1"/>
  <c r="AL51" i="9"/>
  <c r="AM64" i="9" s="1"/>
  <c r="AM63" i="9" l="1"/>
  <c r="AM88" i="9"/>
  <c r="AM93" i="9"/>
  <c r="AM78" i="9"/>
  <c r="AM74" i="9"/>
  <c r="AK30" i="9"/>
  <c r="AJ25" i="9"/>
  <c r="AK102" i="9"/>
  <c r="AK120" i="9" s="1"/>
  <c r="AK121" i="9" s="1"/>
  <c r="AK99" i="9"/>
  <c r="AK114" i="9" s="1"/>
  <c r="AK115" i="9" s="1"/>
  <c r="AK52" i="9"/>
  <c r="AK48" i="9"/>
  <c r="AK49" i="9"/>
  <c r="AK140" i="9" s="1"/>
  <c r="AK141" i="9" s="1"/>
  <c r="AK47" i="9"/>
  <c r="AK138" i="9" s="1"/>
  <c r="AK139" i="9" s="1"/>
  <c r="AK51" i="9"/>
  <c r="AK50" i="9"/>
  <c r="AK142" i="9" s="1"/>
  <c r="AK143" i="9" s="1"/>
  <c r="AK109" i="9"/>
  <c r="AK125" i="9" s="1"/>
  <c r="AK126" i="9" s="1"/>
  <c r="AK28" i="9"/>
  <c r="AK108" i="9"/>
  <c r="AK123" i="9" s="1"/>
  <c r="AK124" i="9" s="1"/>
  <c r="AK101" i="9"/>
  <c r="AK118" i="9" s="1"/>
  <c r="AK119" i="9" s="1"/>
  <c r="AK100" i="9"/>
  <c r="AK116" i="9" s="1"/>
  <c r="AK117" i="9" s="1"/>
  <c r="AK110" i="9"/>
  <c r="AK127" i="9" s="1"/>
  <c r="AK128" i="9" s="1"/>
  <c r="AK111" i="9"/>
  <c r="AK129" i="9" s="1"/>
  <c r="AK130" i="9" s="1"/>
  <c r="AM92" i="9"/>
  <c r="AL140" i="9"/>
  <c r="AL141" i="9" s="1"/>
  <c r="AM76" i="9"/>
  <c r="AM62" i="9"/>
  <c r="AM60" i="9"/>
  <c r="AM90" i="9"/>
  <c r="AM61" i="9"/>
  <c r="AM79" i="9"/>
  <c r="M160" i="7"/>
  <c r="N160" i="7" s="1"/>
  <c r="K160" i="7"/>
  <c r="AL142" i="9"/>
  <c r="AL143" i="9" s="1"/>
  <c r="AM77" i="9"/>
  <c r="AM89" i="9"/>
  <c r="AL29" i="9"/>
  <c r="AI25" i="9" l="1"/>
  <c r="AJ49" i="9"/>
  <c r="AJ140" i="9" s="1"/>
  <c r="AJ141" i="9" s="1"/>
  <c r="AJ108" i="9"/>
  <c r="AJ123" i="9" s="1"/>
  <c r="AJ124" i="9" s="1"/>
  <c r="AJ28" i="9"/>
  <c r="AJ30" i="9" s="1"/>
  <c r="AJ109" i="9"/>
  <c r="AJ125" i="9" s="1"/>
  <c r="AJ126" i="9" s="1"/>
  <c r="AJ99" i="9"/>
  <c r="AJ114" i="9" s="1"/>
  <c r="AJ115" i="9" s="1"/>
  <c r="AJ110" i="9"/>
  <c r="AJ127" i="9" s="1"/>
  <c r="AJ128" i="9" s="1"/>
  <c r="AJ111" i="9"/>
  <c r="AJ129" i="9" s="1"/>
  <c r="AJ130" i="9" s="1"/>
  <c r="AJ51" i="9"/>
  <c r="AJ101" i="9"/>
  <c r="AJ118" i="9" s="1"/>
  <c r="AJ119" i="9" s="1"/>
  <c r="AJ102" i="9"/>
  <c r="AJ120" i="9" s="1"/>
  <c r="AJ121" i="9" s="1"/>
  <c r="AJ100" i="9"/>
  <c r="AJ116" i="9" s="1"/>
  <c r="AJ117" i="9" s="1"/>
  <c r="AJ52" i="9"/>
  <c r="AJ50" i="9"/>
  <c r="AJ142" i="9" s="1"/>
  <c r="AJ143" i="9" s="1"/>
  <c r="AJ48" i="9"/>
  <c r="AJ47" i="9"/>
  <c r="AJ138" i="9" s="1"/>
  <c r="AJ139" i="9" s="1"/>
  <c r="AL92" i="9"/>
  <c r="AL60" i="9"/>
  <c r="AL93" i="9"/>
  <c r="AL78" i="9"/>
  <c r="AL75" i="9"/>
  <c r="AL91" i="9"/>
  <c r="AL65" i="9"/>
  <c r="AL76" i="9"/>
  <c r="AL64" i="9"/>
  <c r="AL89" i="9"/>
  <c r="AL61" i="9"/>
  <c r="AL79" i="9"/>
  <c r="AL74" i="9"/>
  <c r="AL90" i="9"/>
  <c r="AL62" i="9"/>
  <c r="AL77" i="9"/>
  <c r="AL63" i="9"/>
  <c r="AL88" i="9"/>
  <c r="J161" i="7"/>
  <c r="L161" i="7" s="1"/>
  <c r="I161" i="7"/>
  <c r="AK29" i="9"/>
  <c r="AK93" i="9" l="1"/>
  <c r="AK77" i="9"/>
  <c r="AK62" i="9"/>
  <c r="AK65" i="9"/>
  <c r="AK76" i="9"/>
  <c r="AK75" i="9"/>
  <c r="AK63" i="9"/>
  <c r="AK90" i="9"/>
  <c r="AK88" i="9"/>
  <c r="AK61" i="9"/>
  <c r="AK79" i="9"/>
  <c r="AK60" i="9"/>
  <c r="AK78" i="9"/>
  <c r="AK64" i="9"/>
  <c r="AK89" i="9"/>
  <c r="AK91" i="9"/>
  <c r="AK92" i="9"/>
  <c r="AK74" i="9"/>
  <c r="M161" i="7"/>
  <c r="N161" i="7" s="1"/>
  <c r="K161" i="7"/>
  <c r="AJ29" i="9"/>
  <c r="AH25" i="9"/>
  <c r="AI111" i="9"/>
  <c r="AI129" i="9" s="1"/>
  <c r="AI130" i="9" s="1"/>
  <c r="AI99" i="9"/>
  <c r="AI114" i="9" s="1"/>
  <c r="AI115" i="9" s="1"/>
  <c r="AI110" i="9"/>
  <c r="AI127" i="9" s="1"/>
  <c r="AI128" i="9" s="1"/>
  <c r="AI100" i="9"/>
  <c r="AI116" i="9" s="1"/>
  <c r="AI117" i="9" s="1"/>
  <c r="AI102" i="9"/>
  <c r="AI120" i="9" s="1"/>
  <c r="AI121" i="9" s="1"/>
  <c r="AI52" i="9"/>
  <c r="AI50" i="9"/>
  <c r="AI142" i="9" s="1"/>
  <c r="AI143" i="9" s="1"/>
  <c r="AI109" i="9"/>
  <c r="AI125" i="9" s="1"/>
  <c r="AI126" i="9" s="1"/>
  <c r="AI48" i="9"/>
  <c r="AI28" i="9"/>
  <c r="AI30" i="9" s="1"/>
  <c r="AI47" i="9"/>
  <c r="AI138" i="9" s="1"/>
  <c r="AI139" i="9" s="1"/>
  <c r="AI51" i="9"/>
  <c r="AI49" i="9"/>
  <c r="AI140" i="9" s="1"/>
  <c r="AI141" i="9" s="1"/>
  <c r="AI108" i="9"/>
  <c r="AI123" i="9" s="1"/>
  <c r="AI124" i="9" s="1"/>
  <c r="AI101" i="9"/>
  <c r="AI118" i="9" s="1"/>
  <c r="AI119" i="9" s="1"/>
  <c r="AI29" i="9" l="1"/>
  <c r="AG25" i="9"/>
  <c r="AH49" i="9"/>
  <c r="AH140" i="9" s="1"/>
  <c r="AH141" i="9" s="1"/>
  <c r="AH28" i="9"/>
  <c r="AH30" i="9" s="1"/>
  <c r="AH108" i="9"/>
  <c r="AH123" i="9" s="1"/>
  <c r="AH124" i="9" s="1"/>
  <c r="AH102" i="9"/>
  <c r="AH120" i="9" s="1"/>
  <c r="AH121" i="9" s="1"/>
  <c r="AH100" i="9"/>
  <c r="AH116" i="9" s="1"/>
  <c r="AH117" i="9" s="1"/>
  <c r="AH52" i="9"/>
  <c r="AH48" i="9"/>
  <c r="AH50" i="9"/>
  <c r="AH142" i="9" s="1"/>
  <c r="AH143" i="9" s="1"/>
  <c r="AH47" i="9"/>
  <c r="AH138" i="9" s="1"/>
  <c r="AH139" i="9" s="1"/>
  <c r="AH99" i="9"/>
  <c r="AH114" i="9" s="1"/>
  <c r="AH115" i="9" s="1"/>
  <c r="AH110" i="9"/>
  <c r="AH127" i="9" s="1"/>
  <c r="AH128" i="9" s="1"/>
  <c r="AH109" i="9"/>
  <c r="AH125" i="9" s="1"/>
  <c r="AH126" i="9" s="1"/>
  <c r="AH111" i="9"/>
  <c r="AH129" i="9" s="1"/>
  <c r="AH130" i="9" s="1"/>
  <c r="AH101" i="9"/>
  <c r="AH118" i="9" s="1"/>
  <c r="AH119" i="9" s="1"/>
  <c r="AH51" i="9"/>
  <c r="AJ88" i="9"/>
  <c r="AJ90" i="9"/>
  <c r="AJ89" i="9"/>
  <c r="AJ61" i="9"/>
  <c r="AJ74" i="9"/>
  <c r="AJ79" i="9"/>
  <c r="AJ91" i="9"/>
  <c r="AJ62" i="9"/>
  <c r="AJ93" i="9"/>
  <c r="AJ60" i="9"/>
  <c r="AJ77" i="9"/>
  <c r="AJ65" i="9"/>
  <c r="AJ76" i="9"/>
  <c r="AJ92" i="9"/>
  <c r="AJ78" i="9"/>
  <c r="AJ63" i="9"/>
  <c r="AJ75" i="9"/>
  <c r="AJ64" i="9"/>
  <c r="J162" i="7"/>
  <c r="L162" i="7" s="1"/>
  <c r="I162" i="7"/>
  <c r="AH29" i="9" l="1"/>
  <c r="K162" i="7"/>
  <c r="M162" i="7"/>
  <c r="N162" i="7" s="1"/>
  <c r="AF25" i="9"/>
  <c r="AG101" i="9"/>
  <c r="AG118" i="9" s="1"/>
  <c r="AG119" i="9" s="1"/>
  <c r="AG52" i="9"/>
  <c r="AG48" i="9"/>
  <c r="AG100" i="9"/>
  <c r="AG116" i="9" s="1"/>
  <c r="AG117" i="9" s="1"/>
  <c r="AG47" i="9"/>
  <c r="AG138" i="9" s="1"/>
  <c r="AG139" i="9" s="1"/>
  <c r="AG49" i="9"/>
  <c r="AG140" i="9" s="1"/>
  <c r="AG141" i="9" s="1"/>
  <c r="AG50" i="9"/>
  <c r="AG142" i="9" s="1"/>
  <c r="AG143" i="9" s="1"/>
  <c r="AG51" i="9"/>
  <c r="AG28" i="9"/>
  <c r="AG30" i="9" s="1"/>
  <c r="AG109" i="9"/>
  <c r="AG125" i="9" s="1"/>
  <c r="AG126" i="9" s="1"/>
  <c r="AG108" i="9"/>
  <c r="AG123" i="9" s="1"/>
  <c r="AG124" i="9" s="1"/>
  <c r="AG102" i="9"/>
  <c r="AG120" i="9" s="1"/>
  <c r="AG121" i="9" s="1"/>
  <c r="AG111" i="9"/>
  <c r="AG129" i="9" s="1"/>
  <c r="AG130" i="9" s="1"/>
  <c r="AG99" i="9"/>
  <c r="AG114" i="9" s="1"/>
  <c r="AG115" i="9" s="1"/>
  <c r="AG110" i="9"/>
  <c r="AG127" i="9" s="1"/>
  <c r="AG128" i="9" s="1"/>
  <c r="AI74" i="9"/>
  <c r="AI61" i="9"/>
  <c r="AI79" i="9"/>
  <c r="AI91" i="9"/>
  <c r="AI75" i="9"/>
  <c r="AI76" i="9"/>
  <c r="AI65" i="9"/>
  <c r="AI63" i="9"/>
  <c r="AI77" i="9"/>
  <c r="AI78" i="9"/>
  <c r="AI88" i="9"/>
  <c r="AI89" i="9"/>
  <c r="AI92" i="9"/>
  <c r="AI62" i="9"/>
  <c r="AI60" i="9"/>
  <c r="AI90" i="9"/>
  <c r="AI64" i="9"/>
  <c r="AI93" i="9"/>
  <c r="AE25" i="9" l="1"/>
  <c r="AF99" i="9"/>
  <c r="AF114" i="9" s="1"/>
  <c r="AF115" i="9" s="1"/>
  <c r="AF101" i="9"/>
  <c r="AF118" i="9" s="1"/>
  <c r="AF119" i="9" s="1"/>
  <c r="AF51" i="9"/>
  <c r="AF49" i="9"/>
  <c r="AF140" i="9" s="1"/>
  <c r="AF141" i="9" s="1"/>
  <c r="AF52" i="9"/>
  <c r="AF50" i="9"/>
  <c r="AF142" i="9" s="1"/>
  <c r="AF143" i="9" s="1"/>
  <c r="AF48" i="9"/>
  <c r="AF100" i="9"/>
  <c r="AF116" i="9" s="1"/>
  <c r="AF117" i="9" s="1"/>
  <c r="AF47" i="9"/>
  <c r="AF138" i="9" s="1"/>
  <c r="AF139" i="9" s="1"/>
  <c r="AF28" i="9"/>
  <c r="AF30" i="9" s="1"/>
  <c r="AF110" i="9"/>
  <c r="AF127" i="9" s="1"/>
  <c r="AF128" i="9" s="1"/>
  <c r="AF109" i="9"/>
  <c r="AF125" i="9" s="1"/>
  <c r="AF126" i="9" s="1"/>
  <c r="AF108" i="9"/>
  <c r="AF123" i="9" s="1"/>
  <c r="AF124" i="9" s="1"/>
  <c r="AF111" i="9"/>
  <c r="AF129" i="9" s="1"/>
  <c r="AF130" i="9" s="1"/>
  <c r="AF102" i="9"/>
  <c r="AF120" i="9" s="1"/>
  <c r="AF121" i="9" s="1"/>
  <c r="I163" i="7"/>
  <c r="J163" i="7"/>
  <c r="L163" i="7" s="1"/>
  <c r="AH62" i="9"/>
  <c r="AH89" i="9"/>
  <c r="AH79" i="9"/>
  <c r="AH93" i="9"/>
  <c r="AH65" i="9"/>
  <c r="AH88" i="9"/>
  <c r="AH63" i="9"/>
  <c r="AH64" i="9"/>
  <c r="AH78" i="9"/>
  <c r="AH60" i="9"/>
  <c r="AH76" i="9"/>
  <c r="AH90" i="9"/>
  <c r="AH61" i="9"/>
  <c r="AH91" i="9"/>
  <c r="AH92" i="9"/>
  <c r="AH77" i="9"/>
  <c r="AH75" i="9"/>
  <c r="AH74" i="9"/>
  <c r="AG29" i="9"/>
  <c r="M163" i="7" l="1"/>
  <c r="N163" i="7" s="1"/>
  <c r="K163" i="7"/>
  <c r="AF29" i="9"/>
  <c r="AG74" i="9"/>
  <c r="AG75" i="9"/>
  <c r="AG79" i="9"/>
  <c r="AG60" i="9"/>
  <c r="AG65" i="9"/>
  <c r="AG91" i="9"/>
  <c r="AG63" i="9"/>
  <c r="AG64" i="9"/>
  <c r="AG88" i="9"/>
  <c r="AG61" i="9"/>
  <c r="AG89" i="9"/>
  <c r="AG62" i="9"/>
  <c r="AG77" i="9"/>
  <c r="AG76" i="9"/>
  <c r="AG78" i="9"/>
  <c r="AG90" i="9"/>
  <c r="AG92" i="9"/>
  <c r="AG93" i="9"/>
  <c r="AD25" i="9"/>
  <c r="AE50" i="9"/>
  <c r="AE142" i="9" s="1"/>
  <c r="AE143" i="9" s="1"/>
  <c r="AE51" i="9"/>
  <c r="AE28" i="9"/>
  <c r="AE30" i="9" s="1"/>
  <c r="AE49" i="9"/>
  <c r="AE140" i="9" s="1"/>
  <c r="AE141" i="9" s="1"/>
  <c r="AE111" i="9"/>
  <c r="AE129" i="9" s="1"/>
  <c r="AE130" i="9" s="1"/>
  <c r="AE110" i="9"/>
  <c r="AE127" i="9" s="1"/>
  <c r="AE128" i="9" s="1"/>
  <c r="AE109" i="9"/>
  <c r="AE125" i="9" s="1"/>
  <c r="AE126" i="9" s="1"/>
  <c r="AE108" i="9"/>
  <c r="AE123" i="9" s="1"/>
  <c r="AE124" i="9" s="1"/>
  <c r="AE102" i="9"/>
  <c r="AE120" i="9" s="1"/>
  <c r="AE121" i="9" s="1"/>
  <c r="AE100" i="9"/>
  <c r="AE116" i="9" s="1"/>
  <c r="AE117" i="9" s="1"/>
  <c r="AE99" i="9"/>
  <c r="AE114" i="9" s="1"/>
  <c r="AE115" i="9" s="1"/>
  <c r="AE101" i="9"/>
  <c r="AE118" i="9" s="1"/>
  <c r="AE119" i="9" s="1"/>
  <c r="AE52" i="9"/>
  <c r="AE48" i="9"/>
  <c r="AE47" i="9"/>
  <c r="AE138" i="9" s="1"/>
  <c r="AE139" i="9" s="1"/>
  <c r="AE29" i="9" l="1"/>
  <c r="AF93" i="9"/>
  <c r="AF74" i="9"/>
  <c r="AF88" i="9"/>
  <c r="AF79" i="9"/>
  <c r="AF75" i="9"/>
  <c r="AF78" i="9"/>
  <c r="AF63" i="9"/>
  <c r="AF60" i="9"/>
  <c r="AF90" i="9"/>
  <c r="AF62" i="9"/>
  <c r="AF89" i="9"/>
  <c r="AF61" i="9"/>
  <c r="AF91" i="9"/>
  <c r="AF92" i="9"/>
  <c r="AF65" i="9"/>
  <c r="AF77" i="9"/>
  <c r="AF76" i="9"/>
  <c r="AF64" i="9"/>
  <c r="J164" i="7"/>
  <c r="L164" i="7" s="1"/>
  <c r="I164" i="7"/>
  <c r="AC25" i="9"/>
  <c r="AD100" i="9"/>
  <c r="AD116" i="9" s="1"/>
  <c r="AD117" i="9" s="1"/>
  <c r="AD99" i="9"/>
  <c r="AD114" i="9" s="1"/>
  <c r="AD115" i="9" s="1"/>
  <c r="AD52" i="9"/>
  <c r="AD48" i="9"/>
  <c r="AD109" i="9"/>
  <c r="AD125" i="9" s="1"/>
  <c r="AD126" i="9" s="1"/>
  <c r="AD102" i="9"/>
  <c r="AD120" i="9" s="1"/>
  <c r="AD121" i="9" s="1"/>
  <c r="AD108" i="9"/>
  <c r="AD123" i="9" s="1"/>
  <c r="AD124" i="9" s="1"/>
  <c r="AD111" i="9"/>
  <c r="AD129" i="9" s="1"/>
  <c r="AD130" i="9" s="1"/>
  <c r="AD51" i="9"/>
  <c r="AD101" i="9"/>
  <c r="AD118" i="9" s="1"/>
  <c r="AD119" i="9" s="1"/>
  <c r="AD47" i="9"/>
  <c r="AD138" i="9" s="1"/>
  <c r="AD139" i="9" s="1"/>
  <c r="AD28" i="9"/>
  <c r="AD30" i="9" s="1"/>
  <c r="AD50" i="9"/>
  <c r="AD142" i="9" s="1"/>
  <c r="AD143" i="9" s="1"/>
  <c r="AD49" i="9"/>
  <c r="AD140" i="9" s="1"/>
  <c r="AD141" i="9" s="1"/>
  <c r="AD110" i="9"/>
  <c r="AD127" i="9" s="1"/>
  <c r="AD128" i="9" s="1"/>
  <c r="AD29" i="9" l="1"/>
  <c r="AB25" i="9"/>
  <c r="AC108" i="9"/>
  <c r="AC123" i="9" s="1"/>
  <c r="AC124" i="9" s="1"/>
  <c r="AC100" i="9"/>
  <c r="AC116" i="9" s="1"/>
  <c r="AC117" i="9" s="1"/>
  <c r="AC101" i="9"/>
  <c r="AC118" i="9" s="1"/>
  <c r="AC119" i="9" s="1"/>
  <c r="AC49" i="9"/>
  <c r="AC140" i="9" s="1"/>
  <c r="AC141" i="9" s="1"/>
  <c r="AC52" i="9"/>
  <c r="AC48" i="9"/>
  <c r="AC28" i="9"/>
  <c r="AC30" i="9" s="1"/>
  <c r="AC51" i="9"/>
  <c r="AC50" i="9"/>
  <c r="AC142" i="9" s="1"/>
  <c r="AC143" i="9" s="1"/>
  <c r="AC111" i="9"/>
  <c r="AC129" i="9" s="1"/>
  <c r="AC130" i="9" s="1"/>
  <c r="AC47" i="9"/>
  <c r="AC138" i="9" s="1"/>
  <c r="AC139" i="9" s="1"/>
  <c r="AC110" i="9"/>
  <c r="AC127" i="9" s="1"/>
  <c r="AC128" i="9" s="1"/>
  <c r="AC99" i="9"/>
  <c r="AC114" i="9" s="1"/>
  <c r="AC115" i="9" s="1"/>
  <c r="AC109" i="9"/>
  <c r="AC125" i="9" s="1"/>
  <c r="AC126" i="9" s="1"/>
  <c r="AC102" i="9"/>
  <c r="AC120" i="9" s="1"/>
  <c r="AC121" i="9" s="1"/>
  <c r="AE60" i="9"/>
  <c r="AE90" i="9"/>
  <c r="AE64" i="9"/>
  <c r="AE92" i="9"/>
  <c r="AE76" i="9"/>
  <c r="AE61" i="9"/>
  <c r="AE91" i="9"/>
  <c r="AE88" i="9"/>
  <c r="AE74" i="9"/>
  <c r="AE62" i="9"/>
  <c r="AE77" i="9"/>
  <c r="AE79" i="9"/>
  <c r="AE63" i="9"/>
  <c r="AE93" i="9"/>
  <c r="AE75" i="9"/>
  <c r="AE89" i="9"/>
  <c r="AE65" i="9"/>
  <c r="AE78" i="9"/>
  <c r="M164" i="7"/>
  <c r="N164" i="7" s="1"/>
  <c r="K164" i="7"/>
  <c r="AC29" i="9" l="1"/>
  <c r="AA25" i="9"/>
  <c r="AB109" i="9"/>
  <c r="AB125" i="9" s="1"/>
  <c r="AB126" i="9" s="1"/>
  <c r="AB108" i="9"/>
  <c r="AB123" i="9" s="1"/>
  <c r="AB124" i="9" s="1"/>
  <c r="AB101" i="9"/>
  <c r="AB118" i="9" s="1"/>
  <c r="AB119" i="9" s="1"/>
  <c r="AB100" i="9"/>
  <c r="AB116" i="9" s="1"/>
  <c r="AB117" i="9" s="1"/>
  <c r="AB51" i="9"/>
  <c r="AB49" i="9"/>
  <c r="AB140" i="9" s="1"/>
  <c r="AB141" i="9" s="1"/>
  <c r="AB47" i="9"/>
  <c r="AB138" i="9" s="1"/>
  <c r="AB139" i="9" s="1"/>
  <c r="AB52" i="9"/>
  <c r="AB48" i="9"/>
  <c r="AB28" i="9"/>
  <c r="AB30" i="9" s="1"/>
  <c r="AB111" i="9"/>
  <c r="AB129" i="9" s="1"/>
  <c r="AB130" i="9" s="1"/>
  <c r="AB50" i="9"/>
  <c r="AB142" i="9" s="1"/>
  <c r="AB143" i="9" s="1"/>
  <c r="AB102" i="9"/>
  <c r="AB120" i="9" s="1"/>
  <c r="AB121" i="9" s="1"/>
  <c r="AB110" i="9"/>
  <c r="AB127" i="9" s="1"/>
  <c r="AB128" i="9" s="1"/>
  <c r="AB99" i="9"/>
  <c r="AB114" i="9" s="1"/>
  <c r="AB115" i="9" s="1"/>
  <c r="AD65" i="9"/>
  <c r="AD78" i="9"/>
  <c r="AD61" i="9"/>
  <c r="AD74" i="9"/>
  <c r="AD89" i="9"/>
  <c r="AD63" i="9"/>
  <c r="AD60" i="9"/>
  <c r="AD90" i="9"/>
  <c r="AD79" i="9"/>
  <c r="AD77" i="9"/>
  <c r="AD76" i="9"/>
  <c r="AD91" i="9"/>
  <c r="AD75" i="9"/>
  <c r="AD92" i="9"/>
  <c r="AD64" i="9"/>
  <c r="AD93" i="9"/>
  <c r="AD88" i="9"/>
  <c r="AD62" i="9"/>
  <c r="I165" i="7"/>
  <c r="J165" i="7"/>
  <c r="L165" i="7" s="1"/>
  <c r="AB29" i="9" l="1"/>
  <c r="M165" i="7"/>
  <c r="N165" i="7" s="1"/>
  <c r="K165" i="7"/>
  <c r="Z25" i="9"/>
  <c r="AA108" i="9"/>
  <c r="AA123" i="9" s="1"/>
  <c r="AA124" i="9" s="1"/>
  <c r="AA109" i="9"/>
  <c r="AA125" i="9" s="1"/>
  <c r="AA126" i="9" s="1"/>
  <c r="AA52" i="9"/>
  <c r="AA111" i="9"/>
  <c r="AA129" i="9" s="1"/>
  <c r="AA130" i="9" s="1"/>
  <c r="AA110" i="9"/>
  <c r="AA127" i="9" s="1"/>
  <c r="AA128" i="9" s="1"/>
  <c r="AA99" i="9"/>
  <c r="AA114" i="9" s="1"/>
  <c r="AA115" i="9" s="1"/>
  <c r="AA102" i="9"/>
  <c r="AA120" i="9" s="1"/>
  <c r="AA121" i="9" s="1"/>
  <c r="AA101" i="9"/>
  <c r="AA118" i="9" s="1"/>
  <c r="AA119" i="9" s="1"/>
  <c r="AA100" i="9"/>
  <c r="AA116" i="9" s="1"/>
  <c r="AA117" i="9" s="1"/>
  <c r="AA51" i="9"/>
  <c r="AA49" i="9"/>
  <c r="AA140" i="9" s="1"/>
  <c r="AA141" i="9" s="1"/>
  <c r="AA47" i="9"/>
  <c r="AA138" i="9" s="1"/>
  <c r="AA139" i="9" s="1"/>
  <c r="AA48" i="9"/>
  <c r="AA28" i="9"/>
  <c r="AA30" i="9" s="1"/>
  <c r="AA50" i="9"/>
  <c r="AA142" i="9" s="1"/>
  <c r="AA143" i="9" s="1"/>
  <c r="AC90" i="9"/>
  <c r="AC63" i="9"/>
  <c r="AC62" i="9"/>
  <c r="AC92" i="9"/>
  <c r="AC75" i="9"/>
  <c r="AC65" i="9"/>
  <c r="AC88" i="9"/>
  <c r="AC93" i="9"/>
  <c r="AC79" i="9"/>
  <c r="AC64" i="9"/>
  <c r="AC76" i="9"/>
  <c r="AC74" i="9"/>
  <c r="AC91" i="9"/>
  <c r="AC77" i="9"/>
  <c r="AC78" i="9"/>
  <c r="AC89" i="9"/>
  <c r="AC61" i="9"/>
  <c r="AC60" i="9"/>
  <c r="AA29" i="9" l="1"/>
  <c r="Y25" i="9"/>
  <c r="Z48" i="9"/>
  <c r="Z28" i="9"/>
  <c r="Z30" i="9" s="1"/>
  <c r="Z111" i="9"/>
  <c r="Z129" i="9" s="1"/>
  <c r="Z130" i="9" s="1"/>
  <c r="Z110" i="9"/>
  <c r="Z127" i="9" s="1"/>
  <c r="Z128" i="9" s="1"/>
  <c r="Z100" i="9"/>
  <c r="Z116" i="9" s="1"/>
  <c r="Z117" i="9" s="1"/>
  <c r="Z108" i="9"/>
  <c r="Z123" i="9" s="1"/>
  <c r="Z124" i="9" s="1"/>
  <c r="Z109" i="9"/>
  <c r="Z125" i="9" s="1"/>
  <c r="Z126" i="9" s="1"/>
  <c r="Z52" i="9"/>
  <c r="Z50" i="9"/>
  <c r="Z142" i="9" s="1"/>
  <c r="Z143" i="9" s="1"/>
  <c r="Z47" i="9"/>
  <c r="Z138" i="9" s="1"/>
  <c r="Z139" i="9" s="1"/>
  <c r="Z49" i="9"/>
  <c r="Z140" i="9" s="1"/>
  <c r="Z141" i="9" s="1"/>
  <c r="Z51" i="9"/>
  <c r="Z101" i="9"/>
  <c r="Z118" i="9" s="1"/>
  <c r="Z119" i="9" s="1"/>
  <c r="Z99" i="9"/>
  <c r="Z114" i="9" s="1"/>
  <c r="Z115" i="9" s="1"/>
  <c r="Z102" i="9"/>
  <c r="Z120" i="9" s="1"/>
  <c r="Z121" i="9" s="1"/>
  <c r="J166" i="7"/>
  <c r="L166" i="7" s="1"/>
  <c r="I166" i="7"/>
  <c r="AB60" i="9"/>
  <c r="AB65" i="9"/>
  <c r="AB90" i="9"/>
  <c r="AB78" i="9"/>
  <c r="AB76" i="9"/>
  <c r="AB92" i="9"/>
  <c r="AB64" i="9"/>
  <c r="AB93" i="9"/>
  <c r="AB88" i="9"/>
  <c r="AB63" i="9"/>
  <c r="AB91" i="9"/>
  <c r="AB77" i="9"/>
  <c r="AB79" i="9"/>
  <c r="AB74" i="9"/>
  <c r="AB61" i="9"/>
  <c r="AB89" i="9"/>
  <c r="AB75" i="9"/>
  <c r="AB62" i="9"/>
  <c r="M166" i="7" l="1"/>
  <c r="N166" i="7" s="1"/>
  <c r="K166" i="7"/>
  <c r="X25" i="9"/>
  <c r="Y99" i="9"/>
  <c r="Y114" i="9" s="1"/>
  <c r="Y115" i="9" s="1"/>
  <c r="Y102" i="9"/>
  <c r="Y120" i="9" s="1"/>
  <c r="Y121" i="9" s="1"/>
  <c r="Y101" i="9"/>
  <c r="Y118" i="9" s="1"/>
  <c r="Y119" i="9" s="1"/>
  <c r="Y110" i="9"/>
  <c r="Y127" i="9" s="1"/>
  <c r="Y128" i="9" s="1"/>
  <c r="Y109" i="9"/>
  <c r="Y125" i="9" s="1"/>
  <c r="Y126" i="9" s="1"/>
  <c r="Y50" i="9"/>
  <c r="Y142" i="9" s="1"/>
  <c r="Y143" i="9" s="1"/>
  <c r="Y47" i="9"/>
  <c r="Y138" i="9" s="1"/>
  <c r="Y139" i="9" s="1"/>
  <c r="Y108" i="9"/>
  <c r="Y123" i="9" s="1"/>
  <c r="Y124" i="9" s="1"/>
  <c r="Y49" i="9"/>
  <c r="Y140" i="9" s="1"/>
  <c r="Y141" i="9" s="1"/>
  <c r="Y52" i="9"/>
  <c r="Y48" i="9"/>
  <c r="Y28" i="9"/>
  <c r="Y30" i="9" s="1"/>
  <c r="Y111" i="9"/>
  <c r="Y129" i="9" s="1"/>
  <c r="Y130" i="9" s="1"/>
  <c r="Y100" i="9"/>
  <c r="Y116" i="9" s="1"/>
  <c r="Y117" i="9" s="1"/>
  <c r="Y51" i="9"/>
  <c r="AA78" i="9"/>
  <c r="AA92" i="9"/>
  <c r="AA65" i="9"/>
  <c r="AA76" i="9"/>
  <c r="AA60" i="9"/>
  <c r="AA77" i="9"/>
  <c r="AA90" i="9"/>
  <c r="AA91" i="9"/>
  <c r="AA88" i="9"/>
  <c r="AA89" i="9"/>
  <c r="AA93" i="9"/>
  <c r="AA64" i="9"/>
  <c r="AA79" i="9"/>
  <c r="AA62" i="9"/>
  <c r="AA63" i="9"/>
  <c r="AA74" i="9"/>
  <c r="AA75" i="9"/>
  <c r="AA61" i="9"/>
  <c r="Z29" i="9"/>
  <c r="Z60" i="9" l="1"/>
  <c r="Z92" i="9"/>
  <c r="Z64" i="9"/>
  <c r="Z91" i="9"/>
  <c r="Z77" i="9"/>
  <c r="Z90" i="9"/>
  <c r="Z88" i="9"/>
  <c r="Z61" i="9"/>
  <c r="Z89" i="9"/>
  <c r="Z65" i="9"/>
  <c r="Z93" i="9"/>
  <c r="Z75" i="9"/>
  <c r="Z76" i="9"/>
  <c r="Z79" i="9"/>
  <c r="Z62" i="9"/>
  <c r="Z63" i="9"/>
  <c r="Z78" i="9"/>
  <c r="Z74" i="9"/>
  <c r="Y29" i="9"/>
  <c r="W25" i="9"/>
  <c r="X48" i="9"/>
  <c r="X28" i="9"/>
  <c r="X30" i="9" s="1"/>
  <c r="X108" i="9"/>
  <c r="X123" i="9" s="1"/>
  <c r="X124" i="9" s="1"/>
  <c r="X111" i="9"/>
  <c r="X129" i="9" s="1"/>
  <c r="X130" i="9" s="1"/>
  <c r="X101" i="9"/>
  <c r="X118" i="9" s="1"/>
  <c r="X119" i="9" s="1"/>
  <c r="X100" i="9"/>
  <c r="X116" i="9" s="1"/>
  <c r="X117" i="9" s="1"/>
  <c r="X99" i="9"/>
  <c r="X114" i="9" s="1"/>
  <c r="X115" i="9" s="1"/>
  <c r="X110" i="9"/>
  <c r="X127" i="9" s="1"/>
  <c r="X128" i="9" s="1"/>
  <c r="X102" i="9"/>
  <c r="X120" i="9" s="1"/>
  <c r="X121" i="9" s="1"/>
  <c r="X52" i="9"/>
  <c r="X50" i="9"/>
  <c r="X142" i="9" s="1"/>
  <c r="X143" i="9" s="1"/>
  <c r="X109" i="9"/>
  <c r="X125" i="9" s="1"/>
  <c r="X126" i="9" s="1"/>
  <c r="X51" i="9"/>
  <c r="X49" i="9"/>
  <c r="X140" i="9" s="1"/>
  <c r="X141" i="9" s="1"/>
  <c r="X47" i="9"/>
  <c r="X138" i="9" s="1"/>
  <c r="X139" i="9" s="1"/>
  <c r="J167" i="7"/>
  <c r="L167" i="7" s="1"/>
  <c r="I167" i="7"/>
  <c r="X29" i="9" l="1"/>
  <c r="M167" i="7"/>
  <c r="K167" i="7"/>
  <c r="Y76" i="9"/>
  <c r="Y77" i="9"/>
  <c r="Y62" i="9"/>
  <c r="Y65" i="9"/>
  <c r="Y90" i="9"/>
  <c r="Y64" i="9"/>
  <c r="Y93" i="9"/>
  <c r="Y79" i="9"/>
  <c r="Y74" i="9"/>
  <c r="Y78" i="9"/>
  <c r="Y89" i="9"/>
  <c r="Y60" i="9"/>
  <c r="Y92" i="9"/>
  <c r="Y88" i="9"/>
  <c r="Y91" i="9"/>
  <c r="Y75" i="9"/>
  <c r="Y61" i="9"/>
  <c r="Y63" i="9"/>
  <c r="V25" i="9"/>
  <c r="W30" i="9"/>
  <c r="W111" i="9"/>
  <c r="W129" i="9" s="1"/>
  <c r="W130" i="9" s="1"/>
  <c r="W101" i="9"/>
  <c r="W118" i="9" s="1"/>
  <c r="W119" i="9" s="1"/>
  <c r="W100" i="9"/>
  <c r="W116" i="9" s="1"/>
  <c r="W117" i="9" s="1"/>
  <c r="W110" i="9"/>
  <c r="W127" i="9" s="1"/>
  <c r="W128" i="9" s="1"/>
  <c r="W99" i="9"/>
  <c r="W114" i="9" s="1"/>
  <c r="W115" i="9" s="1"/>
  <c r="W108" i="9"/>
  <c r="W123" i="9" s="1"/>
  <c r="W124" i="9" s="1"/>
  <c r="W109" i="9"/>
  <c r="W125" i="9" s="1"/>
  <c r="W126" i="9" s="1"/>
  <c r="W51" i="9"/>
  <c r="W50" i="9"/>
  <c r="W142" i="9" s="1"/>
  <c r="W143" i="9" s="1"/>
  <c r="W47" i="9"/>
  <c r="W138" i="9" s="1"/>
  <c r="W139" i="9" s="1"/>
  <c r="W49" i="9"/>
  <c r="W140" i="9" s="1"/>
  <c r="W141" i="9" s="1"/>
  <c r="W48" i="9"/>
  <c r="W52" i="9"/>
  <c r="W102" i="9"/>
  <c r="W120" i="9" s="1"/>
  <c r="W121" i="9" s="1"/>
  <c r="W28" i="9"/>
  <c r="U25" i="9" l="1"/>
  <c r="V108" i="9"/>
  <c r="V123" i="9" s="1"/>
  <c r="V124" i="9" s="1"/>
  <c r="V28" i="9"/>
  <c r="V30" i="9" s="1"/>
  <c r="V110" i="9"/>
  <c r="V127" i="9" s="1"/>
  <c r="V128" i="9" s="1"/>
  <c r="V101" i="9"/>
  <c r="V118" i="9" s="1"/>
  <c r="V119" i="9" s="1"/>
  <c r="V100" i="9"/>
  <c r="V116" i="9" s="1"/>
  <c r="V117" i="9" s="1"/>
  <c r="V111" i="9"/>
  <c r="V129" i="9" s="1"/>
  <c r="V130" i="9" s="1"/>
  <c r="V109" i="9"/>
  <c r="V125" i="9" s="1"/>
  <c r="V126" i="9" s="1"/>
  <c r="V102" i="9"/>
  <c r="V120" i="9" s="1"/>
  <c r="V121" i="9" s="1"/>
  <c r="V99" i="9"/>
  <c r="V114" i="9" s="1"/>
  <c r="V115" i="9" s="1"/>
  <c r="V52" i="9"/>
  <c r="V51" i="9"/>
  <c r="V50" i="9"/>
  <c r="V142" i="9" s="1"/>
  <c r="V143" i="9" s="1"/>
  <c r="V47" i="9"/>
  <c r="V138" i="9" s="1"/>
  <c r="V139" i="9" s="1"/>
  <c r="V49" i="9"/>
  <c r="V140" i="9" s="1"/>
  <c r="V141" i="9" s="1"/>
  <c r="V48" i="9"/>
  <c r="AT122" i="7"/>
  <c r="D123" i="7"/>
  <c r="N167" i="7"/>
  <c r="X78" i="9"/>
  <c r="X76" i="9"/>
  <c r="X74" i="9"/>
  <c r="X89" i="9"/>
  <c r="X77" i="9"/>
  <c r="X90" i="9"/>
  <c r="X62" i="9"/>
  <c r="X88" i="9"/>
  <c r="X93" i="9"/>
  <c r="X64" i="9"/>
  <c r="X65" i="9"/>
  <c r="X75" i="9"/>
  <c r="X91" i="9"/>
  <c r="X79" i="9"/>
  <c r="X92" i="9"/>
  <c r="X60" i="9"/>
  <c r="X61" i="9"/>
  <c r="X63" i="9"/>
  <c r="W29" i="9"/>
  <c r="V29" i="9" l="1"/>
  <c r="W62" i="9"/>
  <c r="W61" i="9"/>
  <c r="W89" i="9"/>
  <c r="W74" i="9"/>
  <c r="W65" i="9"/>
  <c r="W63" i="9"/>
  <c r="W64" i="9"/>
  <c r="W60" i="9"/>
  <c r="W76" i="9"/>
  <c r="W88" i="9"/>
  <c r="W90" i="9"/>
  <c r="W77" i="9"/>
  <c r="W78" i="9"/>
  <c r="W93" i="9"/>
  <c r="W75" i="9"/>
  <c r="W79" i="9"/>
  <c r="W91" i="9"/>
  <c r="W92" i="9"/>
  <c r="T25" i="9"/>
  <c r="U48" i="9"/>
  <c r="U109" i="9"/>
  <c r="U125" i="9" s="1"/>
  <c r="U126" i="9" s="1"/>
  <c r="U28" i="9"/>
  <c r="U30" i="9" s="1"/>
  <c r="U108" i="9"/>
  <c r="U123" i="9" s="1"/>
  <c r="U124" i="9" s="1"/>
  <c r="U110" i="9"/>
  <c r="U127" i="9" s="1"/>
  <c r="U128" i="9" s="1"/>
  <c r="U101" i="9"/>
  <c r="U118" i="9" s="1"/>
  <c r="U119" i="9" s="1"/>
  <c r="U100" i="9"/>
  <c r="U116" i="9" s="1"/>
  <c r="U117" i="9" s="1"/>
  <c r="U102" i="9"/>
  <c r="U120" i="9" s="1"/>
  <c r="U121" i="9" s="1"/>
  <c r="U111" i="9"/>
  <c r="U129" i="9" s="1"/>
  <c r="U130" i="9" s="1"/>
  <c r="U99" i="9"/>
  <c r="U114" i="9" s="1"/>
  <c r="U115" i="9" s="1"/>
  <c r="U51" i="9"/>
  <c r="U50" i="9"/>
  <c r="U142" i="9" s="1"/>
  <c r="U143" i="9" s="1"/>
  <c r="U47" i="9"/>
  <c r="U138" i="9" s="1"/>
  <c r="U139" i="9" s="1"/>
  <c r="U49" i="9"/>
  <c r="U140" i="9" s="1"/>
  <c r="U141" i="9" s="1"/>
  <c r="U52" i="9"/>
  <c r="AT134" i="7"/>
  <c r="AT139" i="7"/>
  <c r="D124" i="7" s="1"/>
  <c r="AT132" i="7"/>
  <c r="AT133" i="7" s="1"/>
  <c r="AT123" i="7"/>
  <c r="U29" i="9" l="1"/>
  <c r="AT126" i="7"/>
  <c r="AT138" i="7"/>
  <c r="S25" i="9"/>
  <c r="T30" i="9"/>
  <c r="T100" i="9"/>
  <c r="T116" i="9" s="1"/>
  <c r="T117" i="9" s="1"/>
  <c r="T102" i="9"/>
  <c r="T120" i="9" s="1"/>
  <c r="T121" i="9" s="1"/>
  <c r="T111" i="9"/>
  <c r="T129" i="9" s="1"/>
  <c r="T130" i="9" s="1"/>
  <c r="T99" i="9"/>
  <c r="T114" i="9" s="1"/>
  <c r="T115" i="9" s="1"/>
  <c r="T108" i="9"/>
  <c r="T123" i="9" s="1"/>
  <c r="T124" i="9" s="1"/>
  <c r="T52" i="9"/>
  <c r="T50" i="9"/>
  <c r="T142" i="9" s="1"/>
  <c r="T143" i="9" s="1"/>
  <c r="T48" i="9"/>
  <c r="T51" i="9"/>
  <c r="T47" i="9"/>
  <c r="T138" i="9" s="1"/>
  <c r="T139" i="9" s="1"/>
  <c r="T49" i="9"/>
  <c r="T140" i="9" s="1"/>
  <c r="T141" i="9" s="1"/>
  <c r="T101" i="9"/>
  <c r="T118" i="9" s="1"/>
  <c r="T119" i="9" s="1"/>
  <c r="T110" i="9"/>
  <c r="T127" i="9" s="1"/>
  <c r="T128" i="9" s="1"/>
  <c r="T109" i="9"/>
  <c r="T125" i="9" s="1"/>
  <c r="T126" i="9" s="1"/>
  <c r="T28" i="9"/>
  <c r="V74" i="9"/>
  <c r="V89" i="9"/>
  <c r="V63" i="9"/>
  <c r="V90" i="9"/>
  <c r="V77" i="9"/>
  <c r="V91" i="9"/>
  <c r="V64" i="9"/>
  <c r="V75" i="9"/>
  <c r="V92" i="9"/>
  <c r="V76" i="9"/>
  <c r="V62" i="9"/>
  <c r="V93" i="9"/>
  <c r="V79" i="9"/>
  <c r="V88" i="9"/>
  <c r="V78" i="9"/>
  <c r="V65" i="9"/>
  <c r="V61" i="9"/>
  <c r="V60" i="9"/>
  <c r="R25" i="9" l="1"/>
  <c r="S52" i="9"/>
  <c r="S50" i="9"/>
  <c r="S142" i="9" s="1"/>
  <c r="S143" i="9" s="1"/>
  <c r="S48" i="9"/>
  <c r="S111" i="9"/>
  <c r="S129" i="9" s="1"/>
  <c r="S130" i="9" s="1"/>
  <c r="S51" i="9"/>
  <c r="S28" i="9"/>
  <c r="S30" i="9" s="1"/>
  <c r="S47" i="9"/>
  <c r="S138" i="9" s="1"/>
  <c r="S139" i="9" s="1"/>
  <c r="S49" i="9"/>
  <c r="S140" i="9" s="1"/>
  <c r="S141" i="9" s="1"/>
  <c r="S109" i="9"/>
  <c r="S125" i="9" s="1"/>
  <c r="S126" i="9" s="1"/>
  <c r="S108" i="9"/>
  <c r="S123" i="9" s="1"/>
  <c r="S124" i="9" s="1"/>
  <c r="S101" i="9"/>
  <c r="S118" i="9" s="1"/>
  <c r="S119" i="9" s="1"/>
  <c r="S110" i="9"/>
  <c r="S127" i="9" s="1"/>
  <c r="S128" i="9" s="1"/>
  <c r="S102" i="9"/>
  <c r="S120" i="9" s="1"/>
  <c r="S121" i="9" s="1"/>
  <c r="S100" i="9"/>
  <c r="S116" i="9" s="1"/>
  <c r="S117" i="9" s="1"/>
  <c r="S99" i="9"/>
  <c r="S114" i="9" s="1"/>
  <c r="S115" i="9" s="1"/>
  <c r="U62" i="9"/>
  <c r="U65" i="9"/>
  <c r="U61" i="9"/>
  <c r="U78" i="9"/>
  <c r="U76" i="9"/>
  <c r="U60" i="9"/>
  <c r="U90" i="9"/>
  <c r="U88" i="9"/>
  <c r="U93" i="9"/>
  <c r="U91" i="9"/>
  <c r="U79" i="9"/>
  <c r="U74" i="9"/>
  <c r="U64" i="9"/>
  <c r="U89" i="9"/>
  <c r="U77" i="9"/>
  <c r="U92" i="9"/>
  <c r="U75" i="9"/>
  <c r="U63" i="9"/>
  <c r="T29" i="9"/>
  <c r="S29" i="9" l="1"/>
  <c r="T79" i="9"/>
  <c r="T63" i="9"/>
  <c r="T61" i="9"/>
  <c r="T62" i="9"/>
  <c r="T64" i="9"/>
  <c r="T78" i="9"/>
  <c r="T75" i="9"/>
  <c r="T88" i="9"/>
  <c r="T60" i="9"/>
  <c r="T76" i="9"/>
  <c r="T74" i="9"/>
  <c r="T89" i="9"/>
  <c r="T93" i="9"/>
  <c r="T77" i="9"/>
  <c r="T90" i="9"/>
  <c r="T92" i="9"/>
  <c r="T91" i="9"/>
  <c r="T65" i="9"/>
  <c r="Q25" i="9"/>
  <c r="R49" i="9"/>
  <c r="R140" i="9" s="1"/>
  <c r="R141" i="9" s="1"/>
  <c r="R52" i="9"/>
  <c r="R48" i="9"/>
  <c r="R47" i="9"/>
  <c r="R138" i="9" s="1"/>
  <c r="R139" i="9" s="1"/>
  <c r="R28" i="9"/>
  <c r="R30" i="9" s="1"/>
  <c r="R110" i="9"/>
  <c r="R127" i="9" s="1"/>
  <c r="R128" i="9" s="1"/>
  <c r="R101" i="9"/>
  <c r="R118" i="9" s="1"/>
  <c r="R119" i="9" s="1"/>
  <c r="R108" i="9"/>
  <c r="R123" i="9" s="1"/>
  <c r="R124" i="9" s="1"/>
  <c r="R109" i="9"/>
  <c r="R125" i="9" s="1"/>
  <c r="R126" i="9" s="1"/>
  <c r="R100" i="9"/>
  <c r="R116" i="9" s="1"/>
  <c r="R117" i="9" s="1"/>
  <c r="R102" i="9"/>
  <c r="R120" i="9" s="1"/>
  <c r="R121" i="9" s="1"/>
  <c r="R111" i="9"/>
  <c r="R129" i="9" s="1"/>
  <c r="R130" i="9" s="1"/>
  <c r="R99" i="9"/>
  <c r="R114" i="9" s="1"/>
  <c r="R115" i="9" s="1"/>
  <c r="R51" i="9"/>
  <c r="R50" i="9"/>
  <c r="R142" i="9" s="1"/>
  <c r="R143" i="9" s="1"/>
  <c r="R29" i="9" l="1"/>
  <c r="P25" i="9"/>
  <c r="Q108" i="9"/>
  <c r="Q123" i="9" s="1"/>
  <c r="Q124" i="9" s="1"/>
  <c r="Q110" i="9"/>
  <c r="Q127" i="9" s="1"/>
  <c r="Q128" i="9" s="1"/>
  <c r="Q101" i="9"/>
  <c r="Q118" i="9" s="1"/>
  <c r="Q119" i="9" s="1"/>
  <c r="Q100" i="9"/>
  <c r="Q116" i="9" s="1"/>
  <c r="Q117" i="9" s="1"/>
  <c r="Q102" i="9"/>
  <c r="Q120" i="9" s="1"/>
  <c r="Q121" i="9" s="1"/>
  <c r="Q111" i="9"/>
  <c r="Q129" i="9" s="1"/>
  <c r="Q130" i="9" s="1"/>
  <c r="Q28" i="9"/>
  <c r="Q30" i="9" s="1"/>
  <c r="Q99" i="9"/>
  <c r="Q114" i="9" s="1"/>
  <c r="Q115" i="9" s="1"/>
  <c r="Q48" i="9"/>
  <c r="Q51" i="9"/>
  <c r="Q50" i="9"/>
  <c r="Q142" i="9" s="1"/>
  <c r="Q143" i="9" s="1"/>
  <c r="Q49" i="9"/>
  <c r="Q140" i="9" s="1"/>
  <c r="Q141" i="9" s="1"/>
  <c r="Q52" i="9"/>
  <c r="Q109" i="9"/>
  <c r="Q125" i="9" s="1"/>
  <c r="Q126" i="9" s="1"/>
  <c r="Q47" i="9"/>
  <c r="Q138" i="9" s="1"/>
  <c r="Q139" i="9" s="1"/>
  <c r="S65" i="9"/>
  <c r="S88" i="9"/>
  <c r="S63" i="9"/>
  <c r="S77" i="9"/>
  <c r="S64" i="9"/>
  <c r="S89" i="9"/>
  <c r="S61" i="9"/>
  <c r="S91" i="9"/>
  <c r="S90" i="9"/>
  <c r="S93" i="9"/>
  <c r="S62" i="9"/>
  <c r="S78" i="9"/>
  <c r="S76" i="9"/>
  <c r="S60" i="9"/>
  <c r="S79" i="9"/>
  <c r="S92" i="9"/>
  <c r="S75" i="9"/>
  <c r="S74" i="9"/>
  <c r="Q29" i="9" l="1"/>
  <c r="O25" i="9"/>
  <c r="P100" i="9"/>
  <c r="P116" i="9" s="1"/>
  <c r="P117" i="9" s="1"/>
  <c r="P111" i="9"/>
  <c r="P129" i="9" s="1"/>
  <c r="P130" i="9" s="1"/>
  <c r="P50" i="9"/>
  <c r="P142" i="9" s="1"/>
  <c r="P143" i="9" s="1"/>
  <c r="P48" i="9"/>
  <c r="P47" i="9"/>
  <c r="P138" i="9" s="1"/>
  <c r="P139" i="9" s="1"/>
  <c r="P49" i="9"/>
  <c r="P140" i="9" s="1"/>
  <c r="P141" i="9" s="1"/>
  <c r="P28" i="9"/>
  <c r="P30" i="9" s="1"/>
  <c r="P110" i="9"/>
  <c r="P127" i="9" s="1"/>
  <c r="P128" i="9" s="1"/>
  <c r="P109" i="9"/>
  <c r="P125" i="9" s="1"/>
  <c r="P126" i="9" s="1"/>
  <c r="P102" i="9"/>
  <c r="P120" i="9" s="1"/>
  <c r="P121" i="9" s="1"/>
  <c r="P108" i="9"/>
  <c r="P123" i="9" s="1"/>
  <c r="P124" i="9" s="1"/>
  <c r="P101" i="9"/>
  <c r="P118" i="9" s="1"/>
  <c r="P119" i="9" s="1"/>
  <c r="P51" i="9"/>
  <c r="P99" i="9"/>
  <c r="P114" i="9" s="1"/>
  <c r="P115" i="9" s="1"/>
  <c r="P52" i="9"/>
  <c r="R79" i="9"/>
  <c r="R61" i="9"/>
  <c r="R90" i="9"/>
  <c r="R65" i="9"/>
  <c r="R62" i="9"/>
  <c r="R88" i="9"/>
  <c r="R60" i="9"/>
  <c r="R63" i="9"/>
  <c r="R78" i="9"/>
  <c r="R92" i="9"/>
  <c r="R93" i="9"/>
  <c r="R76" i="9"/>
  <c r="R89" i="9"/>
  <c r="R91" i="9"/>
  <c r="R75" i="9"/>
  <c r="R74" i="9"/>
  <c r="R64" i="9"/>
  <c r="R77" i="9"/>
  <c r="P29" i="9" l="1"/>
  <c r="O30" i="9"/>
  <c r="N25" i="9"/>
  <c r="O111" i="9"/>
  <c r="O129" i="9" s="1"/>
  <c r="O130" i="9" s="1"/>
  <c r="O47" i="9"/>
  <c r="O138" i="9" s="1"/>
  <c r="O139" i="9" s="1"/>
  <c r="O110" i="9"/>
  <c r="O127" i="9" s="1"/>
  <c r="O128" i="9" s="1"/>
  <c r="O109" i="9"/>
  <c r="O125" i="9" s="1"/>
  <c r="O126" i="9" s="1"/>
  <c r="O101" i="9"/>
  <c r="O118" i="9" s="1"/>
  <c r="O119" i="9" s="1"/>
  <c r="O102" i="9"/>
  <c r="O120" i="9" s="1"/>
  <c r="O121" i="9" s="1"/>
  <c r="O100" i="9"/>
  <c r="O116" i="9" s="1"/>
  <c r="O117" i="9" s="1"/>
  <c r="O108" i="9"/>
  <c r="O123" i="9" s="1"/>
  <c r="O124" i="9" s="1"/>
  <c r="O99" i="9"/>
  <c r="O114" i="9" s="1"/>
  <c r="O115" i="9" s="1"/>
  <c r="O48" i="9"/>
  <c r="O51" i="9"/>
  <c r="O50" i="9"/>
  <c r="O142" i="9" s="1"/>
  <c r="O143" i="9" s="1"/>
  <c r="O49" i="9"/>
  <c r="O140" i="9" s="1"/>
  <c r="O141" i="9" s="1"/>
  <c r="O28" i="9"/>
  <c r="O52" i="9"/>
  <c r="Q79" i="9"/>
  <c r="Q78" i="9"/>
  <c r="Q92" i="9"/>
  <c r="Q62" i="9"/>
  <c r="Q91" i="9"/>
  <c r="Q74" i="9"/>
  <c r="Q89" i="9"/>
  <c r="Q61" i="9"/>
  <c r="Q75" i="9"/>
  <c r="Q90" i="9"/>
  <c r="Q63" i="9"/>
  <c r="Q60" i="9"/>
  <c r="Q93" i="9"/>
  <c r="Q77" i="9"/>
  <c r="Q76" i="9"/>
  <c r="Q65" i="9"/>
  <c r="Q64" i="9"/>
  <c r="Q88" i="9"/>
  <c r="M25" i="9" l="1"/>
  <c r="N51" i="9"/>
  <c r="N48" i="9"/>
  <c r="N50" i="9"/>
  <c r="N142" i="9" s="1"/>
  <c r="N143" i="9" s="1"/>
  <c r="N49" i="9"/>
  <c r="N140" i="9" s="1"/>
  <c r="N141" i="9" s="1"/>
  <c r="N100" i="9"/>
  <c r="N116" i="9" s="1"/>
  <c r="N117" i="9" s="1"/>
  <c r="N52" i="9"/>
  <c r="N99" i="9"/>
  <c r="N114" i="9" s="1"/>
  <c r="N115" i="9" s="1"/>
  <c r="N28" i="9"/>
  <c r="N30" i="9" s="1"/>
  <c r="N110" i="9"/>
  <c r="N127" i="9" s="1"/>
  <c r="N128" i="9" s="1"/>
  <c r="N47" i="9"/>
  <c r="N138" i="9" s="1"/>
  <c r="N139" i="9" s="1"/>
  <c r="N109" i="9"/>
  <c r="N125" i="9" s="1"/>
  <c r="N126" i="9" s="1"/>
  <c r="N102" i="9"/>
  <c r="N120" i="9" s="1"/>
  <c r="N121" i="9" s="1"/>
  <c r="N108" i="9"/>
  <c r="N123" i="9" s="1"/>
  <c r="N124" i="9" s="1"/>
  <c r="N111" i="9"/>
  <c r="N129" i="9" s="1"/>
  <c r="N130" i="9" s="1"/>
  <c r="N101" i="9"/>
  <c r="N118" i="9" s="1"/>
  <c r="N119" i="9" s="1"/>
  <c r="P79" i="9"/>
  <c r="P89" i="9"/>
  <c r="P61" i="9"/>
  <c r="P63" i="9"/>
  <c r="P64" i="9"/>
  <c r="P88" i="9"/>
  <c r="P62" i="9"/>
  <c r="P91" i="9"/>
  <c r="P65" i="9"/>
  <c r="P78" i="9"/>
  <c r="P90" i="9"/>
  <c r="P93" i="9"/>
  <c r="P76" i="9"/>
  <c r="P92" i="9"/>
  <c r="P75" i="9"/>
  <c r="P77" i="9"/>
  <c r="P60" i="9"/>
  <c r="P74" i="9"/>
  <c r="O29" i="9"/>
  <c r="O89" i="9" l="1"/>
  <c r="O60" i="9"/>
  <c r="O64" i="9"/>
  <c r="O62" i="9"/>
  <c r="O91" i="9"/>
  <c r="O93" i="9"/>
  <c r="O63" i="9"/>
  <c r="O61" i="9"/>
  <c r="O79" i="9"/>
  <c r="O88" i="9"/>
  <c r="O90" i="9"/>
  <c r="O65" i="9"/>
  <c r="O78" i="9"/>
  <c r="O77" i="9"/>
  <c r="O92" i="9"/>
  <c r="O75" i="9"/>
  <c r="O76" i="9"/>
  <c r="O74" i="9"/>
  <c r="L25" i="9"/>
  <c r="M111" i="9"/>
  <c r="M129" i="9" s="1"/>
  <c r="M130" i="9" s="1"/>
  <c r="M47" i="9"/>
  <c r="M138" i="9" s="1"/>
  <c r="M139" i="9" s="1"/>
  <c r="M102" i="9"/>
  <c r="M120" i="9" s="1"/>
  <c r="M121" i="9" s="1"/>
  <c r="M108" i="9"/>
  <c r="M123" i="9" s="1"/>
  <c r="M124" i="9" s="1"/>
  <c r="M99" i="9"/>
  <c r="M114" i="9" s="1"/>
  <c r="M115" i="9" s="1"/>
  <c r="M101" i="9"/>
  <c r="M118" i="9" s="1"/>
  <c r="M119" i="9" s="1"/>
  <c r="M100" i="9"/>
  <c r="M116" i="9" s="1"/>
  <c r="M117" i="9" s="1"/>
  <c r="M52" i="9"/>
  <c r="M48" i="9"/>
  <c r="M50" i="9"/>
  <c r="M142" i="9" s="1"/>
  <c r="M143" i="9" s="1"/>
  <c r="M51" i="9"/>
  <c r="M49" i="9"/>
  <c r="M140" i="9" s="1"/>
  <c r="M141" i="9" s="1"/>
  <c r="M28" i="9"/>
  <c r="M30" i="9" s="1"/>
  <c r="M110" i="9"/>
  <c r="M127" i="9" s="1"/>
  <c r="M128" i="9" s="1"/>
  <c r="M109" i="9"/>
  <c r="M125" i="9" s="1"/>
  <c r="M126" i="9" s="1"/>
  <c r="N29" i="9"/>
  <c r="M29" i="9" l="1"/>
  <c r="N93" i="9"/>
  <c r="N61" i="9"/>
  <c r="N79" i="9"/>
  <c r="N62" i="9"/>
  <c r="N89" i="9"/>
  <c r="N65" i="9"/>
  <c r="N88" i="9"/>
  <c r="N91" i="9"/>
  <c r="N76" i="9"/>
  <c r="N92" i="9"/>
  <c r="N64" i="9"/>
  <c r="N74" i="9"/>
  <c r="N63" i="9"/>
  <c r="N60" i="9"/>
  <c r="N90" i="9"/>
  <c r="N77" i="9"/>
  <c r="N75" i="9"/>
  <c r="N78" i="9"/>
  <c r="K25" i="9"/>
  <c r="L50" i="9"/>
  <c r="L142" i="9" s="1"/>
  <c r="L143" i="9" s="1"/>
  <c r="L111" i="9"/>
  <c r="L129" i="9" s="1"/>
  <c r="L130" i="9" s="1"/>
  <c r="L110" i="9"/>
  <c r="L127" i="9" s="1"/>
  <c r="L128" i="9" s="1"/>
  <c r="L99" i="9"/>
  <c r="L114" i="9" s="1"/>
  <c r="L115" i="9" s="1"/>
  <c r="L102" i="9"/>
  <c r="L120" i="9" s="1"/>
  <c r="L121" i="9" s="1"/>
  <c r="L109" i="9"/>
  <c r="L125" i="9" s="1"/>
  <c r="L126" i="9" s="1"/>
  <c r="L108" i="9"/>
  <c r="L123" i="9" s="1"/>
  <c r="L124" i="9" s="1"/>
  <c r="L101" i="9"/>
  <c r="L118" i="9" s="1"/>
  <c r="L119" i="9" s="1"/>
  <c r="L100" i="9"/>
  <c r="L116" i="9" s="1"/>
  <c r="L117" i="9" s="1"/>
  <c r="L51" i="9"/>
  <c r="L49" i="9"/>
  <c r="L140" i="9" s="1"/>
  <c r="L141" i="9" s="1"/>
  <c r="L47" i="9"/>
  <c r="L138" i="9" s="1"/>
  <c r="L139" i="9" s="1"/>
  <c r="L52" i="9"/>
  <c r="L48" i="9"/>
  <c r="L28" i="9"/>
  <c r="L30" i="9" s="1"/>
  <c r="L29" i="9" l="1"/>
  <c r="M64" i="9"/>
  <c r="M79" i="9"/>
  <c r="M74" i="9"/>
  <c r="M75" i="9"/>
  <c r="M93" i="9"/>
  <c r="M89" i="9"/>
  <c r="M78" i="9"/>
  <c r="M92" i="9"/>
  <c r="M61" i="9"/>
  <c r="M88" i="9"/>
  <c r="M76" i="9"/>
  <c r="M65" i="9"/>
  <c r="M90" i="9"/>
  <c r="M62" i="9"/>
  <c r="M60" i="9"/>
  <c r="M91" i="9"/>
  <c r="M77" i="9"/>
  <c r="M63" i="9"/>
  <c r="J25" i="9"/>
  <c r="K28" i="9"/>
  <c r="K30" i="9" s="1"/>
  <c r="K50" i="9"/>
  <c r="K142" i="9" s="1"/>
  <c r="K143" i="9" s="1"/>
  <c r="K100" i="9"/>
  <c r="K116" i="9" s="1"/>
  <c r="K117" i="9" s="1"/>
  <c r="K111" i="9"/>
  <c r="K129" i="9" s="1"/>
  <c r="K130" i="9" s="1"/>
  <c r="K110" i="9"/>
  <c r="K127" i="9" s="1"/>
  <c r="K128" i="9" s="1"/>
  <c r="K108" i="9"/>
  <c r="K123" i="9" s="1"/>
  <c r="K124" i="9" s="1"/>
  <c r="K99" i="9"/>
  <c r="K114" i="9" s="1"/>
  <c r="K115" i="9" s="1"/>
  <c r="K102" i="9"/>
  <c r="K120" i="9" s="1"/>
  <c r="K121" i="9" s="1"/>
  <c r="K109" i="9"/>
  <c r="K125" i="9" s="1"/>
  <c r="K126" i="9" s="1"/>
  <c r="K101" i="9"/>
  <c r="K118" i="9" s="1"/>
  <c r="K119" i="9" s="1"/>
  <c r="K51" i="9"/>
  <c r="K49" i="9"/>
  <c r="K140" i="9" s="1"/>
  <c r="K141" i="9" s="1"/>
  <c r="K47" i="9"/>
  <c r="K138" i="9" s="1"/>
  <c r="K139" i="9" s="1"/>
  <c r="K52" i="9"/>
  <c r="K48" i="9"/>
  <c r="K29" i="9" l="1"/>
  <c r="I25" i="9"/>
  <c r="J48" i="9"/>
  <c r="J51" i="9"/>
  <c r="J28" i="9"/>
  <c r="J30" i="9" s="1"/>
  <c r="J50" i="9"/>
  <c r="J142" i="9" s="1"/>
  <c r="J143" i="9" s="1"/>
  <c r="J49" i="9"/>
  <c r="J140" i="9" s="1"/>
  <c r="J141" i="9" s="1"/>
  <c r="J47" i="9"/>
  <c r="J138" i="9" s="1"/>
  <c r="J139" i="9" s="1"/>
  <c r="J111" i="9"/>
  <c r="J129" i="9" s="1"/>
  <c r="J130" i="9" s="1"/>
  <c r="J110" i="9"/>
  <c r="J127" i="9" s="1"/>
  <c r="J128" i="9" s="1"/>
  <c r="J100" i="9"/>
  <c r="J116" i="9" s="1"/>
  <c r="J117" i="9" s="1"/>
  <c r="J108" i="9"/>
  <c r="J123" i="9" s="1"/>
  <c r="J124" i="9" s="1"/>
  <c r="J99" i="9"/>
  <c r="J114" i="9" s="1"/>
  <c r="J115" i="9" s="1"/>
  <c r="J102" i="9"/>
  <c r="J120" i="9" s="1"/>
  <c r="J121" i="9" s="1"/>
  <c r="J109" i="9"/>
  <c r="J125" i="9" s="1"/>
  <c r="J126" i="9" s="1"/>
  <c r="J101" i="9"/>
  <c r="J118" i="9" s="1"/>
  <c r="J119" i="9" s="1"/>
  <c r="J52" i="9"/>
  <c r="L64" i="9"/>
  <c r="L78" i="9"/>
  <c r="L79" i="9"/>
  <c r="L92" i="9"/>
  <c r="L93" i="9"/>
  <c r="L74" i="9"/>
  <c r="L61" i="9"/>
  <c r="L60" i="9"/>
  <c r="L62" i="9"/>
  <c r="L88" i="9"/>
  <c r="L76" i="9"/>
  <c r="L89" i="9"/>
  <c r="L63" i="9"/>
  <c r="L90" i="9"/>
  <c r="L77" i="9"/>
  <c r="L65" i="9"/>
  <c r="L91" i="9"/>
  <c r="L75" i="9"/>
  <c r="J29" i="9" l="1"/>
  <c r="H25" i="9"/>
  <c r="I102" i="9"/>
  <c r="I120" i="9" s="1"/>
  <c r="I121" i="9" s="1"/>
  <c r="I28" i="9"/>
  <c r="I30" i="9" s="1"/>
  <c r="I48" i="9"/>
  <c r="I47" i="9"/>
  <c r="I138" i="9" s="1"/>
  <c r="I139" i="9" s="1"/>
  <c r="I111" i="9"/>
  <c r="I129" i="9" s="1"/>
  <c r="I130" i="9" s="1"/>
  <c r="I109" i="9"/>
  <c r="I125" i="9" s="1"/>
  <c r="I126" i="9" s="1"/>
  <c r="I100" i="9"/>
  <c r="I116" i="9" s="1"/>
  <c r="I117" i="9" s="1"/>
  <c r="I108" i="9"/>
  <c r="I123" i="9" s="1"/>
  <c r="I124" i="9" s="1"/>
  <c r="I51" i="9"/>
  <c r="I99" i="9"/>
  <c r="I114" i="9" s="1"/>
  <c r="I115" i="9" s="1"/>
  <c r="I110" i="9"/>
  <c r="I127" i="9" s="1"/>
  <c r="I128" i="9" s="1"/>
  <c r="I52" i="9"/>
  <c r="I101" i="9"/>
  <c r="I118" i="9" s="1"/>
  <c r="I119" i="9" s="1"/>
  <c r="I50" i="9"/>
  <c r="I142" i="9" s="1"/>
  <c r="I143" i="9" s="1"/>
  <c r="I49" i="9"/>
  <c r="I140" i="9" s="1"/>
  <c r="I141" i="9" s="1"/>
  <c r="K89" i="9"/>
  <c r="K75" i="9"/>
  <c r="K92" i="9"/>
  <c r="K65" i="9"/>
  <c r="K62" i="9"/>
  <c r="K60" i="9"/>
  <c r="K91" i="9"/>
  <c r="K76" i="9"/>
  <c r="K93" i="9"/>
  <c r="K63" i="9"/>
  <c r="K79" i="9"/>
  <c r="K78" i="9"/>
  <c r="K74" i="9"/>
  <c r="K88" i="9"/>
  <c r="K64" i="9"/>
  <c r="K90" i="9"/>
  <c r="K77" i="9"/>
  <c r="K61" i="9"/>
  <c r="I29" i="9" l="1"/>
  <c r="G25" i="9"/>
  <c r="H50" i="9"/>
  <c r="H142" i="9" s="1"/>
  <c r="H143" i="9" s="1"/>
  <c r="H51" i="9"/>
  <c r="H48" i="9"/>
  <c r="H108" i="9"/>
  <c r="H123" i="9" s="1"/>
  <c r="H124" i="9" s="1"/>
  <c r="H111" i="9"/>
  <c r="H129" i="9" s="1"/>
  <c r="H130" i="9" s="1"/>
  <c r="H109" i="9"/>
  <c r="H125" i="9" s="1"/>
  <c r="H126" i="9" s="1"/>
  <c r="H100" i="9"/>
  <c r="H116" i="9" s="1"/>
  <c r="H117" i="9" s="1"/>
  <c r="H99" i="9"/>
  <c r="H114" i="9" s="1"/>
  <c r="H115" i="9" s="1"/>
  <c r="H110" i="9"/>
  <c r="H127" i="9" s="1"/>
  <c r="H128" i="9" s="1"/>
  <c r="H101" i="9"/>
  <c r="H118" i="9" s="1"/>
  <c r="H119" i="9" s="1"/>
  <c r="H102" i="9"/>
  <c r="H120" i="9" s="1"/>
  <c r="H121" i="9" s="1"/>
  <c r="H52" i="9"/>
  <c r="H49" i="9"/>
  <c r="H140" i="9" s="1"/>
  <c r="H141" i="9" s="1"/>
  <c r="H47" i="9"/>
  <c r="H138" i="9" s="1"/>
  <c r="H139" i="9" s="1"/>
  <c r="H28" i="9"/>
  <c r="H30" i="9" s="1"/>
  <c r="J92" i="9"/>
  <c r="J90" i="9"/>
  <c r="J89" i="9"/>
  <c r="J60" i="9"/>
  <c r="J65" i="9"/>
  <c r="J91" i="9"/>
  <c r="J64" i="9"/>
  <c r="J61" i="9"/>
  <c r="J93" i="9"/>
  <c r="J63" i="9"/>
  <c r="J79" i="9"/>
  <c r="J75" i="9"/>
  <c r="J78" i="9"/>
  <c r="J62" i="9"/>
  <c r="J77" i="9"/>
  <c r="J88" i="9"/>
  <c r="J76" i="9"/>
  <c r="J74" i="9"/>
  <c r="H29" i="9" l="1"/>
  <c r="F25" i="9"/>
  <c r="G109" i="9"/>
  <c r="G125" i="9" s="1"/>
  <c r="G126" i="9" s="1"/>
  <c r="G108" i="9"/>
  <c r="G123" i="9" s="1"/>
  <c r="G124" i="9" s="1"/>
  <c r="G100" i="9"/>
  <c r="G116" i="9" s="1"/>
  <c r="G117" i="9" s="1"/>
  <c r="G99" i="9"/>
  <c r="G114" i="9" s="1"/>
  <c r="G115" i="9" s="1"/>
  <c r="G110" i="9"/>
  <c r="G127" i="9" s="1"/>
  <c r="G128" i="9" s="1"/>
  <c r="G49" i="9"/>
  <c r="G140" i="9" s="1"/>
  <c r="G141" i="9" s="1"/>
  <c r="G52" i="9"/>
  <c r="G47" i="9"/>
  <c r="G138" i="9" s="1"/>
  <c r="G139" i="9" s="1"/>
  <c r="G48" i="9"/>
  <c r="G51" i="9"/>
  <c r="G28" i="9"/>
  <c r="G30" i="9" s="1"/>
  <c r="G50" i="9"/>
  <c r="G142" i="9" s="1"/>
  <c r="G143" i="9" s="1"/>
  <c r="G102" i="9"/>
  <c r="G120" i="9" s="1"/>
  <c r="G121" i="9" s="1"/>
  <c r="G101" i="9"/>
  <c r="G118" i="9" s="1"/>
  <c r="G119" i="9" s="1"/>
  <c r="G111" i="9"/>
  <c r="G129" i="9" s="1"/>
  <c r="G130" i="9" s="1"/>
  <c r="I78" i="9"/>
  <c r="I88" i="9"/>
  <c r="I77" i="9"/>
  <c r="I64" i="9"/>
  <c r="I93" i="9"/>
  <c r="I60" i="9"/>
  <c r="I74" i="9"/>
  <c r="I89" i="9"/>
  <c r="I90" i="9"/>
  <c r="I76" i="9"/>
  <c r="I92" i="9"/>
  <c r="I79" i="9"/>
  <c r="I65" i="9"/>
  <c r="I63" i="9"/>
  <c r="I91" i="9"/>
  <c r="I75" i="9"/>
  <c r="I62" i="9"/>
  <c r="I61" i="9"/>
  <c r="E25" i="9" l="1"/>
  <c r="F111" i="9"/>
  <c r="F129" i="9" s="1"/>
  <c r="F130" i="9" s="1"/>
  <c r="F47" i="9"/>
  <c r="F138" i="9" s="1"/>
  <c r="F139" i="9" s="1"/>
  <c r="F49" i="9"/>
  <c r="F140" i="9" s="1"/>
  <c r="F141" i="9" s="1"/>
  <c r="F48" i="9"/>
  <c r="F28" i="9"/>
  <c r="F30" i="9" s="1"/>
  <c r="F108" i="9"/>
  <c r="F123" i="9" s="1"/>
  <c r="F124" i="9" s="1"/>
  <c r="F101" i="9"/>
  <c r="F118" i="9" s="1"/>
  <c r="F119" i="9" s="1"/>
  <c r="F109" i="9"/>
  <c r="F125" i="9" s="1"/>
  <c r="F126" i="9" s="1"/>
  <c r="F100" i="9"/>
  <c r="F116" i="9" s="1"/>
  <c r="F117" i="9" s="1"/>
  <c r="F99" i="9"/>
  <c r="F114" i="9" s="1"/>
  <c r="F115" i="9" s="1"/>
  <c r="F110" i="9"/>
  <c r="F127" i="9" s="1"/>
  <c r="F128" i="9" s="1"/>
  <c r="F102" i="9"/>
  <c r="F120" i="9" s="1"/>
  <c r="F121" i="9" s="1"/>
  <c r="F52" i="9"/>
  <c r="F51" i="9"/>
  <c r="F50" i="9"/>
  <c r="F142" i="9" s="1"/>
  <c r="F143" i="9" s="1"/>
  <c r="H63" i="9"/>
  <c r="H61" i="9"/>
  <c r="H60" i="9"/>
  <c r="H88" i="9"/>
  <c r="H91" i="9"/>
  <c r="H89" i="9"/>
  <c r="H76" i="9"/>
  <c r="H65" i="9"/>
  <c r="H92" i="9"/>
  <c r="H78" i="9"/>
  <c r="H93" i="9"/>
  <c r="H64" i="9"/>
  <c r="H90" i="9"/>
  <c r="H79" i="9"/>
  <c r="H62" i="9"/>
  <c r="H77" i="9"/>
  <c r="H75" i="9"/>
  <c r="H74" i="9"/>
  <c r="G29" i="9"/>
  <c r="F29" i="9" l="1"/>
  <c r="G61" i="9"/>
  <c r="G60" i="9"/>
  <c r="G76" i="9"/>
  <c r="G89" i="9"/>
  <c r="G78" i="9"/>
  <c r="G90" i="9"/>
  <c r="G64" i="9"/>
  <c r="G75" i="9"/>
  <c r="G91" i="9"/>
  <c r="G63" i="9"/>
  <c r="G92" i="9"/>
  <c r="G77" i="9"/>
  <c r="G93" i="9"/>
  <c r="G65" i="9"/>
  <c r="G62" i="9"/>
  <c r="G79" i="9"/>
  <c r="G88" i="9"/>
  <c r="G74" i="9"/>
  <c r="D25" i="9"/>
  <c r="E30" i="9"/>
  <c r="E109" i="9"/>
  <c r="E125" i="9" s="1"/>
  <c r="E126" i="9" s="1"/>
  <c r="E48" i="9"/>
  <c r="E108" i="9"/>
  <c r="E123" i="9" s="1"/>
  <c r="E124" i="9" s="1"/>
  <c r="E101" i="9"/>
  <c r="E118" i="9" s="1"/>
  <c r="E119" i="9" s="1"/>
  <c r="E100" i="9"/>
  <c r="E116" i="9" s="1"/>
  <c r="E117" i="9" s="1"/>
  <c r="E111" i="9"/>
  <c r="E129" i="9" s="1"/>
  <c r="E130" i="9" s="1"/>
  <c r="E99" i="9"/>
  <c r="E114" i="9" s="1"/>
  <c r="E115" i="9" s="1"/>
  <c r="E110" i="9"/>
  <c r="E127" i="9" s="1"/>
  <c r="E128" i="9" s="1"/>
  <c r="E102" i="9"/>
  <c r="E120" i="9" s="1"/>
  <c r="E121" i="9" s="1"/>
  <c r="E50" i="9"/>
  <c r="E142" i="9" s="1"/>
  <c r="E143" i="9" s="1"/>
  <c r="E47" i="9"/>
  <c r="E138" i="9" s="1"/>
  <c r="E139" i="9" s="1"/>
  <c r="E49" i="9"/>
  <c r="E140" i="9" s="1"/>
  <c r="E141" i="9" s="1"/>
  <c r="E52" i="9"/>
  <c r="E51" i="9"/>
  <c r="E28" i="9"/>
  <c r="D30" i="9" l="1"/>
  <c r="C29" i="9" s="1"/>
  <c r="D101" i="9"/>
  <c r="D118" i="9" s="1"/>
  <c r="D119" i="9" s="1"/>
  <c r="CI119" i="9" s="1"/>
  <c r="D109" i="9"/>
  <c r="D125" i="9" s="1"/>
  <c r="D126" i="9" s="1"/>
  <c r="CI126" i="9" s="1"/>
  <c r="CK126" i="9" s="1"/>
  <c r="D110" i="9"/>
  <c r="D127" i="9" s="1"/>
  <c r="D128" i="9" s="1"/>
  <c r="CI128" i="9" s="1"/>
  <c r="CK128" i="9" s="1"/>
  <c r="D102" i="9"/>
  <c r="D120" i="9" s="1"/>
  <c r="D121" i="9" s="1"/>
  <c r="CI121" i="9" s="1"/>
  <c r="D108" i="9"/>
  <c r="D123" i="9" s="1"/>
  <c r="D124" i="9" s="1"/>
  <c r="CI124" i="9" s="1"/>
  <c r="D111" i="9"/>
  <c r="D129" i="9" s="1"/>
  <c r="D130" i="9" s="1"/>
  <c r="CI130" i="9" s="1"/>
  <c r="CK130" i="9" s="1"/>
  <c r="D99" i="9"/>
  <c r="D114" i="9" s="1"/>
  <c r="D115" i="9" s="1"/>
  <c r="CI115" i="9" s="1"/>
  <c r="D100" i="9"/>
  <c r="D116" i="9" s="1"/>
  <c r="D117" i="9" s="1"/>
  <c r="CI117" i="9" s="1"/>
  <c r="D52" i="9"/>
  <c r="CK52" i="9" s="1"/>
  <c r="CJ52" i="9" s="1"/>
  <c r="CI52" i="9" s="1"/>
  <c r="D50" i="9"/>
  <c r="D77" i="9" s="1"/>
  <c r="D48" i="9"/>
  <c r="CK48" i="9" s="1"/>
  <c r="CJ48" i="9" s="1"/>
  <c r="CI48" i="9" s="1"/>
  <c r="D47" i="9"/>
  <c r="D49" i="9"/>
  <c r="D62" i="9" s="1"/>
  <c r="D51" i="9"/>
  <c r="CK51" i="9" s="1"/>
  <c r="CJ51" i="9" s="1"/>
  <c r="CI51" i="9" s="1"/>
  <c r="D28" i="9"/>
  <c r="F61" i="9"/>
  <c r="F78" i="9"/>
  <c r="F88" i="9"/>
  <c r="F64" i="9"/>
  <c r="F90" i="9"/>
  <c r="F60" i="9"/>
  <c r="F91" i="9"/>
  <c r="F74" i="9"/>
  <c r="F92" i="9"/>
  <c r="F93" i="9"/>
  <c r="F65" i="9"/>
  <c r="F76" i="9"/>
  <c r="F75" i="9"/>
  <c r="F89" i="9"/>
  <c r="F62" i="9"/>
  <c r="F79" i="9"/>
  <c r="F77" i="9"/>
  <c r="F63" i="9"/>
  <c r="D29" i="9"/>
  <c r="E29" i="9"/>
  <c r="CH51" i="9" a="1"/>
  <c r="CH52" i="9" a="1"/>
  <c r="CH48" i="9" a="1"/>
  <c r="D88" i="9" l="1"/>
  <c r="D61" i="9"/>
  <c r="D64" i="9"/>
  <c r="CH48" i="9"/>
  <c r="CH52" i="9"/>
  <c r="CH51" i="9"/>
  <c r="D91" i="9"/>
  <c r="CJ115" i="9"/>
  <c r="CK115" i="9" s="1"/>
  <c r="CJ124" i="9"/>
  <c r="CK124" i="9" s="1"/>
  <c r="D76" i="9"/>
  <c r="D138" i="9"/>
  <c r="D139" i="9" s="1"/>
  <c r="CI139" i="9" s="1"/>
  <c r="CJ152" i="9" s="1"/>
  <c r="CK47" i="9"/>
  <c r="CJ47" i="9" s="1"/>
  <c r="CI47" i="9" s="1"/>
  <c r="D74" i="9"/>
  <c r="D79" i="9"/>
  <c r="D65" i="9"/>
  <c r="D140" i="9"/>
  <c r="D141" i="9" s="1"/>
  <c r="CI141" i="9" s="1"/>
  <c r="CK49" i="9"/>
  <c r="CJ49" i="9" s="1"/>
  <c r="CI49" i="9" s="1"/>
  <c r="E65" i="9"/>
  <c r="E77" i="9"/>
  <c r="E90" i="9"/>
  <c r="E61" i="9"/>
  <c r="CH61" i="9" s="1" a="1"/>
  <c r="CH61" i="9" s="1"/>
  <c r="D233" i="9" s="1"/>
  <c r="D234" i="9" s="1"/>
  <c r="E89" i="9"/>
  <c r="E60" i="9"/>
  <c r="E92" i="9"/>
  <c r="E79" i="9"/>
  <c r="E63" i="9"/>
  <c r="E62" i="9"/>
  <c r="CH62" i="9" s="1" a="1"/>
  <c r="CH62" i="9" s="1"/>
  <c r="E233" i="9" s="1"/>
  <c r="E234" i="9" s="1"/>
  <c r="E74" i="9"/>
  <c r="E64" i="9"/>
  <c r="CH64" i="9" s="1" a="1"/>
  <c r="CH64" i="9" s="1"/>
  <c r="G233" i="9" s="1"/>
  <c r="G234" i="9" s="1"/>
  <c r="E93" i="9"/>
  <c r="E76" i="9"/>
  <c r="E75" i="9"/>
  <c r="E88" i="9"/>
  <c r="E91" i="9"/>
  <c r="E78" i="9"/>
  <c r="D78" i="9"/>
  <c r="D93" i="9"/>
  <c r="D92" i="9"/>
  <c r="D142" i="9"/>
  <c r="D143" i="9" s="1"/>
  <c r="CI143" i="9" s="1"/>
  <c r="CK50" i="9"/>
  <c r="CJ50" i="9" s="1"/>
  <c r="CI50" i="9" s="1"/>
  <c r="D90" i="9"/>
  <c r="D75" i="9"/>
  <c r="D63" i="9"/>
  <c r="D89" i="9"/>
  <c r="D60" i="9"/>
  <c r="CH49" i="9" a="1"/>
  <c r="CH47" i="9" a="1"/>
  <c r="CH50" i="9" a="1"/>
  <c r="CH88" i="9" l="1" a="1"/>
  <c r="CH88" i="9" s="1"/>
  <c r="CH49" i="9"/>
  <c r="CH50" i="9"/>
  <c r="CH47" i="9"/>
  <c r="CH92" i="9" a="1"/>
  <c r="CH92" i="9" s="1"/>
  <c r="S233" i="9" s="1"/>
  <c r="S234" i="9" s="1"/>
  <c r="O233" i="9"/>
  <c r="O234" i="9" s="1"/>
  <c r="CJ151" i="9"/>
  <c r="CJ153" i="9"/>
  <c r="CH78" i="9" a="1"/>
  <c r="CH78" i="9" s="1"/>
  <c r="M233" i="9" s="1"/>
  <c r="M234" i="9" s="1"/>
  <c r="CH65" i="9" a="1"/>
  <c r="CH65" i="9" s="1"/>
  <c r="H233" i="9" s="1"/>
  <c r="H234" i="9" s="1"/>
  <c r="CH79" i="9" a="1"/>
  <c r="CH79" i="9" s="1"/>
  <c r="N233" i="9" s="1"/>
  <c r="N234" i="9" s="1"/>
  <c r="CH77" i="9" a="1"/>
  <c r="CH77" i="9" s="1"/>
  <c r="L233" i="9" s="1"/>
  <c r="L234" i="9" s="1"/>
  <c r="CJ154" i="9"/>
  <c r="CJ150" i="9"/>
  <c r="CH74" i="9" a="1"/>
  <c r="CH74" i="9" s="1"/>
  <c r="I233" i="9" s="1"/>
  <c r="I234" i="9" s="1"/>
  <c r="CH76" i="9" a="1"/>
  <c r="CH76" i="9" s="1"/>
  <c r="K233" i="9" s="1"/>
  <c r="K234" i="9" s="1"/>
  <c r="CH93" i="9" a="1"/>
  <c r="CH93" i="9" s="1"/>
  <c r="T233" i="9" s="1"/>
  <c r="T234" i="9" s="1"/>
  <c r="CH89" i="9" a="1"/>
  <c r="CH89" i="9" s="1"/>
  <c r="P233" i="9" s="1"/>
  <c r="P234" i="9" s="1"/>
  <c r="CH90" i="9" a="1"/>
  <c r="CH90" i="9" s="1"/>
  <c r="Q233" i="9" s="1"/>
  <c r="Q234" i="9" s="1"/>
  <c r="CH91" i="9" a="1"/>
  <c r="CH91" i="9" s="1"/>
  <c r="R233" i="9" s="1"/>
  <c r="R234" i="9" s="1"/>
  <c r="CH60" i="9" a="1"/>
  <c r="CH60" i="9" s="1"/>
  <c r="C233" i="9" s="1"/>
  <c r="C234" i="9" s="1"/>
  <c r="CH63" i="9" a="1"/>
  <c r="CH63" i="9" s="1"/>
  <c r="F233" i="9" s="1"/>
  <c r="F234" i="9" s="1"/>
  <c r="CH75" i="9" a="1"/>
  <c r="CH75" i="9" s="1"/>
  <c r="J233" i="9" s="1"/>
  <c r="J234"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0" authorId="0" shapeId="0" xr:uid="{00000000-0006-0000-0100-000001000000}">
      <text>
        <r>
          <rPr>
            <sz val="10"/>
            <rFont val="Arial"/>
            <family val="2"/>
          </rPr>
          <t>rev0.6 correction
C.8 : with morphing the worst LOW equivalent input is the HB side of the morphing threshold, VHVPK_BIH/sqrt2 = 173.24 Vac - not a 165..180 range.
was: =IF('Design Spec'!D80=0,IF(2*D13&gt;IF(165&gt;D14/2,165,D14/2),_xlfn.CONCAT(IF(165&gt;D14/2,165,_xlfn.FLOOR.MATH(D14/2)),"-",2*D13),2*D13),D13)</t>
        </r>
      </text>
    </comment>
    <comment ref="F20" authorId="0" shapeId="0" xr:uid="{00000000-0006-0000-0100-000003000000}">
      <text>
        <r>
          <rPr>
            <sz val="10"/>
            <rFont val="Arial"/>
            <family val="2"/>
          </rPr>
          <t>rev0.6 correction
C.8 : selected value must follow the corrected D20 (173.24 Vac).
was: 180</t>
        </r>
      </text>
    </comment>
    <comment ref="D81" authorId="0" shapeId="0" xr:uid="{00000000-0006-0000-0100-000002000000}">
      <text>
        <r>
          <rPr>
            <sz val="10"/>
            <rFont val="Arial"/>
            <family val="2"/>
          </rPr>
          <t>rev0.6 correction
C.8 NEW : highest equivalent input = FB side of the morphing threshold, 2*VHVPK_BOH/sqrt2 = 332.34 Vac. This corner fixes the MAXIMUM operating frequency (240.9 kHz), which the tool never evaluates.
was: None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7" authorId="0" shapeId="0" xr:uid="{00000000-0006-0000-0200-000001000000}">
      <text>
        <r>
          <rPr>
            <sz val="10"/>
            <rFont val="Arial"/>
            <family val="2"/>
          </rPr>
          <t>rev0.6 correction
NEW : D17 is used downstream AS eta.HB, but computed Pout/(Pout+Pd.rect+Pd.LLC) = eta.rect*eta.HB. Identical only while Vrect = 0.
was: =('Design Spec'!D98)/('Design Spec'!D98+('Preliminary Calculation'!D13+'Preliminary Calculation'!D12))*100</t>
        </r>
      </text>
    </comment>
    <comment ref="D19" authorId="0" shapeId="0" xr:uid="{00000000-0006-0000-0200-000002000000}">
      <text>
        <r>
          <rPr>
            <sz val="10"/>
            <rFont val="Arial"/>
            <family val="2"/>
          </rPr>
          <t>rev0.6 correction
NEW : keep eta.tot = eta.HB * eta.rect * eta.ac after the D17 correction.
was: =D17*D18/100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9" authorId="0" shapeId="0" xr:uid="{00000000-0006-0000-0300-000001000000}">
      <text>
        <r>
          <rPr>
            <sz val="10"/>
            <rFont val="Arial"/>
            <family val="2"/>
          </rPr>
          <t>rev0.6 correction
C.5 : the rectifier drop is already counted Nrect times in the numerator; dividing by Nrect again doubles n. Physical Np/Ns = n*Vo.eff/(Vout+Nrect*Vrect).
was: =(SQRT(2)*'Design Spec'!D89)/(2*(('Design Spec'!D95+'Design Spec'!D107*'Design Spec'!D106)/'Design Spec'!D107))</t>
        </r>
      </text>
    </comment>
    <comment ref="F9" authorId="0" shapeId="0" xr:uid="{00000000-0006-0000-0300-000008000000}">
      <text>
        <r>
          <rPr>
            <sz val="10"/>
            <rFont val="Arial"/>
            <family val="2"/>
          </rPr>
          <t>rev0.6 correction
C.5 : selected turns ratio follows the corrected D9 (2.519 -&gt; 2.5).
was: 5</t>
        </r>
      </text>
    </comment>
    <comment ref="D10" authorId="0" shapeId="0" xr:uid="{00000000-0006-0000-0300-000002000000}">
      <text>
        <r>
          <rPr>
            <sz val="10"/>
            <rFont val="Arial"/>
            <family val="2"/>
          </rPr>
          <t>rev0.6 correction
C.5 : reflected output voltage is (Vout+Nrect*Vrect), not divided by Nrect.
was: =2*IF(F9,F9,D9)*(('Design Spec'!D95+'Design Spec'!D107*'Design Spec'!D106)/'Design Spec'!D107)/(SQRT(2)*'Design Spec'!D83)</t>
        </r>
      </text>
    </comment>
    <comment ref="D11" authorId="0" shapeId="0" xr:uid="{00000000-0006-0000-0300-000003000000}">
      <text>
        <r>
          <rPr>
            <sz val="10"/>
            <rFont val="Arial"/>
            <family val="2"/>
          </rPr>
          <t>rev0.6 correction
C.5 : reflected output voltage is (Vout+Nrect*Vrect), not divided by Nrect.
was: =2*IF(F9,F9,D9)*(('Design Spec'!D95+'Design Spec'!D107*'Design Spec'!D106)/'Design Spec'!D107)/(SQRT(2)*'Design Spec'!D79)</t>
        </r>
      </text>
    </comment>
    <comment ref="D17" authorId="0" shapeId="0" xr:uid="{00000000-0006-0000-0300-000004000000}">
      <text>
        <r>
          <rPr>
            <sz val="10"/>
            <rFont val="Arial"/>
            <family val="2"/>
          </rPr>
          <t>rev0.6 correction
C.5 : reflected output voltage is (Vout+Nrect*Vrect), not divided by Nrect.
was: =((IF(F9,F9,D9))^2)*(4/((PI())^2))*(((('Design Spec'!D95+'Design Spec'!D107*'Design Spec'!D106)/'Design Spec'!D107)^2)/('Preliminary Calculation'!D10))</t>
        </r>
      </text>
    </comment>
    <comment ref="D20" authorId="0" shapeId="0" xr:uid="{00000000-0006-0000-0300-000005000000}">
      <text>
        <r>
          <rPr>
            <sz val="10"/>
            <rFont val="Arial"/>
            <family val="2"/>
          </rPr>
          <t>rev0.6 correction
C.5 : reflected output voltage is (Vout+Nrect*Vrect), not divided by Nrect.
was: =((SQRT((D16*(1+D16))))/(2*IF(F9,F9,D9)))*((SQRT(2)*'Design Spec'!D83)/((('Design Spec'!D95+'Design Spec'!D107*'Design Spec'!D106)/'Design Spec'!D107)))</t>
        </r>
      </text>
    </comment>
    <comment ref="D35" authorId="0" shapeId="0" xr:uid="{00000000-0006-0000-0300-000006000000}">
      <text>
        <r>
          <rPr>
            <sz val="10"/>
            <rFont val="Arial"/>
            <family val="2"/>
          </rPr>
          <t>rev0.6 correction
C.6 : at the line peak the instantaneous tank power is 2*Pout, not Pout. The tool value is exactly half.
was: =(PI()*'Design Spec'!D98)/(SQRT(2)*('Preliminary Calculation'!D17/100)*'Design Spec'!D83*COS('Res. Tank Design'!D29))</t>
        </r>
      </text>
    </comment>
    <comment ref="D60" authorId="0" shapeId="0" xr:uid="{00000000-0006-0000-0300-000007000000}">
      <text>
        <r>
          <rPr>
            <sz val="10"/>
            <rFont val="Arial"/>
            <family val="2"/>
          </rPr>
          <t>rev0.6 correction
C.6 : Vin must be the PEAK, not the rms value.
was: =(SQRT(2*(('Design Spec'!D111*(10^-12))/((IF(F44,F44,D44)+IF(F45,F45,D45))*(10^-6)))))*('Design Spec'!D83)</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40" authorId="0" shapeId="0" xr:uid="{00000000-0006-0000-0400-000001000000}">
      <text>
        <r>
          <rPr>
            <sz val="10"/>
            <rFont val="Arial"/>
            <family val="2"/>
          </rPr>
          <t>rev0.6 correction
C.8 : D37/D39 use fsw at theta=pi/2 (CC!E21) but D40 used CC!C21 (theta=pi/4).
was: =D28*D28*(((2*PI()*CC!C21*1000*D38*10^-6)/(D36/100))+(D27/1000)^-1)^-1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3" authorId="0" shapeId="0" xr:uid="{00000000-0006-0000-0500-000001000000}">
      <text>
        <r>
          <rPr>
            <sz val="10"/>
            <rFont val="Arial"/>
            <family val="2"/>
          </rPr>
          <t>rev0.6 correction
NEW (guide eq.[62]) : the outer MAX was missing, so the oscillator could be sized for a ceiling BELOW the real maximum operating frequency.
was: =MIN('Design Spec'!D104,D2*1.5)</t>
        </r>
      </text>
    </comment>
    <comment ref="D83" authorId="0" shapeId="0" xr:uid="{00000000-0006-0000-0500-000002000000}">
      <text>
        <r>
          <rPr>
            <sz val="10"/>
            <rFont val="Arial"/>
            <family val="2"/>
          </rPr>
          <t>rev0.6 correction
C.8 : the same sheet computes V.aux.OVP2 WITHOUT dividing by Nrect, so the limit was 2x too permissive. Correct upper bound = V.AUX.max / V.OVP2.out.
was: =D74/((D79/'Design Spec'!D107))</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5" authorId="0" shapeId="0" xr:uid="{00000000-0006-0000-0600-000001000000}">
      <text>
        <r>
          <rPr>
            <sz val="10"/>
            <rFont val="Arial"/>
            <family val="2"/>
          </rPr>
          <t>rev0.6 correction
C.8 : I.FB.max is the 300 uA datasheet minimum. D43 divides by CTR again, so CTR was applied twice (300 -&gt; 566 -&gt; 1068 uA).
was: =300/D31</t>
        </r>
      </text>
    </comment>
    <comment ref="D42" authorId="0" shapeId="0" xr:uid="{00000000-0006-0000-0600-000002000000}">
      <text>
        <r>
          <rPr>
            <sz val="10"/>
            <rFont val="Arial"/>
            <family val="2"/>
          </rPr>
          <t>rev0.6 correction
NEW / DS 5.2.12 : the denominator term is V_F/R_P, not I.min. They coincide only when R_P is chosen exactly at R_P,max.
was: =(D14-(D22+D28))/(((D16*10^-6)/D29)+(D23*10^-3))/1000</t>
        </r>
      </text>
    </comment>
    <comment ref="D43" authorId="0" shapeId="0" xr:uid="{00000000-0006-0000-0600-000003000000}">
      <text>
        <r>
          <rPr>
            <sz val="10"/>
            <rFont val="Arial"/>
            <family val="2"/>
          </rPr>
          <t>rev0.6 correction
C.8 + DS 5.2.12 : CTR applied once, and V_F/R_P instead of I.min.
was: =(D14-(D22+D28))/(((D15*10^-6)/D31)+(D23*10^-3))/1000</t>
        </r>
      </text>
    </comment>
    <comment ref="F43" authorId="0" shapeId="0" xr:uid="{00000000-0006-0000-0600-000004000000}">
      <text>
        <r>
          <rPr>
            <sz val="10"/>
            <rFont val="Arial"/>
            <family val="2"/>
          </rPr>
          <t>rev0.6 correction
C.8 : with the corrected window 6.27..7.13 kOhm, 4.7 kOhm is outside.
was: 4.7</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5" authorId="0" shapeId="0" xr:uid="{00000000-0006-0000-0900-000001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Spec'!$D$107=1,C24/2,C24/SQRT(2))</t>
        </r>
      </text>
    </comment>
    <comment ref="D25" authorId="0" shapeId="0" xr:uid="{00000000-0006-0000-0900-000004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Spec'!$D$107=1,D24/2,D24/SQRT(2))</t>
        </r>
      </text>
    </comment>
    <comment ref="E25" authorId="0" shapeId="0" xr:uid="{00000000-0006-0000-0900-000007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Spec'!$D$107=1,E24/2,E24/SQRT(2))</t>
        </r>
      </text>
    </comment>
    <comment ref="C26" authorId="0" shapeId="0" xr:uid="{00000000-0006-0000-0900-000002000000}">
      <text>
        <r>
          <rPr>
            <sz val="10"/>
            <rFont val="Arial"/>
            <family val="2"/>
          </rPr>
          <t>rev0.6 correction
C.6 : referenced D108 (Vf.BR) instead of D107 (rectifier configuration).
was: =IF('Design Spec'!$D$107=1,C25,C25/SQRT(2))</t>
        </r>
      </text>
    </comment>
    <comment ref="D26" authorId="0" shapeId="0" xr:uid="{00000000-0006-0000-0900-000005000000}">
      <text>
        <r>
          <rPr>
            <sz val="10"/>
            <rFont val="Arial"/>
            <family val="2"/>
          </rPr>
          <t>rev0.6 correction
C.6 : referenced D108 (Vf.BR) instead of D107 (rectifier configuration).
was: =IF('Design Spec'!$D$108=1,D25,D25/SQRT(2))</t>
        </r>
      </text>
    </comment>
    <comment ref="E26" authorId="0" shapeId="0" xr:uid="{00000000-0006-0000-0900-000008000000}">
      <text>
        <r>
          <rPr>
            <sz val="10"/>
            <rFont val="Arial"/>
            <family val="2"/>
          </rPr>
          <t>rev0.6 correction
C.6 : referenced D108 (Vf.BR) instead of D107 (rectifier configuration).
was: =IF('Design Spec'!$D$108=1,E25,E25/SQRT(2))</t>
        </r>
      </text>
    </comment>
    <comment ref="C31" authorId="0" shapeId="0" xr:uid="{00000000-0006-0000-0900-000003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=SQRT(0.5*IF(C21&gt;C22,C22,C21)/C22*(C24^2)-C23^2)</t>
        </r>
      </text>
    </comment>
    <comment ref="D31" authorId="0" shapeId="0" xr:uid="{00000000-0006-0000-0900-000006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None</t>
        </r>
      </text>
    </comment>
    <comment ref="E31" authorId="0" shapeId="0" xr:uid="{00000000-0006-0000-0900-000009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None</t>
        </r>
      </text>
    </comment>
  </commentList>
</comments>
</file>

<file path=xl/sharedStrings.xml><?xml version="1.0" encoding="utf-8"?>
<sst xmlns="http://schemas.openxmlformats.org/spreadsheetml/2006/main" count="2127" uniqueCount="1232">
  <si>
    <t>L6790 design spreadsheet r1.0 - corrections applied (design guide rev 0.6)</t>
  </si>
  <si>
    <t>Every change below is documented as a cell comment in place. Open in Excel and press Ctrl+Alt+F9 to force a full recalculation.</t>
  </si>
  <si>
    <t>Sheet</t>
  </si>
  <si>
    <t>Cell</t>
  </si>
  <si>
    <t>Was</t>
  </si>
  <si>
    <t>Now</t>
  </si>
  <si>
    <t>Why</t>
  </si>
  <si>
    <t>Design Spec</t>
  </si>
  <si>
    <t>D20</t>
  </si>
  <si>
    <t>=IF('Design Spec'!D80=0,IF(2*D13&gt;IF(165&gt;D14/2,165,D14/2),_xlfn.CONCAT(IF(165&gt;D14/2,165,_xlfn.FLOOR.MATH(D14/2)),"-",2*D13),2*D13),D13)</t>
  </si>
  <si>
    <t>=MIN(2*D13,245/SQRT(2))</t>
  </si>
  <si>
    <t>C.8 : with morphing the worst LOW equivalent input is the HB side of the morphing threshold, VHVPK_BIH/sqrt2 = 173.24 Vac - not a 165..180 range.</t>
  </si>
  <si>
    <t>F20</t>
  </si>
  <si>
    <t>180</t>
  </si>
  <si>
    <t>=D20</t>
  </si>
  <si>
    <t>C.8 : selected value must follow the corrected D20 (173.24 Vac).</t>
  </si>
  <si>
    <t>D81</t>
  </si>
  <si>
    <t>None</t>
  </si>
  <si>
    <t>=2*235/SQRT(2)</t>
  </si>
  <si>
    <t>C.8 NEW : highest equivalent input = FB side of the morphing threshold, 2*VHVPK_BOH/sqrt2 = 332.34 Vac. This corner fixes the MAXIMUM operating frequency (240.9 kHz), which the tool never evaluates.</t>
  </si>
  <si>
    <t>Res. Tank Design</t>
  </si>
  <si>
    <t>D9</t>
  </si>
  <si>
    <t>=(SQRT(2)*'Design Spec'!D89)/(2*(('Design Spec'!D95+'Design Spec'!D107*'Design Spec'!D106)/'Design Spec'!D107))</t>
  </si>
  <si>
    <t>=(SQRT(2)*'Design Spec'!D89)/(2*('Design Spec'!D95+'Design Spec'!D107*'Design Spec'!D106))</t>
  </si>
  <si>
    <t>C.5 : the rectifier drop is already counted Nrect times in the numerator; dividing by Nrect again doubles n. Physical Np/Ns = n*Vo.eff/(Vout+Nrect*Vrect).</t>
  </si>
  <si>
    <t>F9</t>
  </si>
  <si>
    <t>5</t>
  </si>
  <si>
    <t>2.5</t>
  </si>
  <si>
    <t>C.5 : selected turns ratio follows the corrected D9 (2.519 -&gt; 2.5).</t>
  </si>
  <si>
    <t>D10</t>
  </si>
  <si>
    <t>=2*IF(F9,F9,D9)*(('Design Spec'!D95+'Design Spec'!D107*'Design Spec'!D106)/'Design Spec'!D107)/(SQRT(2)*'Design Spec'!D83)</t>
  </si>
  <si>
    <t>=2*IF(F9,F9,D9)*(('Design Spec'!D95+'Design Spec'!D107*'Design Spec'!D106))/(SQRT(2)*'Design Spec'!D83)</t>
  </si>
  <si>
    <t>C.5 : reflected output voltage is (Vout+Nrect*Vrect), not divided by Nrect.</t>
  </si>
  <si>
    <t>D11</t>
  </si>
  <si>
    <t>=2*IF(F9,F9,D9)*(('Design Spec'!D95+'Design Spec'!D107*'Design Spec'!D106)/'Design Spec'!D107)/(SQRT(2)*'Design Spec'!D79)</t>
  </si>
  <si>
    <t>=2*IF(F9,F9,D9)*(('Design Spec'!D95+'Design Spec'!D107*'Design Spec'!D106))/(SQRT(2)*'Design Spec'!D79)</t>
  </si>
  <si>
    <t>D17</t>
  </si>
  <si>
    <t>=((IF(F9,F9,D9))^2)*(4/((PI())^2))*(((('Design Spec'!D95+'Design Spec'!D107*'Design Spec'!D106)/'Design Spec'!D107)^2)/('Preliminary Calculation'!D10))</t>
  </si>
  <si>
    <t>=((IF(F9,F9,D9))^2)*(4/((PI())^2))*(((('Design Spec'!D95+'Design Spec'!D107*'Design Spec'!D106))^2)/('Preliminary Calculation'!D10))</t>
  </si>
  <si>
    <t>=((SQRT((D16*(1+D16))))/(2*IF(F9,F9,D9)))*((SQRT(2)*'Design Spec'!D83)/((('Design Spec'!D95+'Design Spec'!D107*'Design Spec'!D106)/'Design Spec'!D107)))</t>
  </si>
  <si>
    <t>=((SQRT((D16*(1+D16))))/(2*IF(F9,F9,D9)))*((SQRT(2)*'Design Spec'!D83)/((('Design Spec'!D95+'Design Spec'!D107*'Design Spec'!D106))))</t>
  </si>
  <si>
    <t>D35</t>
  </si>
  <si>
    <t>=(PI()*'Design Spec'!D98)/(SQRT(2)*('Preliminary Calculation'!D17/100)*'Design Spec'!D83*COS('Res. Tank Design'!D29))</t>
  </si>
  <si>
    <t>=(2*PI()*'Design Spec'!D98)/(SQRT(2)*('Preliminary Calculation'!D17/100)*'Design Spec'!D83*COS('Res. Tank Design'!D29))</t>
  </si>
  <si>
    <t>C.6 : at the line peak the instantaneous tank power is 2*Pout, not Pout. The tool value is exactly half.</t>
  </si>
  <si>
    <t>D60</t>
  </si>
  <si>
    <t>=(SQRT(2*(('Design Spec'!D111*(10^-12))/((IF(F44,F44,D44)+IF(F45,F45,D45))*(10^-6)))))*('Design Spec'!D83)</t>
  </si>
  <si>
    <t>=(SQRT(2*(('Design Spec'!D111*(10^-12))/((IF(F44,F44,D44)+IF(F45,F45,D45))*(10^-6)))))*(SQRT(2)*'Design Spec'!D83)</t>
  </si>
  <si>
    <t>C.6 : Vin must be the PEAK, not the rms value.</t>
  </si>
  <si>
    <t>Device Setting</t>
  </si>
  <si>
    <t>D3</t>
  </si>
  <si>
    <t>=MIN('Design Spec'!D104,D2*1.5)</t>
  </si>
  <si>
    <t>=MAX(D2,MIN('Design Spec'!D104,D2*1.5))</t>
  </si>
  <si>
    <t>NEW (guide eq.[62]) : the outer MAX was missing, so the oscillator could be sized for a ceiling BELOW the real maximum operating frequency.</t>
  </si>
  <si>
    <t>D83</t>
  </si>
  <si>
    <t>=D74/((D79/'Design Spec'!D107))</t>
  </si>
  <si>
    <t>=D74/D79</t>
  </si>
  <si>
    <t>C.8 : the same sheet computes V.aux.OVP2 WITHOUT dividing by Nrect, so the limit was 2x too permissive. Correct upper bound = V.AUX.max / V.OVP2.out.</t>
  </si>
  <si>
    <t>Preliminary Calculation</t>
  </si>
  <si>
    <t>=('Design Spec'!D98)/('Design Spec'!D98+('Preliminary Calculation'!D13+'Preliminary Calculation'!D12))*100</t>
  </si>
  <si>
    <t>=D9/(D9+D13)*100</t>
  </si>
  <si>
    <t>NEW : D17 is used downstream AS eta.HB, but computed Pout/(Pout+Pd.rect+Pd.LLC) = eta.rect*eta.HB. Identical only while Vrect = 0.</t>
  </si>
  <si>
    <t>D19</t>
  </si>
  <si>
    <t>=D17*D18/100</t>
  </si>
  <si>
    <t>=D17*D8/100*D18/100</t>
  </si>
  <si>
    <t>NEW : keep eta.tot = eta.HB * eta.rect * eta.ac after the D17 correction.</t>
  </si>
  <si>
    <t>CC</t>
  </si>
  <si>
    <t>C25</t>
  </si>
  <si>
    <t>=IF('Design Spec'!$D$107=1,C24/2,C24/SQRT(2))</t>
  </si>
  <si>
    <t>=IF('Design Spec'!$D$107=1,C24*SQRT(MIN(C21,C22)/C22/4),C24*SQRT(MIN(C21,C22)/C22/2))</t>
  </si>
  <si>
    <t>C.8 : below resonance the secondary current is a half-sine that flows only for 1/(2*fr) of each half period; the rms therefore carries sqrt(d), d = min(fsw,fr)/fr. The same sheet already applies d in row 31.</t>
  </si>
  <si>
    <t>D25</t>
  </si>
  <si>
    <t>=IF('Design Spec'!$D$107=1,D24/2,D24/SQRT(2))</t>
  </si>
  <si>
    <t>=IF('Design Spec'!$D$107=1,D24*SQRT(MIN(D21,D22)/D22/4),D24*SQRT(MIN(D21,D22)/D22/2))</t>
  </si>
  <si>
    <t>E25</t>
  </si>
  <si>
    <t>=IF('Design Spec'!$D$107=1,E24/2,E24/SQRT(2))</t>
  </si>
  <si>
    <t>=IF('Design Spec'!$D$107=1,E24*SQRT(MIN(E21,E22)/E22/4),E24*SQRT(MIN(E21,E22)/E22/2))</t>
  </si>
  <si>
    <t>C26</t>
  </si>
  <si>
    <t>=IF('Design Spec'!$D$107=1,C25,C25/SQRT(2))</t>
  </si>
  <si>
    <t>C.6 : referenced D108 (Vf.BR) instead of D107 (rectifier configuration).</t>
  </si>
  <si>
    <t>D26</t>
  </si>
  <si>
    <t>=IF('Design Spec'!$D$108=1,D25,D25/SQRT(2))</t>
  </si>
  <si>
    <t>=IF('Design Spec'!$D$107=1,D25,D25/SQRT(2))</t>
  </si>
  <si>
    <t>E26</t>
  </si>
  <si>
    <t>=IF('Design Spec'!$D$108=1,E25,E25/SQRT(2))</t>
  </si>
  <si>
    <t>=IF('Design Spec'!$D$107=1,E25,E25/SQRT(2))</t>
  </si>
  <si>
    <t>C31</t>
  </si>
  <si>
    <t>=SQRT(0.5*IF(C21&gt;C22,C22,C21)/C22*(C24^2)-C23^2)</t>
  </si>
  <si>
    <t>=SQRT(0.5*MIN(C21,C22)/C22*(C24^2)-C23^2+C15^2/2)</t>
  </si>
  <si>
    <t>C.8 : row 31 held only the switching-frequency component at ONE line phase. The output bank also carries the whole 2*fl buffer current, Iout/sqrt2. NOTE: still a single-phase estimate - the guide value 4.72 A comes from a full theta average, eq.[70a].</t>
  </si>
  <si>
    <t>D31</t>
  </si>
  <si>
    <t>=SQRT(0.5*MIN(D21,D22)/D22*(D24^2)-D23^2+D15^2/2)</t>
  </si>
  <si>
    <t>E31</t>
  </si>
  <si>
    <t>=SQRT(0.5*MIN(E21,E22)/E22*(E24^2)-E23^2+E15^2/2)</t>
  </si>
  <si>
    <t>CompensationNet&amp;Check</t>
  </si>
  <si>
    <t>D15</t>
  </si>
  <si>
    <t>=300/D31</t>
  </si>
  <si>
    <t>300</t>
  </si>
  <si>
    <t>C.8 : I.FB.max is the 300 uA datasheet minimum. D43 divides by CTR again, so CTR was applied twice (300 -&gt; 566 -&gt; 1068 uA).</t>
  </si>
  <si>
    <t>D42</t>
  </si>
  <si>
    <t>=(D14-(D22+D28))/(((D16*10^-6)/D29)+(D23*10^-3))/1000</t>
  </si>
  <si>
    <t>=(D14-(D22+D28))/(((D16*10^-6)/D29)+(D28/(F41*1000)))/1000</t>
  </si>
  <si>
    <t>NEW / DS 5.2.12 : the denominator term is V_F/R_P, not I.min. They coincide only when R_P is chosen exactly at R_P,max.</t>
  </si>
  <si>
    <t>D43</t>
  </si>
  <si>
    <t>=(D14-(D22+D28))/(((D15*10^-6)/D31)+(D23*10^-3))/1000</t>
  </si>
  <si>
    <t>=(D14-(D22+D28))/(((D15*10^-6)/D31)+(D28/(F41*1000)))/1000</t>
  </si>
  <si>
    <t>C.8 + DS 5.2.12 : CTR applied once, and V_F/R_P instead of I.min.</t>
  </si>
  <si>
    <t>F43</t>
  </si>
  <si>
    <t>4.7</t>
  </si>
  <si>
    <t>6.8</t>
  </si>
  <si>
    <t>C.8 : with the corrected window 6.27..7.13 kOhm, 4.7 kOhm is outside.</t>
  </si>
  <si>
    <t>Power Components</t>
  </si>
  <si>
    <t>D40</t>
  </si>
  <si>
    <t>=D28*D28*(((2*PI()*CC!C21*1000*D38*10^-6)/(D36/100))+(D27/1000)^-1)^-1</t>
  </si>
  <si>
    <t>=D28*D28*(((2*PI()*CC!E21*1000*D38*10^-6)/(D36/100))+(D27/1000)^-1)^-1</t>
  </si>
  <si>
    <t>C.8 : D37/D39 use fsw at theta=pi/2 (CC!E21) but D40 used CC!C21 (theta=pi/4).</t>
  </si>
  <si>
    <t>RTC</t>
  </si>
  <si>
    <t>2803 cells, rows 16-18, 41-46, 53-58, 67-72, 81-86, 95-107</t>
  </si>
  <si>
    <t>(Vout+Nrect*Vrect)/Nrect</t>
  </si>
  <si>
    <t>(Vout+Nrect*Vrect)</t>
  </si>
  <si>
    <t>C.5 propagated. The RTC gain and Q grid carries its own copy of the reflected output voltage and divided it by Nrect a second time. Left unfixed, the corrected n = 2.5 halves every gain in the grid and the whole sheet returns #NUM.</t>
  </si>
  <si>
    <t>NOT fixable by a cell edit - structural limits of the workbook</t>
  </si>
  <si>
    <t>RTC!25/26 - the fn search grid stops at fn.max = sqrt(lambda/(1+lambda-1/M.Vmax.pk)) = 1.3703 (205.9 kHz). The real full-load operating point at the FB morphing threshold sits at fn = 1.603 (240.9 kHz) and simply cannot be represented. Device Setting!D2 therefore still reports 187 kHz.</t>
  </si>
  <si>
    <t>CC rows 20-31 evaluate only theta = pi/4, pi/3, pi/2. Eq.[70a] (output-capacitor rms) and the mains-cycle rms currents need an average over the whole half line cycle.</t>
  </si>
  <si>
    <t>Design Spec!D33/34/37 - the OutCap_Sel_DB auto-selection result is referenced by no cell; Power Components uses manual entries only, with no warning when the two disagree.</t>
  </si>
  <si>
    <t>Design Spec!D48 (Cp = 2 nF) is a dead input cell, referenced nowhere.</t>
  </si>
  <si>
    <t>Power Components!D77 - C.tot = 2*Coss + Cpar is never fed back into Design Spec!D46 (c.HB), so eq.[116] iteration does not happen.</t>
  </si>
  <si>
    <t>Device Setting!B113 - the 'Split resonant capacitors for forced HB configuration' clause has a heading but no content (DS 5.3.1 requires two Cr/2 capacitors in that configuration).</t>
  </si>
  <si>
    <t>Res. Tank Design!D9 vs D51 - n is labelled 'Physical Turn Ratio' and n.T 'Real Turn Ratio' at the same time. Only one of them can be the ratio you actually wind (guide 3.10).</t>
  </si>
  <si>
    <t>Release 1.0</t>
  </si>
  <si>
    <t>Input data specs. and pre design choices</t>
  </si>
  <si>
    <t>Parameters</t>
  </si>
  <si>
    <t>Name</t>
  </si>
  <si>
    <t>Value</t>
  </si>
  <si>
    <t>Unit</t>
  </si>
  <si>
    <t>Minimum Input voltage</t>
  </si>
  <si>
    <t>VAC.min</t>
  </si>
  <si>
    <t>Vac</t>
  </si>
  <si>
    <t>Maximum Input voltage</t>
  </si>
  <si>
    <t>VAC.max</t>
  </si>
  <si>
    <t>Line frequency</t>
  </si>
  <si>
    <t>fl</t>
  </si>
  <si>
    <t>Hz</t>
  </si>
  <si>
    <t>Minimum Line frequency</t>
  </si>
  <si>
    <t>fl.min</t>
  </si>
  <si>
    <t>Selected value</t>
  </si>
  <si>
    <t>Minimum voltage for Res. Tank Design</t>
  </si>
  <si>
    <t>Vin.min</t>
  </si>
  <si>
    <t>Regulated Output Voltage</t>
  </si>
  <si>
    <t>V.out</t>
  </si>
  <si>
    <t>V</t>
  </si>
  <si>
    <t>Minimum admitted voltage (for hold up req)</t>
  </si>
  <si>
    <t>Vo_min_adm</t>
  </si>
  <si>
    <t>Output voltage ripple pk-pk</t>
  </si>
  <si>
    <t>∆vout</t>
  </si>
  <si>
    <t>%</t>
  </si>
  <si>
    <t>Hold up capability</t>
  </si>
  <si>
    <t>Thold</t>
  </si>
  <si>
    <t>ms</t>
  </si>
  <si>
    <t>Maximum Output Power</t>
  </si>
  <si>
    <t>Pout</t>
  </si>
  <si>
    <t>W</t>
  </si>
  <si>
    <t>Expected HB efficiency</t>
  </si>
  <si>
    <t>ηLLC</t>
  </si>
  <si>
    <t>Max capacitor height (empty or 0 for unlimited)</t>
  </si>
  <si>
    <t>h</t>
  </si>
  <si>
    <t>mm</t>
  </si>
  <si>
    <t>Output cap estimation (MCLPR series)</t>
  </si>
  <si>
    <t>Output capacitor working voltage</t>
  </si>
  <si>
    <t>W.V</t>
  </si>
  <si>
    <t>Single capacitor value</t>
  </si>
  <si>
    <t>Cout.s.est</t>
  </si>
  <si>
    <t>uF</t>
  </si>
  <si>
    <t>Equivalent Series Resistor</t>
  </si>
  <si>
    <t>ESR.single</t>
  </si>
  <si>
    <t>Ω</t>
  </si>
  <si>
    <t>Case Size diameter</t>
  </si>
  <si>
    <t>ØD</t>
  </si>
  <si>
    <t>Case Size height</t>
  </si>
  <si>
    <t>Estimated number of cap</t>
  </si>
  <si>
    <t>n.Cap</t>
  </si>
  <si>
    <t>-</t>
  </si>
  <si>
    <t>Expected ouptut cap volume [cm3]</t>
  </si>
  <si>
    <t>Cap.Volume</t>
  </si>
  <si>
    <t>cm3</t>
  </si>
  <si>
    <t>Upper Resonant Frequency</t>
  </si>
  <si>
    <t>f.R1</t>
  </si>
  <si>
    <t>kHz</t>
  </si>
  <si>
    <t>Minimum switching frequency</t>
  </si>
  <si>
    <t>fsw.min</t>
  </si>
  <si>
    <t>Maximum Switching Frequency (1.5*f.R1 sugg)</t>
  </si>
  <si>
    <t>fsw.max</t>
  </si>
  <si>
    <t>Single HB midpoint estimated Cap</t>
  </si>
  <si>
    <t>c.HB</t>
  </si>
  <si>
    <t>pF</t>
  </si>
  <si>
    <t>Dead Time</t>
  </si>
  <si>
    <t>t.D</t>
  </si>
  <si>
    <t>ns</t>
  </si>
  <si>
    <t>Parassitic Capacitance</t>
  </si>
  <si>
    <t>Cp</t>
  </si>
  <si>
    <t>nF</t>
  </si>
  <si>
    <t>EMI filter resistance</t>
  </si>
  <si>
    <t>R.EMI</t>
  </si>
  <si>
    <t>Bridge Rectifier Voltage Drop</t>
  </si>
  <si>
    <t>Vf.BR</t>
  </si>
  <si>
    <t>Dynamic Resistance (1 diode)</t>
  </si>
  <si>
    <t>Rd</t>
  </si>
  <si>
    <t>Output stage configuration (CT/FB)</t>
  </si>
  <si>
    <t>Output Rectifier Voltage Drop</t>
  </si>
  <si>
    <t>Vrect</t>
  </si>
  <si>
    <t>Output Rectifier configuration (1 = CT, 2 = FB)</t>
  </si>
  <si>
    <t>Configuration 1: CT=Center Tap Rectification</t>
  </si>
  <si>
    <t>Configuration 2: FB=Full Bridge Rectification</t>
  </si>
  <si>
    <t>To blank</t>
  </si>
  <si>
    <t>Minimum Input voltage (for input curr)</t>
  </si>
  <si>
    <t>Maximum equivalent input for Res. Tank Design (FB morphing side)</t>
  </si>
  <si>
    <t>Vin.FBmax</t>
  </si>
  <si>
    <t>Universal range = calcoli ok</t>
  </si>
  <si>
    <t>FB a bassa rete = I calcoli del tank sono ok, cambia la dissipazione ?</t>
  </si>
  <si>
    <t>HB a bassa rete = va dimezzata la tensione di ingresso con la quale si calcola il tank, aumenta dissipazione sui mos</t>
  </si>
  <si>
    <t>FB ad alta rete = va raddoppiata la tensione di ingresso con la quale si calcola il tank, diminuisce dissipazione sui mos</t>
  </si>
  <si>
    <t>HB ad alta rete = I calcoli del tank sono ok, cambia la dissipazione sul ponte a diodi in ingresso (dovrebbe già essere corretta nei calcoli, prendendo Vinmin)</t>
  </si>
  <si>
    <t>High line resonant operation</t>
  </si>
  <si>
    <t>Vin.nom</t>
  </si>
  <si>
    <t>Nominal input voltage (config dependent)</t>
  </si>
  <si>
    <t>Fixed</t>
  </si>
  <si>
    <t>Above resonance modulation depth</t>
  </si>
  <si>
    <t>Input voltage for imposing resonant operation</t>
  </si>
  <si>
    <t>Vin.res</t>
  </si>
  <si>
    <t>Maximum cap height</t>
  </si>
  <si>
    <t>Output voltage ripple</t>
  </si>
  <si>
    <t>Maximum Switching Frequency</t>
  </si>
  <si>
    <t>HB midpoint estimated Cap</t>
  </si>
  <si>
    <t>Cap…</t>
  </si>
  <si>
    <t>Preliminary Calculations</t>
  </si>
  <si>
    <t>Output current</t>
  </si>
  <si>
    <t>Iout</t>
  </si>
  <si>
    <t>A</t>
  </si>
  <si>
    <t>Output rectifier efficiency</t>
  </si>
  <si>
    <t>η.rect</t>
  </si>
  <si>
    <t>Transformer output power</t>
  </si>
  <si>
    <t>P.sec</t>
  </si>
  <si>
    <t>LLC converter input power</t>
  </si>
  <si>
    <t>P.in.LLC</t>
  </si>
  <si>
    <t>Max mains input rms current</t>
  </si>
  <si>
    <t>I.in.max</t>
  </si>
  <si>
    <t>Output rectifier dissipation</t>
  </si>
  <si>
    <t>P.d.Drect</t>
  </si>
  <si>
    <t>LLC converter dissipation (trafo+MOS)</t>
  </si>
  <si>
    <t>P.d.LLC</t>
  </si>
  <si>
    <t>Bridge rectifier dissipation</t>
  </si>
  <si>
    <t>P.D.br</t>
  </si>
  <si>
    <t>EMI filter resistance dissipation</t>
  </si>
  <si>
    <t>P.D.Rin</t>
  </si>
  <si>
    <t>TOTAL power dissipation</t>
  </si>
  <si>
    <t>P.D</t>
  </si>
  <si>
    <t>HB converter expected efficiency</t>
  </si>
  <si>
    <t>η.HB</t>
  </si>
  <si>
    <t>EMI filter and bridge rectifier efficiency</t>
  </si>
  <si>
    <t>η.ac</t>
  </si>
  <si>
    <t>Total expected efficiency</t>
  </si>
  <si>
    <t>η.tot</t>
  </si>
  <si>
    <t>Rated input power</t>
  </si>
  <si>
    <t>P.in</t>
  </si>
  <si>
    <t>Resonant Tank Design</t>
  </si>
  <si>
    <t>FHA-based design</t>
  </si>
  <si>
    <t>Selected Value</t>
  </si>
  <si>
    <t>Physical Turn Ratio (npri/nsec):</t>
  </si>
  <si>
    <t>n</t>
  </si>
  <si>
    <t>Maximum Voltage Gain@Vin.min</t>
  </si>
  <si>
    <t>M.Vmin.pk</t>
  </si>
  <si>
    <t>Minimum Voltage Gain@Vin.min</t>
  </si>
  <si>
    <t>M.Vmax.pk</t>
  </si>
  <si>
    <t>Min λ ratio for min gain req</t>
  </si>
  <si>
    <t>λ.min.1</t>
  </si>
  <si>
    <t>Min λ ratio for max freq req</t>
  </si>
  <si>
    <t>λ.min.2</t>
  </si>
  <si>
    <t>Min λ ratio for max freq req (TD)</t>
  </si>
  <si>
    <t>λ.min.TD</t>
  </si>
  <si>
    <t>Min λ ratio for min freq req</t>
  </si>
  <si>
    <t>λ.min.3</t>
  </si>
  <si>
    <t>Maximum value</t>
  </si>
  <si>
    <t>λ</t>
  </si>
  <si>
    <t xml:space="preserve">removed 1.2 factor on  λ.min.1 </t>
  </si>
  <si>
    <t>Equivalent output impedance</t>
  </si>
  <si>
    <t>Rac</t>
  </si>
  <si>
    <t>For ZVS at Vin.min and max load</t>
  </si>
  <si>
    <t>QZVS.1</t>
  </si>
  <si>
    <t>For ZVS at Vin.max and zero load</t>
  </si>
  <si>
    <t>QZVS.2</t>
  </si>
  <si>
    <t>QZVS.3</t>
  </si>
  <si>
    <t>Not used since evaluated at f.o</t>
  </si>
  <si>
    <t>ZVS condition</t>
  </si>
  <si>
    <t>Margin to achieve ZVS</t>
  </si>
  <si>
    <t>ZVSmargin</t>
  </si>
  <si>
    <t>Selected quality factor</t>
  </si>
  <si>
    <t>QZVS</t>
  </si>
  <si>
    <t>Resonant tank characteristic imp</t>
  </si>
  <si>
    <t>Z0</t>
  </si>
  <si>
    <t>Minimum fsw.norm at Vin.min.pk</t>
  </si>
  <si>
    <t>f.n.min</t>
  </si>
  <si>
    <t>Minimum resonant tank phase shift</t>
  </si>
  <si>
    <t>φ.min</t>
  </si>
  <si>
    <t>Resonant current ZC instant</t>
  </si>
  <si>
    <t>T.ZC</t>
  </si>
  <si>
    <t>Reference Dead time</t>
  </si>
  <si>
    <t>T.D</t>
  </si>
  <si>
    <t>ZVS condition satisfied?</t>
  </si>
  <si>
    <t>Peak Resonant Current</t>
  </si>
  <si>
    <t>IR1.pk</t>
  </si>
  <si>
    <t>Minimum current for achieving ZVS</t>
  </si>
  <si>
    <t>IR0</t>
  </si>
  <si>
    <t>Transition time</t>
  </si>
  <si>
    <t>T.T</t>
  </si>
  <si>
    <t>Resonant Tank Parameters</t>
  </si>
  <si>
    <t>Turn Ratio</t>
  </si>
  <si>
    <t>Resonant Capacitor</t>
  </si>
  <si>
    <t>C.r</t>
  </si>
  <si>
    <t>Leakage inductance</t>
  </si>
  <si>
    <t>L.r</t>
  </si>
  <si>
    <t>µH</t>
  </si>
  <si>
    <t>Magnetizing inductance</t>
  </si>
  <si>
    <t>L.m</t>
  </si>
  <si>
    <t>Final Design Check</t>
  </si>
  <si>
    <t>Series over parallel inductance ratio</t>
  </si>
  <si>
    <t>Real Turn Ratio</t>
  </si>
  <si>
    <t>n.T</t>
  </si>
  <si>
    <t>Series resonant characteristic imp</t>
  </si>
  <si>
    <t>Z.o</t>
  </si>
  <si>
    <t>Parallel resonant characteristic imp</t>
  </si>
  <si>
    <t>Z.O</t>
  </si>
  <si>
    <t>Normalized parallel resonant frequency</t>
  </si>
  <si>
    <t>f.no</t>
  </si>
  <si>
    <t>Series resonant frequency</t>
  </si>
  <si>
    <t>f.r</t>
  </si>
  <si>
    <t>Parallel resonant frequency</t>
  </si>
  <si>
    <t>f.o</t>
  </si>
  <si>
    <t>Primary inductance</t>
  </si>
  <si>
    <t>L.μ</t>
  </si>
  <si>
    <t>Primary side leakage inductance</t>
  </si>
  <si>
    <t>L.L1</t>
  </si>
  <si>
    <t>Secondary side leakaged inductance</t>
  </si>
  <si>
    <t>L.L2</t>
  </si>
  <si>
    <t>Current for achieving ZVS</t>
  </si>
  <si>
    <t>I.R0.crit</t>
  </si>
  <si>
    <t>Estimated transformer current</t>
  </si>
  <si>
    <t>Primary RMS current @ Vin min</t>
  </si>
  <si>
    <t>Primary peak current @ Vin_min</t>
  </si>
  <si>
    <t>Ipri.pk (at Vin.min pk)</t>
  </si>
  <si>
    <t>Secondary RMS current @ Vin min</t>
  </si>
  <si>
    <t>Secondary peak current @ Vin_min</t>
  </si>
  <si>
    <t>Isec.pk (at Vin.min pk)</t>
  </si>
  <si>
    <t>Input capacitor selection</t>
  </si>
  <si>
    <t>Minimum Input Cap.</t>
  </si>
  <si>
    <t>C.in.min</t>
  </si>
  <si>
    <t>Output capacitor selection</t>
  </si>
  <si>
    <t>Parameter</t>
  </si>
  <si>
    <t>Output Power</t>
  </si>
  <si>
    <t>Regulated output voltage</t>
  </si>
  <si>
    <t>Vout</t>
  </si>
  <si>
    <t>Minimum admitted voltage</t>
  </si>
  <si>
    <t>Ripple</t>
  </si>
  <si>
    <t>Minimum Mains frequency</t>
  </si>
  <si>
    <t>Output cap considering ripple pk-pk</t>
  </si>
  <si>
    <t>Cout1</t>
  </si>
  <si>
    <t>Ouptut cap considering hold up</t>
  </si>
  <si>
    <t>Cout2</t>
  </si>
  <si>
    <t>Number of output capacitors</t>
  </si>
  <si>
    <t>n.Cout</t>
  </si>
  <si>
    <t>Insert the single capacitor value</t>
  </si>
  <si>
    <t>Cout.single</t>
  </si>
  <si>
    <t>Insert the ESR value of the single capacitor</t>
  </si>
  <si>
    <t>mΩ</t>
  </si>
  <si>
    <t>Total ouptut capacitor Cout</t>
  </si>
  <si>
    <t>Cout</t>
  </si>
  <si>
    <t>Total ESR of Cout</t>
  </si>
  <si>
    <t>ESR</t>
  </si>
  <si>
    <t>Output cap RMS current</t>
  </si>
  <si>
    <t>I.Cout.RMS</t>
  </si>
  <si>
    <t>Low frequency ripple voltage pk-pk recalculation</t>
  </si>
  <si>
    <t>V_Ripple_pk-pk</t>
  </si>
  <si>
    <t>% Ripple pk-pk on Vout</t>
  </si>
  <si>
    <t>Ripple pk-pk %</t>
  </si>
  <si>
    <t>Hold up time recalculation</t>
  </si>
  <si>
    <t>Estimated maximum R&amp;N @ Vinmin</t>
  </si>
  <si>
    <t>R&amp;N_0</t>
  </si>
  <si>
    <t>mV</t>
  </si>
  <si>
    <t>Maximum allowed R&amp;N @ fsw</t>
  </si>
  <si>
    <t>R&amp;N_max</t>
  </si>
  <si>
    <t>Displacement factor of ceramic capacitor</t>
  </si>
  <si>
    <t>DF</t>
  </si>
  <si>
    <t>Suggested minimum ceramic capacitor</t>
  </si>
  <si>
    <t>Cceramic min</t>
  </si>
  <si>
    <t>Select the ceramic capacitor</t>
  </si>
  <si>
    <t>Cceramic</t>
  </si>
  <si>
    <t>Estimated  R&amp;N @ fsw</t>
  </si>
  <si>
    <t>R&amp;N</t>
  </si>
  <si>
    <t>Estimated dissipated power on output capacitors</t>
  </si>
  <si>
    <t>P.Cout</t>
  </si>
  <si>
    <t>Input Bridge Rectifier</t>
  </si>
  <si>
    <t>Maximum RMS Input Current</t>
  </si>
  <si>
    <t>Iin</t>
  </si>
  <si>
    <t>Selected Bridge Forward Voltage (1 diode)</t>
  </si>
  <si>
    <t>Vth</t>
  </si>
  <si>
    <t>Bridge rectifier schematic</t>
  </si>
  <si>
    <t xml:space="preserve">Please Select a BRIDGE RECTIFIER part number </t>
  </si>
  <si>
    <t>GBJ1506U</t>
  </si>
  <si>
    <t>Rectified Sine Current (half wave)_RMS</t>
  </si>
  <si>
    <t>I hw_RMS</t>
  </si>
  <si>
    <t>Rectified Sine Current (half wave)_Average</t>
  </si>
  <si>
    <t>I hw_Average</t>
  </si>
  <si>
    <t>Power dissipation</t>
  </si>
  <si>
    <t>Pbridge</t>
  </si>
  <si>
    <t>LLC Half Brigdge Power Switch Selection</t>
  </si>
  <si>
    <t>Suggested Min Voltage rating for each power</t>
  </si>
  <si>
    <t>VDS</t>
  </si>
  <si>
    <t>IF Switch</t>
  </si>
  <si>
    <t xml:space="preserve">Please Select a dedicated Switch part number </t>
  </si>
  <si>
    <t>Rdson</t>
  </si>
  <si>
    <t>Drain Capacitance</t>
  </si>
  <si>
    <t>Coss</t>
  </si>
  <si>
    <t>Parassitic Drain Node Capacitance</t>
  </si>
  <si>
    <t>Cpar</t>
  </si>
  <si>
    <t>Operating Ambient Temperature</t>
  </si>
  <si>
    <t>Ta</t>
  </si>
  <si>
    <t>C˚</t>
  </si>
  <si>
    <t>Total HB parassitic Capacitance</t>
  </si>
  <si>
    <t>Ctot</t>
  </si>
  <si>
    <t>Pdiss.s</t>
  </si>
  <si>
    <t>Rth</t>
  </si>
  <si>
    <t>˚C/W</t>
  </si>
  <si>
    <t>Unit [ ]</t>
  </si>
  <si>
    <t>Isec.pk</t>
  </si>
  <si>
    <t>RD</t>
  </si>
  <si>
    <t>Pdiss_d</t>
  </si>
  <si>
    <t>Pdiss</t>
  </si>
  <si>
    <t>Conf.1: CT=Center Tap Rectification</t>
  </si>
  <si>
    <t>Conf.2: FB=Full Bridge Rectification</t>
  </si>
  <si>
    <t>Minimum switching frequency  = lower resonant frequency</t>
  </si>
  <si>
    <t>f.sw.min</t>
  </si>
  <si>
    <t>Maximum switching frequency at Vinmax and max load</t>
  </si>
  <si>
    <t>f.sw.max</t>
  </si>
  <si>
    <t>Maximum switching frequency for component design</t>
  </si>
  <si>
    <t>f.sw.max.design</t>
  </si>
  <si>
    <t>Resonant Frequency</t>
  </si>
  <si>
    <t>1-VCO timing components setting</t>
  </si>
  <si>
    <t>DS_Reference voltage for CT Typ.</t>
  </si>
  <si>
    <t>VREF</t>
  </si>
  <si>
    <t>DS_Oscillator idle time 350ns Typ.</t>
  </si>
  <si>
    <t>Tidle</t>
  </si>
  <si>
    <t>DS_Timing resistor operating range [5-30]kΩ</t>
  </si>
  <si>
    <t>Rtmax</t>
  </si>
  <si>
    <t>kΩ</t>
  </si>
  <si>
    <t>DS_IEA_max typ. 400uA</t>
  </si>
  <si>
    <t>I.CTL.max</t>
  </si>
  <si>
    <t>mA</t>
  </si>
  <si>
    <t>DS_Extra osccillator current at start-up:</t>
  </si>
  <si>
    <t>IOSC.SU</t>
  </si>
  <si>
    <t>VCO block diagram</t>
  </si>
  <si>
    <t>Maximum Timing Capacitor</t>
  </si>
  <si>
    <t>CT.max</t>
  </si>
  <si>
    <t>Minimum Timing Capacitor</t>
  </si>
  <si>
    <t>CT.min</t>
  </si>
  <si>
    <t>Select the timing capacitor between CTmin and Ctmax</t>
  </si>
  <si>
    <t>CT</t>
  </si>
  <si>
    <t>Minimum Resistor value</t>
  </si>
  <si>
    <t xml:space="preserve">Actual Max. switching frequency </t>
  </si>
  <si>
    <t>f.Max</t>
  </si>
  <si>
    <t>Actual Min. switching frequency</t>
  </si>
  <si>
    <t>f.Min</t>
  </si>
  <si>
    <t xml:space="preserve">Actual Start-up switching frequency </t>
  </si>
  <si>
    <t>f.start-up</t>
  </si>
  <si>
    <t>Ilr.pk.max</t>
  </si>
  <si>
    <t>Maximum rms current on sense resistor (at Vinmin)</t>
  </si>
  <si>
    <t>I.Rcs.rms.max</t>
  </si>
  <si>
    <t>Max input power at FB voltage clamped to the VFB.max</t>
  </si>
  <si>
    <t>R.CS.max1</t>
  </si>
  <si>
    <t>Minimum input voltage, the maximum input peak current</t>
  </si>
  <si>
    <t>R.CS.max2</t>
  </si>
  <si>
    <t>Sense dissipation @ low mains</t>
  </si>
  <si>
    <t>P.Rcs.avg</t>
  </si>
  <si>
    <t>Single sense resistor maximum power dissipation</t>
  </si>
  <si>
    <t>P.Rcs.sing</t>
  </si>
  <si>
    <t>Minimum number or parallel sense resistors</t>
  </si>
  <si>
    <t>N.Rcs.sing</t>
  </si>
  <si>
    <t>Select number of parallel sense resistors</t>
  </si>
  <si>
    <t>N.Rcs.parall</t>
  </si>
  <si>
    <t>Maximum value of single sense resistor</t>
  </si>
  <si>
    <t>Max.Rcs.parall</t>
  </si>
  <si>
    <t>180||180||240</t>
  </si>
  <si>
    <t>Current sense resistor</t>
  </si>
  <si>
    <t>R.CS</t>
  </si>
  <si>
    <t>Actual estimated power dissipation on current sense resistor</t>
  </si>
  <si>
    <t>P.Rcs.act</t>
  </si>
  <si>
    <t>Actual estimated maximum input power</t>
  </si>
  <si>
    <t>Pin.max</t>
  </si>
  <si>
    <t>3-BM (pin10) - Burst mode resistor setting:</t>
  </si>
  <si>
    <t>DS_BM pin current</t>
  </si>
  <si>
    <t>I.BM</t>
  </si>
  <si>
    <t>µA</t>
  </si>
  <si>
    <t>DS_Scaling factor for burst mode threshold setting</t>
  </si>
  <si>
    <t>k.BM</t>
  </si>
  <si>
    <t>V/kΩ</t>
  </si>
  <si>
    <t>DS_Internal FB offset</t>
  </si>
  <si>
    <t>V.off</t>
  </si>
  <si>
    <t>Input power burst mode threshold</t>
  </si>
  <si>
    <t>P.in.BM</t>
  </si>
  <si>
    <t>Expected converter efficiency at BM entering threshold</t>
  </si>
  <si>
    <t>η.BM.in</t>
  </si>
  <si>
    <t>Maximum burst mode resistor</t>
  </si>
  <si>
    <t>R.BM.max</t>
  </si>
  <si>
    <t>Expected BM entering threshold</t>
  </si>
  <si>
    <t>P.in.BM.exp</t>
  </si>
  <si>
    <t>Expected output power at BM entering</t>
  </si>
  <si>
    <t>P.o.BM.exp</t>
  </si>
  <si>
    <t>to blank</t>
  </si>
  <si>
    <t>4-ZCD (Pin12) resistors setting:</t>
  </si>
  <si>
    <t>DS_IC start-up phase end th at ZCD pin</t>
  </si>
  <si>
    <t>V.Startup.end.th</t>
  </si>
  <si>
    <t>DS_OVP1 threshold</t>
  </si>
  <si>
    <t>V.OVP1.th</t>
  </si>
  <si>
    <t>DS_OVP2 threshold</t>
  </si>
  <si>
    <t>V.OVP2.th</t>
  </si>
  <si>
    <t>DS_Maximum auxiliary voltage</t>
  </si>
  <si>
    <t>V.AUX.max</t>
  </si>
  <si>
    <t>OVP1 threshold percentage</t>
  </si>
  <si>
    <t>V.OVP1%</t>
  </si>
  <si>
    <t>OVP1 threshold</t>
  </si>
  <si>
    <t>V.OVP1</t>
  </si>
  <si>
    <t>OVP2 threshold</t>
  </si>
  <si>
    <t>V.OVP2</t>
  </si>
  <si>
    <t>Bias current of ZCD resistor divider at OVP1 threshold</t>
  </si>
  <si>
    <t>I.bias.OVP1</t>
  </si>
  <si>
    <t>Maximum auxiliary to secondary turn ratio (naux/nsec)</t>
  </si>
  <si>
    <t>n.aux_sec_max</t>
  </si>
  <si>
    <t>Peak aux voltage at OVP1</t>
  </si>
  <si>
    <t>V.aux.OVP1</t>
  </si>
  <si>
    <t>Peak aux voltage at OVP2</t>
  </si>
  <si>
    <t>V.aux.OVP2</t>
  </si>
  <si>
    <t>Peak aux voltage at end of start-up</t>
  </si>
  <si>
    <t>V.aux.startup.end</t>
  </si>
  <si>
    <t>Peak output voltage at end of start-up</t>
  </si>
  <si>
    <t>V.out.startup.end</t>
  </si>
  <si>
    <t>Lower ZCD resistor divider</t>
  </si>
  <si>
    <t>R.ZCD.L.min</t>
  </si>
  <si>
    <t>Upper ZCD resistor divider</t>
  </si>
  <si>
    <t>R.ZCD.H.max</t>
  </si>
  <si>
    <t>OVP1 actual thresholds</t>
  </si>
  <si>
    <t>OVP2 actual thresholds</t>
  </si>
  <si>
    <t>OVP1 on auxiliary winding</t>
  </si>
  <si>
    <t>OVP2 on auxiliary winding</t>
  </si>
  <si>
    <t>Actual End-Start-up voltage on aux</t>
  </si>
  <si>
    <t>Actual End-Start-up voltage on output</t>
  </si>
  <si>
    <t>Actual auxiliary regulated voltage</t>
  </si>
  <si>
    <t>V.aux.reg</t>
  </si>
  <si>
    <t>to balnk</t>
  </si>
  <si>
    <t>Vacmin</t>
  </si>
  <si>
    <t>5-CFG (Pin11) - resistor setting:</t>
  </si>
  <si>
    <t>Configuration table summary</t>
  </si>
  <si>
    <t>K factor</t>
  </si>
  <si>
    <t>k.CFG</t>
  </si>
  <si>
    <t>Configuration resistor value</t>
  </si>
  <si>
    <t>R.CFG.max</t>
  </si>
  <si>
    <t>Actual brownout threshold</t>
  </si>
  <si>
    <t>V.BO</t>
  </si>
  <si>
    <t>LOUT2 setting</t>
  </si>
  <si>
    <t>Actual configuration</t>
  </si>
  <si>
    <t>Split resonant capacitors for forced HB configuration</t>
  </si>
  <si>
    <t>Link input data</t>
  </si>
  <si>
    <t>Vinmax</t>
  </si>
  <si>
    <t>Vinmin</t>
  </si>
  <si>
    <t>Link_power components</t>
  </si>
  <si>
    <t>F</t>
  </si>
  <si>
    <t>flmin</t>
  </si>
  <si>
    <t>FB and secondary side voltage control loop</t>
  </si>
  <si>
    <t>Secondary side voltage control loop schematics:</t>
  </si>
  <si>
    <t>V.Z</t>
  </si>
  <si>
    <t>Max feedback current</t>
  </si>
  <si>
    <t>I.FB.max</t>
  </si>
  <si>
    <t>Current out of FB pin</t>
  </si>
  <si>
    <t>I.FB.steady</t>
  </si>
  <si>
    <t>FB pin internal resistance</t>
  </si>
  <si>
    <t>R.FB</t>
  </si>
  <si>
    <t xml:space="preserve">Please Select a Voltage Regulator part number </t>
  </si>
  <si>
    <t>TL431AIT</t>
  </si>
  <si>
    <t>Tx431 referemce voltage</t>
  </si>
  <si>
    <t>V.R</t>
  </si>
  <si>
    <t>Tx431 min operating current</t>
  </si>
  <si>
    <t>I.min</t>
  </si>
  <si>
    <t xml:space="preserve">Please Select an Optocoupler part number </t>
  </si>
  <si>
    <t>Optodiode voltage drop</t>
  </si>
  <si>
    <t>V.Fo</t>
  </si>
  <si>
    <t>Optocoupler transfer ratio when Itr = 150uA</t>
  </si>
  <si>
    <t>CTR.steady</t>
  </si>
  <si>
    <t>Optocoupler capacitance</t>
  </si>
  <si>
    <t>C.opto</t>
  </si>
  <si>
    <t>Optocoupler transfer ratio when Itr = 300uA</t>
  </si>
  <si>
    <t>CTR.max</t>
  </si>
  <si>
    <t>Output feedback divider and Vout setting</t>
  </si>
  <si>
    <t>Upper resistor divider</t>
  </si>
  <si>
    <t>R.I</t>
  </si>
  <si>
    <t>Lower resistor divider</t>
  </si>
  <si>
    <t>Ro</t>
  </si>
  <si>
    <t>Limiting Resistor</t>
  </si>
  <si>
    <t>R.p.Max</t>
  </si>
  <si>
    <t>External EA biasing resistor_max value</t>
  </si>
  <si>
    <t>R.B.max</t>
  </si>
  <si>
    <t>External EA biasing resistor_min value</t>
  </si>
  <si>
    <t>R.B.min</t>
  </si>
  <si>
    <t xml:space="preserve">Maximum Feedback current </t>
  </si>
  <si>
    <t>I.FB</t>
  </si>
  <si>
    <t>DS_Gain</t>
  </si>
  <si>
    <t>K.HV</t>
  </si>
  <si>
    <t>K.M</t>
  </si>
  <si>
    <t>1/V^2</t>
  </si>
  <si>
    <t>K.FF</t>
  </si>
  <si>
    <t>V^3</t>
  </si>
  <si>
    <t>DS_Offset</t>
  </si>
  <si>
    <t>Vos</t>
  </si>
  <si>
    <t>Link to Preliminary calculations</t>
  </si>
  <si>
    <t>Link to Device Setting</t>
  </si>
  <si>
    <t>Feedback Loop Requirements</t>
  </si>
  <si>
    <t>Required phase margin</t>
  </si>
  <si>
    <t>Φ.M</t>
  </si>
  <si>
    <t>deg</t>
  </si>
  <si>
    <t>Max. 3rd harm. Distortion @ full load:</t>
  </si>
  <si>
    <t>D.3rd%</t>
  </si>
  <si>
    <t>Output Power setpoint</t>
  </si>
  <si>
    <t>Po</t>
  </si>
  <si>
    <t>Error Amplifier FB voltage at output power Po</t>
  </si>
  <si>
    <t>V.FB(Po)</t>
  </si>
  <si>
    <t>Output ripple voltage @ 2fL and output power Po (peak-peak):</t>
  </si>
  <si>
    <t>DV(Po,fl)</t>
  </si>
  <si>
    <t xml:space="preserve"> Control-to-output Transfer Function (Constant-power Load) @ output power Po</t>
  </si>
  <si>
    <t>Go(Po)</t>
  </si>
  <si>
    <t>Error Amplifier Quiescent Point</t>
  </si>
  <si>
    <t>V.FB_set</t>
  </si>
  <si>
    <t>Output ripple voltage @ 2fLmin: (peak-peak)</t>
  </si>
  <si>
    <t>ΔV.O</t>
  </si>
  <si>
    <t>Control-to-output Transfer Function (Constant-power Load) worst case</t>
  </si>
  <si>
    <t>G.o_wstOC</t>
  </si>
  <si>
    <t xml:space="preserve"> Control-to-Output TF Crossover Frequency</t>
  </si>
  <si>
    <t>f.cto_Cross</t>
  </si>
  <si>
    <t>Required E/A Gain @ 2fLmin</t>
  </si>
  <si>
    <t>EA_G.2fl</t>
  </si>
  <si>
    <t xml:space="preserve"> Max-to-min input voltage ratio</t>
  </si>
  <si>
    <t>Γ.v</t>
  </si>
  <si>
    <t>Required Venable's α  factor</t>
  </si>
  <si>
    <t>α.v</t>
  </si>
  <si>
    <t>fissato</t>
  </si>
  <si>
    <t>Required Venable's  K factor</t>
  </si>
  <si>
    <t>K.v</t>
  </si>
  <si>
    <t>Compensated Error Amplifier Goal Transfer Function (Type II + HF pole):</t>
  </si>
  <si>
    <t>Required Unity Gain Factor</t>
  </si>
  <si>
    <t>EA.o_Goal</t>
  </si>
  <si>
    <t>Required Central Frequency</t>
  </si>
  <si>
    <t>f.MB</t>
  </si>
  <si>
    <t>Required Pole Frequencies</t>
  </si>
  <si>
    <t>f.p_Goal</t>
  </si>
  <si>
    <t>Required Zero Frequency</t>
  </si>
  <si>
    <t>f.z_Goal</t>
  </si>
  <si>
    <t>Added high frequency pole</t>
  </si>
  <si>
    <t>f.p_HF</t>
  </si>
  <si>
    <t>ERROR AMPLIFIER Compensation Network Implementation (circuit connected to pin 9)</t>
  </si>
  <si>
    <t>Calculated feedback capacitor CFo</t>
  </si>
  <si>
    <t>C.Fo</t>
  </si>
  <si>
    <t>Calculated feedback capacitor  CF</t>
  </si>
  <si>
    <t>C.f</t>
  </si>
  <si>
    <t>Calculated feedback  resistor RF</t>
  </si>
  <si>
    <t>R.f</t>
  </si>
  <si>
    <t>Calculated feedback capacitor CFo for fpx pol</t>
  </si>
  <si>
    <t>C.fx</t>
  </si>
  <si>
    <t>Implemented Error Amplifier Transfer Function Expression</t>
  </si>
  <si>
    <t>Implemented EA Unity Gain Factor</t>
  </si>
  <si>
    <t>EA.o</t>
  </si>
  <si>
    <t>Implemented EA Zero and Pole Frequency</t>
  </si>
  <si>
    <t>f.z</t>
  </si>
  <si>
    <t>f.p</t>
  </si>
  <si>
    <t>Implemented EA Higher Pole Frequency:</t>
  </si>
  <si>
    <t>f.px</t>
  </si>
  <si>
    <t>Loop Compensation Check @ Operating Conditions</t>
  </si>
  <si>
    <t>Output Power percentage</t>
  </si>
  <si>
    <t>P.o.%</t>
  </si>
  <si>
    <t>P.o.x</t>
  </si>
  <si>
    <t>V.FB_OC</t>
  </si>
  <si>
    <t>Output ripple voltage @ 2fL: (peak)</t>
  </si>
  <si>
    <t>ΔV.O_OC</t>
  </si>
  <si>
    <t>Control-to-Output Transfer function (constant-power load)</t>
  </si>
  <si>
    <t>G.o_OC</t>
  </si>
  <si>
    <t>Control-to-Output TF Crossover Frequency</t>
  </si>
  <si>
    <t>f.cto_cross</t>
  </si>
  <si>
    <t>Feedback Loop Requirements check</t>
  </si>
  <si>
    <t>Fcross</t>
  </si>
  <si>
    <t>2*fL</t>
  </si>
  <si>
    <t>frequency</t>
  </si>
  <si>
    <t>Crossover Frequency</t>
  </si>
  <si>
    <t>f.cross</t>
  </si>
  <si>
    <t>G.cto_OC</t>
  </si>
  <si>
    <t>Actual Phase Margin</t>
  </si>
  <si>
    <t>ϕ.M.Act</t>
  </si>
  <si>
    <t>Deg</t>
  </si>
  <si>
    <t>Actual E/A Gain @ 2fL</t>
  </si>
  <si>
    <t>EAG.2fl.Act</t>
  </si>
  <si>
    <t>Actual 3rd Harmonic Distortion @ 2fL</t>
  </si>
  <si>
    <t>D.3rd%.Act</t>
  </si>
  <si>
    <t>IGcto_OCI</t>
  </si>
  <si>
    <t>Fase_Gcto_OC</t>
  </si>
  <si>
    <t>Estimated FB ripple at BM entering threshold</t>
  </si>
  <si>
    <t>ΔV.FM@BM</t>
  </si>
  <si>
    <t>Suggested reduction of RBM resistor</t>
  </si>
  <si>
    <t>ΔRBM</t>
  </si>
  <si>
    <t>EA (f)</t>
  </si>
  <si>
    <t>EA(2fL)</t>
  </si>
  <si>
    <t>IEA(f)I</t>
  </si>
  <si>
    <t>Fase EA</t>
  </si>
  <si>
    <t>Zero</t>
  </si>
  <si>
    <t>IH_OL_OCI</t>
  </si>
  <si>
    <t>Fase H_OL_OC</t>
  </si>
  <si>
    <t>Power Part Schematics</t>
  </si>
  <si>
    <t>BOM and Schematics</t>
  </si>
  <si>
    <t>Resonant tank parameters</t>
  </si>
  <si>
    <t>Pri. to Sec. turn ratio</t>
  </si>
  <si>
    <t>Auxiliary to Secondary turn ratio</t>
  </si>
  <si>
    <t>n.aux_sec</t>
  </si>
  <si>
    <t>PFC input Capacitor</t>
  </si>
  <si>
    <t>Cin</t>
  </si>
  <si>
    <t>µF</t>
  </si>
  <si>
    <t>Cout ceramic</t>
  </si>
  <si>
    <t>HVSU connecting diodes PN</t>
  </si>
  <si>
    <t>Selected component</t>
  </si>
  <si>
    <t>PN</t>
  </si>
  <si>
    <t>Example of Diodes  PN (x 2)</t>
  </si>
  <si>
    <t>S1M</t>
  </si>
  <si>
    <t>Input Bridge Rectifier  PN</t>
  </si>
  <si>
    <t>Sense resistor</t>
  </si>
  <si>
    <t>Rsense total value</t>
  </si>
  <si>
    <t>Single Rsense value</t>
  </si>
  <si>
    <t>Number of Rsense</t>
  </si>
  <si>
    <t>Compensation network and Output Divider</t>
  </si>
  <si>
    <t>Feedback capacitor CFo</t>
  </si>
  <si>
    <t>C.fo</t>
  </si>
  <si>
    <t>Feedback capacitor CF</t>
  </si>
  <si>
    <t>Feedback resistor RF</t>
  </si>
  <si>
    <t xml:space="preserve">feedback capacitor </t>
  </si>
  <si>
    <t>Output Voltage upper resistor</t>
  </si>
  <si>
    <t>Output Voltage lower resistor</t>
  </si>
  <si>
    <t>R.o</t>
  </si>
  <si>
    <t>Photodiode parallel resistor</t>
  </si>
  <si>
    <t>R.P</t>
  </si>
  <si>
    <t>Bias resistor</t>
  </si>
  <si>
    <t>R.B</t>
  </si>
  <si>
    <t>Controller Part Schematics</t>
  </si>
  <si>
    <t>L6790 pin configuration</t>
  </si>
  <si>
    <t>R.ZCD.L</t>
  </si>
  <si>
    <t>R.ZCD.H</t>
  </si>
  <si>
    <t>VCO Timing Capacitor</t>
  </si>
  <si>
    <t>C.T</t>
  </si>
  <si>
    <t>VCO Timing Resistor</t>
  </si>
  <si>
    <t>R.T</t>
  </si>
  <si>
    <t>Burst Mode resistor</t>
  </si>
  <si>
    <t>R.BM</t>
  </si>
  <si>
    <t>CFG resistor</t>
  </si>
  <si>
    <t>R.CFG</t>
  </si>
  <si>
    <t>Half Bridge Switches PN</t>
  </si>
  <si>
    <t>Primary switches</t>
  </si>
  <si>
    <t>HVG1, HVG2, LVG1, LVG2</t>
  </si>
  <si>
    <t>Output power stage PN</t>
  </si>
  <si>
    <t>Optocoupler PN</t>
  </si>
  <si>
    <t>Feedabck Optocoupler</t>
  </si>
  <si>
    <t>EA Voltage Reference PN</t>
  </si>
  <si>
    <t>External Error Amplifier</t>
  </si>
  <si>
    <t>θ</t>
  </si>
  <si>
    <t>V.f</t>
  </si>
  <si>
    <t>Vin_min</t>
  </si>
  <si>
    <t>Vin_nom</t>
  </si>
  <si>
    <t>Vin_max</t>
  </si>
  <si>
    <t>Po-100%</t>
  </si>
  <si>
    <t>Po-75%</t>
  </si>
  <si>
    <t>Po-50%</t>
  </si>
  <si>
    <t>Po-25%</t>
  </si>
  <si>
    <t>Mreq(Vin_min, Vout,θ )</t>
  </si>
  <si>
    <t>Mreq(Vin_max, Vout,θ )</t>
  </si>
  <si>
    <t>Mreq(Vin_max, Vout,π/2 )</t>
  </si>
  <si>
    <t>P(100% Po,θ )</t>
  </si>
  <si>
    <t>P(75% Po,θ )</t>
  </si>
  <si>
    <t>P(50% Po,θ )</t>
  </si>
  <si>
    <t>P(25% Po,θ )</t>
  </si>
  <si>
    <t>fn.0</t>
  </si>
  <si>
    <t>fn</t>
  </si>
  <si>
    <t>fmax</t>
  </si>
  <si>
    <t>M.OL(fn)</t>
  </si>
  <si>
    <t>M.Z(fn)</t>
  </si>
  <si>
    <t>Minf</t>
  </si>
  <si>
    <t>π/2</t>
  </si>
  <si>
    <t>5π/12</t>
  </si>
  <si>
    <t>π/3</t>
  </si>
  <si>
    <t>π/4</t>
  </si>
  <si>
    <t>π/6</t>
  </si>
  <si>
    <t>π/12</t>
  </si>
  <si>
    <t>Q(Po,π/2 )</t>
  </si>
  <si>
    <t>Q(Po,5π/12 )</t>
  </si>
  <si>
    <t>Q(Po,π/3)</t>
  </si>
  <si>
    <t>Q(Po,π/4 )</t>
  </si>
  <si>
    <t>Q(Po,π/6)</t>
  </si>
  <si>
    <t>Q(Po,π/12)</t>
  </si>
  <si>
    <t>Fn max gain</t>
  </si>
  <si>
    <t>This cell value is fn at maximum gain</t>
  </si>
  <si>
    <t>M(fn,Po,π/2)</t>
  </si>
  <si>
    <t>M(fn,Po,5π/12)</t>
  </si>
  <si>
    <t>M(fn,Po,π/3)</t>
  </si>
  <si>
    <t>M(fn,Po,π/4)</t>
  </si>
  <si>
    <t>M(fn,Po,π/6)</t>
  </si>
  <si>
    <t>M(fn,Po,π/12)</t>
  </si>
  <si>
    <t>Mreq(Vin_min, Vout,π/2 )</t>
  </si>
  <si>
    <t>Mreq(Vin_min, Vout,5π/12 )</t>
  </si>
  <si>
    <t>Mreq(Vin_min, Vout,π/3 )</t>
  </si>
  <si>
    <t>Mreq(Vin_min, Vout,π/4 )</t>
  </si>
  <si>
    <t>Mreq(Vin_min, Vout,π/6 )</t>
  </si>
  <si>
    <t>Mreq(Vin_min, Vout,π/12 )</t>
  </si>
  <si>
    <t>fn where M(fn,Po,π/2)=Mreq(Vin_min, Vout,π/2 )</t>
  </si>
  <si>
    <t>fn where M(fn,Po,5π/12)=Mreq(Vin_min, Vout,5π/12 )</t>
  </si>
  <si>
    <t>fn where M(fn,Po,π/3)=Mreq(Vin_min, Vout,π/3 )</t>
  </si>
  <si>
    <t>fn where M(fn,Po,π/4)=Mreq(Vin_min, Vout,π/4 )</t>
  </si>
  <si>
    <t>fn where M(fn,Po,π/6)=Mreq(Vin_min, Vout,π/6 )</t>
  </si>
  <si>
    <t>fn where M(fn,Po,π/12)=Mreq(Vin_min, Vout,π/12 )</t>
  </si>
  <si>
    <t>Mreq(Vin_max, Vout,5π/12 )</t>
  </si>
  <si>
    <t>Mreq(Vin_max, Vout,π/3 )</t>
  </si>
  <si>
    <t>Mreq(Vin_max, Vout,π/4 )</t>
  </si>
  <si>
    <t>Mreq(Vin_max, Vout,π/6 )</t>
  </si>
  <si>
    <t>Mreq(Vin_max, Vout,π/12 )</t>
  </si>
  <si>
    <t>fn where M(fn,Po,π/2)=Mreq(Vin_max, Vout,π/2 )</t>
  </si>
  <si>
    <t>fn where M(fn,Po,5π/12)=Mreq(Vin_max, Vout,5π/12 )</t>
  </si>
  <si>
    <t>fn where M(fn,Po,π/3)=Mreq(Vin_max, Vout,π/3 )</t>
  </si>
  <si>
    <t>fn where M(fn,Po,π/4)=Mreq(Vin_max, Vout,π/4 )</t>
  </si>
  <si>
    <t>fn where M(fn,Po,π/6)=Mreq(Vin_max, Vout,π/6 )</t>
  </si>
  <si>
    <t>fn where M(fn,Po,π/12)=Mreq(Vin_max, Vout,π/12 )</t>
  </si>
  <si>
    <t>Mreq(Vin_nom, Vout,π/2 )</t>
  </si>
  <si>
    <t>Mreq(Vin_nom, Vout,5π/12 )</t>
  </si>
  <si>
    <t>Mreq(Vin_nom, Vout,π/3 )</t>
  </si>
  <si>
    <t>Mreq(Vin_nom, Vout,π/4 )</t>
  </si>
  <si>
    <t>Mreq(Vin_nom, Vout,π/6 )</t>
  </si>
  <si>
    <t>Mreq(Vin_nom, Vout,π/12 )</t>
  </si>
  <si>
    <t>fn where M(fn,Po,π/2)=Mreq(Vin_nom, Vout,π/2 )</t>
  </si>
  <si>
    <t>fn where M(fn,Po,5π/12)=Mreq(Vin_nom, Vout,5π/12 )</t>
  </si>
  <si>
    <t>fn where M(fn,Po,π/3)=Mreq(Vin_nom, Vout,π/3 )</t>
  </si>
  <si>
    <t>fn where M(fn,Po,π/4)=Mreq(Vin_nom, Vout,π/4 )</t>
  </si>
  <si>
    <t>fn where M(fn,Po,π/6)=Mreq(Vin_nom, Vout,π/6 )</t>
  </si>
  <si>
    <t>fn where M(fn,Po,π/12)=Mreq(Vin_nom, Vout,π/12 )</t>
  </si>
  <si>
    <t>Q(100% Po,π/2 )</t>
  </si>
  <si>
    <t>Q(75% Po,π/2 )</t>
  </si>
  <si>
    <t>Q(50% Po,π/2 )</t>
  </si>
  <si>
    <t>Q(25% Po,π/2 )</t>
  </si>
  <si>
    <t>M(fn,100% Po,π/2)</t>
  </si>
  <si>
    <t>M(fn,75% Po,π/2)</t>
  </si>
  <si>
    <t>M(fn,50% Po,π/2)</t>
  </si>
  <si>
    <t>M(fn,25% Po,π/2)</t>
  </si>
  <si>
    <t>Q(100% Po,π/4 )</t>
  </si>
  <si>
    <t>Q(75% Po,π/4 )</t>
  </si>
  <si>
    <t>Q(50% Po,π/4)</t>
  </si>
  <si>
    <t>Q(25% Po,π/4 )</t>
  </si>
  <si>
    <t>M(fn,100% Po,π/4)</t>
  </si>
  <si>
    <t>M(fn,75% Po,π/4)</t>
  </si>
  <si>
    <t>M(fn,50% Po,π/4)</t>
  </si>
  <si>
    <t>M(fn,25% Po,π/4)</t>
  </si>
  <si>
    <t>M(fn,100%,π/2)-Mreq(Vin_min, Vout,π/2)</t>
  </si>
  <si>
    <t>Favg_load</t>
  </si>
  <si>
    <t>Freal</t>
  </si>
  <si>
    <t>IF&lt;0,005</t>
  </si>
  <si>
    <t>M(fn,75%,π/2)-Mreq(Vin_min, Vout,π/2)</t>
  </si>
  <si>
    <t>M(fn,50%,π/2)-Mreq(Vin_min, Vout,π/2)</t>
  </si>
  <si>
    <t>M(fn,25%,π/2)-Mreq(Vin_min, Vout,π/2)</t>
  </si>
  <si>
    <t>M(fn,100%,π/4)-Mreq(Vin_max, Vout,π/4)</t>
  </si>
  <si>
    <t>M(fn,75%,π/4)-Mreq(Vin_max, Vout,π/4)</t>
  </si>
  <si>
    <t>M(fn,50%,π/4)-Mreq(Vin_max, Vout,π/4)</t>
  </si>
  <si>
    <t>M(fn,25%,π/4)-Mreq(Vin_max, Vout,π/4)</t>
  </si>
  <si>
    <t>Angolo</t>
  </si>
  <si>
    <t>Rad</t>
  </si>
  <si>
    <t>centro</t>
  </si>
  <si>
    <t xml:space="preserve">fsw </t>
  </si>
  <si>
    <t>fres [kHz]</t>
  </si>
  <si>
    <t>π</t>
  </si>
  <si>
    <t>11π/12</t>
  </si>
  <si>
    <t>5π/6</t>
  </si>
  <si>
    <t>3π/4</t>
  </si>
  <si>
    <t>2π/3</t>
  </si>
  <si>
    <t>7π/12</t>
  </si>
  <si>
    <t>Vinnom</t>
  </si>
  <si>
    <t>Upper fres</t>
  </si>
  <si>
    <t xml:space="preserve">Lower fres </t>
  </si>
  <si>
    <t>PI/4</t>
  </si>
  <si>
    <t>PI/3</t>
  </si>
  <si>
    <t>PI/2</t>
  </si>
  <si>
    <t>2*PI/3</t>
  </si>
  <si>
    <t>3*PI/4</t>
  </si>
  <si>
    <t>Pinst</t>
  </si>
  <si>
    <t>Iout.inst</t>
  </si>
  <si>
    <t>@Vinmin</t>
  </si>
  <si>
    <t>fsw</t>
  </si>
  <si>
    <t>fr</t>
  </si>
  <si>
    <t>Isec.pk.tsw</t>
  </si>
  <si>
    <t>Isec.rms.tsw (per winding)</t>
  </si>
  <si>
    <t>Idiode.rms.tsw (per diode)</t>
  </si>
  <si>
    <t>Itrafo.pk.tsw</t>
  </si>
  <si>
    <t>Ilm.pk.tsw (trapezoidal)</t>
  </si>
  <si>
    <t>Ipri.rms.tsw</t>
  </si>
  <si>
    <t>Imos.rms.tsw (per mos)</t>
  </si>
  <si>
    <t>Icout.rms</t>
  </si>
  <si>
    <t>@Vinmax</t>
  </si>
  <si>
    <t>@Vinnom</t>
  </si>
  <si>
    <t>Case Size Table and Permissible Ripple Current</t>
  </si>
  <si>
    <t>Multicomp PRO MCLPR Series</t>
  </si>
  <si>
    <t xml:space="preserve">W.V. </t>
  </si>
  <si>
    <t xml:space="preserve">Cap.(μF) </t>
  </si>
  <si>
    <t>Case Size ØD [mm]</t>
  </si>
  <si>
    <t>Case Size L [mm]</t>
  </si>
  <si>
    <t>R.C. [A rms]</t>
  </si>
  <si>
    <t>tan(delta)</t>
  </si>
  <si>
    <t>Estimated ESR</t>
  </si>
  <si>
    <t>Volume cm3</t>
  </si>
  <si>
    <t>Cap/Vol</t>
  </si>
  <si>
    <t>Energy/Vol maximum</t>
  </si>
  <si>
    <t>Energy/Vol  suitable cap</t>
  </si>
  <si>
    <t>Total volume</t>
  </si>
  <si>
    <t>Min</t>
  </si>
  <si>
    <t>Expected cap volume [cm3]</t>
  </si>
  <si>
    <t>Number of caps</t>
  </si>
  <si>
    <t>Volume check</t>
  </si>
  <si>
    <t>Output voltage</t>
  </si>
  <si>
    <t>link</t>
  </si>
  <si>
    <t>Ripple pk-pk</t>
  </si>
  <si>
    <t xml:space="preserve">Maximum output voltage </t>
  </si>
  <si>
    <t>Min cap for ripple pk-pk</t>
  </si>
  <si>
    <t>Min cap for hold-up</t>
  </si>
  <si>
    <t>Max required cap</t>
  </si>
  <si>
    <t>Max height link [mm]</t>
  </si>
  <si>
    <t>Max height [mm]</t>
  </si>
  <si>
    <t>*25</t>
    <phoneticPr fontId="35" type="noConversion"/>
  </si>
  <si>
    <t>2-ISEN (Pin6) Current sense resistor calculation</t>
    <phoneticPr fontId="35" type="noConversion"/>
  </si>
  <si>
    <t>ADDED 2026-08-21 - ISEN (pin 6) block, guide eq. [79] [81] [84]. None of these five were touched by rev 0.6.</t>
  </si>
  <si>
    <t>D32</t>
  </si>
  <si>
    <t>=CC!E27  (= I.trafo.pk only)</t>
  </si>
  <si>
    <t>=IF(z&gt;=1,CC!E28,CC!E28*(2*ACOS(-z)/PI()-1)+CC!E27*SQRT(1-z^2)), z=2*CC!E28/(PI()*CC!E27)</t>
  </si>
  <si>
    <t>C.14 (guide eq.[79]): R.CS is in the bridge return and sees the COMPOSITE tank current, load component plus magnetizing component. The cell is named Ilr.pk.max but was wired to I.trafo.pk, which is about 10 % low, so R.CS.max2 came out about 10 % too permissive. Closed form: the peak of I.Lm.pk*(2x-1)+I.trafo.pk*sin(pi*x) is at cos(pi*x)=-z.</t>
  </si>
  <si>
    <t>D33</t>
  </si>
  <si>
    <t>=MAX(CC!C29,'Preliminary Calculation'!D11)</t>
  </si>
  <si>
    <t>=MAX(CC!E29,'Preliminary Calculation'!D11)</t>
  </si>
  <si>
    <t>C.16: CC!C29 is the switching-period rms at theta = pi/4 only - neither the line-cycle rms (the physically correct basis for dissipation) nor the worst switching period. Guide eq.[81] and its worked example use the worst switching period, CC!E29 at theta = pi/2. Conservative, and it makes the parallel-resistor count honest.</t>
  </si>
  <si>
    <t>D45</t>
  </si>
  <si>
    <t>=D43*(3/220+1/440)^-1   (= 188.571 mOhm, constant)</t>
  </si>
  <si>
    <t>=D44</t>
  </si>
  <si>
    <t>C.15: this was not a calculation. (3/220+1/440)^-1 = 62.857 mOhm is the EVL board network 220||220||220||(220+220) written as a conductance sum; multiplying by D43 only cancelled the /D43 on the next row, so R.CS stayed 62.857 mOhm whatever the design. It also exceeded its own ceiling D44 without any warning once the spec changed. D45 is now the calculated maximum single resistor and F45 holds the selection.</t>
  </si>
  <si>
    <t>F45 / D43 / D46</t>
  </si>
  <si>
    <t>text "220||220||220||(220+220)" / 3 / =D45/D43</t>
  </si>
  <si>
    <t>120 (mOhm) / 5 / =IF(ISNUMBER(F45),F45,D45)/D43</t>
  </si>
  <si>
    <t>F45 is now a numeric selected value, following the IF(selected,selected,calculated) idiom used everywhere else in this workbook. 5 x 120 mOhm = 24.0 mOhm, which is below D38 and matches the SMath design sheet. Note the old network was NOT three equal resistors: it was five 220 mOhm parts (three single + two in series, equivalent to 3.5 in parallel) sharing power 28.6 / 28.6 / 28.6 / 7.1 / 7.1 %, so the "N identical resistors" model behind D46 never described it.</t>
  </si>
  <si>
    <t>F61</t>
  </si>
  <si>
    <t>78 (kOhm)</t>
  </si>
  <si>
    <t>30 (kOhm)</t>
  </si>
  <si>
    <t>Consequence of the R.CS correction, not an independent change: D61 R.BM.max = 16.7*(P.in.BM*R.CS) is proportional to R.CS, so it fell from 78.7 to 30.1 kOhm. Leaving 78 kOhm would have moved the burst entry to 195 W. 30 kOhm reproduces the D57 = 75 W that was already selected. NOTE: D57 = 75 W is itself a leftover from the 240 W example - it is 11 % of P.in here, not the 30 % it was there.</t>
  </si>
  <si>
    <t>Composite resonant peak = load + magnetizing (NOT I.trafo.pk alone) [79]</t>
  </si>
  <si>
    <t>OCP1 / OCP2 trip currents  [84]  - ADDED</t>
  </si>
  <si>
    <t>I.OCP1</t>
  </si>
  <si>
    <t>I.OCP2</t>
  </si>
  <si>
    <t>OCP1 margin over the composite peak D32  - target &gt; 1.2</t>
  </si>
  <si>
    <t>k.OCP1</t>
  </si>
  <si>
    <t>R.CS.single</t>
    <phoneticPr fontId="35" type="noConversion"/>
  </si>
  <si>
    <t>Suggested single sense resistor (largest E24 value at or below D44) - put your actual choice in F45</t>
  </si>
  <si>
    <t>D45 / B45</t>
  </si>
  <si>
    <t>=D44  (122.668 mOhm)</t>
  </si>
  <si>
    <t>=LOOKUP(D44/10^INT(LOG10(D44)),{E24 mantissas})*10^INT(LOG10(D44))</t>
  </si>
  <si>
    <t>D44 is the ceiling, not a part number - 122.668 mOhm cannot be bought. D45 now reports the largest E24 value at or below it (120 mOhm), so the row reads as a suggestion and F45 stays the place where the real choice goes. D46 already takes IF(ISNUMBER(F45),F45,D45)/D43, so leaving F45 empty falls back on the suggestion.</t>
  </si>
  <si>
    <t>Feedback supply voltage</t>
    <phoneticPr fontId="35" type="noConversion"/>
  </si>
  <si>
    <t>Input and output cap</t>
    <phoneticPr fontId="35" type="noConversion"/>
  </si>
  <si>
    <t>Output EL capacitor (single)</t>
  </si>
  <si>
    <t>C.out.single</t>
  </si>
  <si>
    <t>Number of output EL capacitors</t>
  </si>
  <si>
    <t>Output capacitance TOTAL</t>
  </si>
  <si>
    <t>C.out</t>
  </si>
  <si>
    <t>mF</t>
  </si>
  <si>
    <t>Output ceramic, high frequency</t>
  </si>
  <si>
    <t>BOM&amp;Schematics</t>
  </si>
  <si>
    <t>C19:G22</t>
  </si>
  <si>
    <t>the capacitor bank was one row holding only the SINGLE value (680 uF), with the count on its own line and no total anywhere; a first fix put Count/TOTAL in H/I, which sits under the Power Part Schematics picture and overwrote the column G source hint</t>
  </si>
  <si>
    <t>four rows inside the existing C..F table: single, count, TOTAL (= E19*E20/1000, in mF) and the ceramic. The blank row 22 is used so no row is inserted and nothing below moves</t>
  </si>
  <si>
    <t>A bank is only defined by single x count = total. Column G carries =IF(E..,"","&lt;source sheet&gt;") on every row of this sheet and must not be taken.</t>
  </si>
  <si>
    <t>F44 / F38</t>
  </si>
  <si>
    <t>C.f unit "uF"; number of sense resistors unit "mOhm"</t>
  </si>
  <si>
    <t>C.f unit "nF"; count unit "-"</t>
  </si>
  <si>
    <t>Labelling errors. C.f is 200 nF everywhere else (CompensationNet&amp;Check F94) and D38 is a count.</t>
  </si>
  <si>
    <t>16 kOhm - BELOW its own D43 minimum of 16.024 kOhm</t>
  </si>
  <si>
    <t>16.5 kOhm</t>
  </si>
  <si>
    <t>Outside the D42..D43 window the FB anti-saturation circuit loses its linear range. 16.5 k sits inside 16.02..18.22 k with 3 % margin at the bottom and 10 % at the top.</t>
  </si>
  <si>
    <t>F108</t>
  </si>
  <si>
    <t>32 kOhm - V.BO = 90.5 V, ABOVE V.AC_min = 90 V</t>
  </si>
  <si>
    <t>30 kOhm - V.BO = 84.9 V</t>
  </si>
  <si>
    <t>D108 gives 31.82 k as the ceiling for a 90 V brown-out point. At 32 k the converter browns out at minimum line. 30 k also keeps CFG inside the 15..47 k morphing window.</t>
  </si>
  <si>
    <t>Ipri.rms @θ=π/4 (approx.)</t>
  </si>
  <si>
    <t>Isec.rms @θ=π/4 (approx.)</t>
  </si>
  <si>
    <t>Res. Tank Design / Power Components</t>
  </si>
  <si>
    <t>C65 C67 C60 C61 C84 C85 / F60 F61 F84 F85 / D78 D100</t>
  </si>
  <si>
    <t>D73</t>
  </si>
  <si>
    <t>D46 · D47</t>
  </si>
  <si>
    <t>D13</t>
  </si>
  <si>
    <t>F41</t>
  </si>
  <si>
    <t>1.4 kOhm (E96)</t>
  </si>
  <si>
    <t>F7</t>
  </si>
  <si>
    <t>2200 nF (E6)</t>
  </si>
  <si>
    <t>C24</t>
  </si>
  <si>
    <t>D39 E39 D52 E52</t>
  </si>
  <si>
    <t>C55 · C56</t>
  </si>
  <si>
    <t>"Lower ZCD resistor (to GND)" / "Upper ZCD resistor (to aux winding)"</t>
  </si>
  <si>
    <t>E37</t>
  </si>
  <si>
    <t>=IF('Device Setting'!F45,'Device Setting'!F45,'Device Setting'!D45)</t>
  </si>
  <si>
    <t>C15 · C59</t>
  </si>
  <si>
    <t>C15 = "Config.mains", C59 = "Config.rect"</t>
  </si>
  <si>
    <t>Config.mains</t>
  </si>
  <si>
    <t>Config.rect</t>
  </si>
  <si>
    <t>k.CT (&gt;1)</t>
  </si>
  <si>
    <t>RT.ceil (NOT a minimum)</t>
  </si>
  <si>
    <t>k.RT.ceil (&gt;1)</t>
  </si>
  <si>
    <t>k.naux (&gt;1)</t>
  </si>
  <si>
    <t>f.180</t>
  </si>
  <si>
    <t>|T|@f.180</t>
  </si>
  <si>
    <t>GM</t>
  </si>
  <si>
    <t>dB</t>
  </si>
  <si>
    <t>GM.target</t>
  </si>
  <si>
    <t>k.GM</t>
  </si>
  <si>
    <t>Lower ZCD resistor (to GND)</t>
  </si>
  <si>
    <t>Upper ZCD resistor (to aux winding)</t>
  </si>
  <si>
    <t>D28 · D29 · D30</t>
  </si>
  <si>
    <t>D110</t>
  </si>
  <si>
    <t>D22 · D33</t>
  </si>
  <si>
    <t>5PI/12</t>
  </si>
  <si>
    <t>PI/6</t>
  </si>
  <si>
    <t>PI/12</t>
  </si>
  <si>
    <t>CC · Res. Tank Design · Power Components</t>
  </si>
  <si>
    <t>CC F~H 20:31 · CC 32 · CC J · Res.Tank D65 D67 · Power D28</t>
  </si>
  <si>
    <t>Regulated Output Voltage - TARGET (the divider is chosen to hit this)</t>
  </si>
  <si>
    <t>Regulated output voltage - ACTUAL, from the selected divider (target is Design Spec D23)</t>
  </si>
  <si>
    <t>Vin.min @ pi/2</t>
  </si>
  <si>
    <t>Vin.min @ 5pi/12</t>
  </si>
  <si>
    <t>Vin.min @ pi/3</t>
  </si>
  <si>
    <t>Vin.min @ pi/4</t>
  </si>
  <si>
    <t>Vin.min @ pi/6</t>
  </si>
  <si>
    <t>Vin.min @ pi/12</t>
  </si>
  <si>
    <t>Vin.max @ pi/2</t>
  </si>
  <si>
    <t>Vin.max @ 5pi/12</t>
  </si>
  <si>
    <t>Vin.max @ pi/3</t>
  </si>
  <si>
    <t>Vin.max @ pi/4</t>
  </si>
  <si>
    <t>Vin.max @ pi/6</t>
  </si>
  <si>
    <t>Vin.max @ pi/12</t>
  </si>
  <si>
    <t>Vin.nom @ pi/2</t>
  </si>
  <si>
    <t>Vin.nom @ 5pi/12</t>
  </si>
  <si>
    <t>Vin.nom @ pi/3</t>
  </si>
  <si>
    <t>Vin.nom @ pi/4</t>
  </si>
  <si>
    <t>Vin.nom @ pi/6</t>
  </si>
  <si>
    <t>Vin.nom @ pi/12</t>
  </si>
  <si>
    <t>M.req</t>
  </si>
  <si>
    <t>Q</t>
  </si>
  <si>
    <t>a2</t>
  </si>
  <si>
    <t>a1</t>
  </si>
  <si>
    <t>a0</t>
  </si>
  <si>
    <t>p</t>
  </si>
  <si>
    <t>q</t>
  </si>
  <si>
    <t>w</t>
  </si>
  <si>
    <t>z</t>
  </si>
  <si>
    <t>ang</t>
  </si>
  <si>
    <t>x</t>
  </si>
  <si>
    <t>0 (θ→0)</t>
  </si>
  <si>
    <t>Vin_max (equivalent, = MAX of the AC maximum and the FB morphing corner)</t>
  </si>
  <si>
    <t>D74 · D75</t>
  </si>
  <si>
    <t>Primary RMS current @Vin min - whole tank</t>
  </si>
  <si>
    <t>Primary RMS Switch current @Vin min - per switch POSITION</t>
  </si>
  <si>
    <t>Primary RMS current in ONE device</t>
  </si>
  <si>
    <t>Imos.rms.dev</t>
  </si>
  <si>
    <t>Suggested Min Current rating per switch POSITION</t>
  </si>
  <si>
    <t>IF Switch (composite tank peak)</t>
  </si>
  <si>
    <t>Primary peak current in ONE device</t>
  </si>
  <si>
    <t>Ilr.pk.dev</t>
  </si>
  <si>
    <t>Devices in parallel per switch position</t>
  </si>
  <si>
    <t>Body diode recovery condition - bus voltage</t>
  </si>
  <si>
    <t>Vbd.rr</t>
  </si>
  <si>
    <t>Body diode recovery condition - current</t>
  </si>
  <si>
    <t>Ibd.rr</t>
  </si>
  <si>
    <t>Maximum Power Losses estimation for ONE device</t>
  </si>
  <si>
    <t>kT.pri</t>
  </si>
  <si>
    <t>Secondary RMS current @Vin min - each winding</t>
  </si>
  <si>
    <t>Secondary RMS Switch current @Vin min - each LEG</t>
  </si>
  <si>
    <t>Secondary peak Switch current @Vin min - each LEG</t>
  </si>
  <si>
    <t>Secondary RMS current in ONE device</t>
  </si>
  <si>
    <t>Isr.rms.dev</t>
  </si>
  <si>
    <t>Suggested Min Voltage rating for each power switch</t>
  </si>
  <si>
    <t>Suggested Min Current rating per LEG</t>
  </si>
  <si>
    <t>Secondary peak current in ONE device</t>
  </si>
  <si>
    <t>Isr.pk.dev</t>
  </si>
  <si>
    <t>Rectifier device type (1 = diode/Schottky, 2 = SR MOSFET)</t>
  </si>
  <si>
    <t>Conf.SR</t>
  </si>
  <si>
    <t>Rectifier forward voltage drop (Conf.SR = 1 only)</t>
  </si>
  <si>
    <t>kT.sec</t>
  </si>
  <si>
    <t>Estimated Rth, per device, at Tj = 125˚C</t>
  </si>
  <si>
    <t>Total Power dissipation, all rectifier devices</t>
  </si>
  <si>
    <t>SR devices in parallel per leg</t>
  </si>
  <si>
    <t>n.SR</t>
  </si>
  <si>
    <t>CC!C25/C26/C29/C30 (a SINGLE point, theta=pi/4) were labelled "mains cycle" rms, and those values fed the semiconductor loss calculations directly.</t>
  </si>
  <si>
    <t>Relabelled "@theta=pi/4 (approx.)", and added yellow input cells in column F carrying the line-cycle rms from the SMath sheet (F60 10.90 / F61 7.707 / F84 and F85 28.31 A). The loss formulas D78 and D100 prefer the selected value via IF(ISNUMBER(F..),F..,D..).</t>
  </si>
  <si>
    <t>theta=pi/4 equals the line-cycle rms only if the envelope is sin(theta). The real envelope is sin^2(theta), so the primary is understated by 5.9 % and the secondary by 17.6 %; loss goes as the square, so rectifier loss is out by a factor 1.38 (7.93 -&gt; 10.98 W, required Rth 12.60 -&gt; 9.11 C/W). The CC sheet had only three theta columns, too few to integrate, so the SMath figures were imported. HISTORY.md C.18</t>
  </si>
  <si>
    <t>H132:AV167 (196 cells)</t>
  </si>
  <si>
    <t>The high-frequency pole f_px is computed in D104 and then referenced by no loop-verification formula at all. Gain, phase and crossover were built from f_z and f_p alone.</t>
  </si>
  <si>
    <t>Inserted the f_px term into 196 cells: /(1+(f/f_px)^2) into the 120 gain formulas, -ATAN(f/f_px) into the 76 phase formulas.</t>
  </si>
  <si>
    <t>Phase near crossover came out 0.8 to 1.1 degrees optimistic. In a design whose margin sits close to 45 degrees that can invert the verdict. Appendix C.12</t>
  </si>
  <si>
    <t>Labelled "Required E/A Gain @ 2fL,min", but the denominator was D65 - the ripple at the NOMINAL line frequency. D68 computes the f_l,min ripple and was never referenced.</t>
  </si>
  <si>
    <t>Denominator changed to D68.</t>
  </si>
  <si>
    <t>50/47 = 1.064x optimistic. The error propagates EA_o -&gt; f_MB -&gt; f_z -&gt; C_Fo -&gt; R_F, moving the compensation values by 3 to 6 %. Where a line-frequency RANGE is specified, the minimum is the worst case. Appendix C.13</t>
  </si>
  <si>
    <t>The ST tool defaults c.HB = 500 pF and t.D = 270 ns were still in place.</t>
  </si>
  <si>
    <t>c.HB = 800 pF, t.D = 220 ns - the parts actually selected for this design.</t>
  </si>
  <si>
    <t>The SMath sheet used 800 pF / 220 ns from the start, so the two documents disagreed at the INPUT. Q.ZVS.2 is non-dominant, so the tank does not move; only the T.ZC verdict becomes correct.</t>
  </si>
  <si>
    <t>T_idle = 350 ns (the value implied by the C_T,max expression in DS section 5.3.2).</t>
  </si>
  <si>
    <t>250 ns - back-solved from all eight cells of the f_osc row of DS Table 5. Now identical to the SMath sheet.</t>
  </si>
  <si>
    <t>The datasheet implies three different values (700 / 350 / 250 ns). The eight measured cells of Table 5 all land within 0.2 ns of 250.0 ns, so that reading was adopted. The two documents have to agree on the input for the comparison to mean anything. NOT CONFIRMED until measured - re-check the margin at 700 ns too. Appendix C.1</t>
  </si>
  <si>
    <t>C130:E134 (new)</t>
  </si>
  <si>
    <t>Gain margin appears nowhere in the workbook. Only phase margin, in D124.</t>
  </si>
  <si>
    <t>f.180 = SQRT(f_p*f_px - f_z*(f_p+f_px)) locates arg T = -180 deg in closed form; GM[dB] and the ratio k.GM against target are computed from |T| there. Currently f.180 = 206.0 Hz, GM = 34.3 dB, k.GM = 3.43.</t>
  </si>
  <si>
    <t>Phase margin alone does not close the stability argument. This compensator has one zero against two poles at high frequency, so the phase heads for -270 deg and arg T crosses -180 at a finite frequency. No bisection is needed - take the tangent, divide through by f, and a single square root remains.</t>
  </si>
  <si>
    <t>R_P selected 1.5 kOhm, while D41 right beside it computes an upper limit of 1.4375 kOhm. The limit is violated by 4.3 %.</t>
  </si>
  <si>
    <t>R_P,max = V_F/I_min [144]. At 1.5 k the shunt-regulator cathode current falls to 1.15/1.5 = 0.767 mA, below the 0.8 mA minimum, and it stops regulating. AN UPPER LIMIT IS ROUNDED DOWN. The 240 W example in the design guide rounds 1.44 up to 1.5 and commits the same violation. Side effect: the R_B window moves from 16.02-18.22 to 15.39-17.41 kOhm; the selected 16.5 k is still inside it (7.2 % low, 5.5 % high). Appendix C.14</t>
  </si>
  <si>
    <t>C_in selected 2000 nF, while D7 computes a lower limit of 2054.32 nF. Short by 2.6 %.</t>
  </si>
  <si>
    <t>3 nF/W is a FLOOR. Below it the differential attenuation of the EMI filter is insufficient.</t>
  </si>
  <si>
    <t>Labelled "RT.min". But f_Min = 1/(2*(C_T*R_T + T_idle)) FALLS as R_T rises, so this value is the R_T at which f_Min exactly equals f_o - and R_T must stay BELOW it.</t>
  </si>
  <si>
    <t>Relabelled "RT.ceil (NOT a minimum)".</t>
  </si>
  <si>
    <t>Read as labelled, a designer rounds R_T up, the VCO clamp drops below f_o, and entry into the capacitive region is left to the ACP protection alone - which the design rules explicitly forbid. The selected 11 kOhm is below the 11.02 k ceiling, so the direction is right.</t>
  </si>
  <si>
    <t>C22 C25 C84 (new)</t>
  </si>
  <si>
    <t>The C_T design ceiling (D19) and floor (D20), the R_T ceiling (D24) and the n_aux/n_sec ceiling (D83) are all computed, and no cell compares any of them against the selected value.</t>
  </si>
  <si>
    <t>Three ratio cells added - k.CT, k.RT.ceil, k.naux (C22, C25, C84). All must read greater than 1.</t>
  </si>
  <si>
    <t>A limit that is computed but never compared lets a violation pass silently. Same structure as C.15, where the R_CS selection exceeded its own D44 ceiling by 2.6x without a warning. The SMath sheet carries the same checks as k.CTd / k.RTd / k.auxr.</t>
  </si>
  <si>
    <t>The same defect C.6 fixed was still present in the 75 % and 50 % load blocks: IF('Design Spec'!$D$108=1,...) reads Vf.BR (0.08 V) instead of the rectifier configuration (D107). 0.08 is never 1, so the condition is always false and the FB branch (/SQRT(2)) runs even in a CT design.</t>
  </si>
  <si>
    <t>All four cells re-pointed to $D$107.</t>
  </si>
  <si>
    <t>The C.6 fix in rev 0.6 was applied to the 100 % load block (row 26) only and missed the other two. Nothing currently reads rows 34-54, so there is no numerical impact today - which is why it survived. The moment those blocks are used, the per-winding rms comes out 29 % low. Appendix C.25</t>
  </si>
  <si>
    <t>R.ZCD.L (19 k) was described as the "Upper ZCD resistor" and R.ZCD.H (162 k) as the "Lower ZCD resistor". The values and links were right; only the two descriptions were swapped.</t>
  </si>
  <si>
    <t>Built as this BOM reads, the divider ratio is inverted: the OVP1 threshold becomes 2.3/0.8 x (19/162+1) = 3.2 V instead of 27.4 V, and the converter trips into OVP the instant it starts. Appendix C.26</t>
  </si>
  <si>
    <t>The formula read 'Device Setting'!D$45, which is the CALCULATED E24 value, and ignored the selected value F45.</t>
  </si>
  <si>
    <t>Invisible today because D45 and F45 happen to be 120 mOhm both. Change F45 and the BOM does not follow. The workbook idiom is IF(F,F,D) and every other BOM row uses it. Appendix C.27</t>
  </si>
  <si>
    <t>Two different inputs are both labelled "Config.". D15 selects the input arrangement and feeds only D80; D59 selects the output rectifier configuration and drives 125 cells through D107.</t>
  </si>
  <si>
    <t>Going by the name, a user edits the upper one, changes nothing about the rectifier configuration, and believes they did. The wiring is correct, so only the labels were fixed.</t>
  </si>
  <si>
    <t>The ZVS check is never recomputed after the tank is selected. D28 re-derives f.n = 0.82111 from the fitted expression [36] (whose exponent 5 has no basis in any ST document); D29 takes the phase at the design ceiling Q_ZVS = 0.8466 rather than the Q the converter runs at; and D30 divides by the TARGET 'Design Spec'!D102 = 150 kHz rather than the real resonant frequency. Result: T_ZC = 303 ns, 34 % below the truth.</t>
  </si>
  <si>
    <t>The realised values were already inside the workbook - the grid solution RTC!$BB$149 = 0.84006 and RTC!$C$41 = 0.7717. D28 -&gt; RTC!$BB$149, both Q occurrences in D29 -&gt; RTC!$C$41, and the denominator of D30 -&gt; D55 (the real f.r, 151.748 kHz). T_ZC 303 -&gt; 457 ns. The tank-selection path (D26 -&gt; D27 -&gt; D43..D45) was not touched.</t>
  </si>
  <si>
    <t>The verification block carries its own line-frequency input, D110 = 50 Hz, while the design block designs at the worst case of 47 Hz (D7, D68, D73, D83). The design is therefore verified at a gentler line frequency than it was designed for, and D116, AV122, D125, D126, D128 and D129 all come out optimistic.</t>
  </si>
  <si>
    <t>D110 = 47 (the worst case of the 47-63 Hz specification, matching Design Spec!D17). Third harmonic 3.86 -&gt; 4.31 %, burst FB ripple 47.3 -&gt; 52.9 mV, R_BM adjustment range 2.37 -&gt; 2.65 kohm.</t>
  </si>
  <si>
    <t>Hold-up is assumed to start discharging from the nominal output, 25 V (D14). The real output swings 24.41 to 25.59 V on the 2f_L ripple and the AC can be lost at any phase, so the worst case is the ripple trough. Energy goes as V^2, so the result is 12.5 % optimistic. The actual ripple is already in D31, one row below.</t>
  </si>
  <si>
    <t>D14^2 replaced by (D14-D31/2)^2 in both formulas. Required capacitance 59.77 -&gt; 67.22 mF, achieved hold-up 15.10 -&gt; 13.42 ms. The chain is D22 -&gt; D31 -&gt; D26 -&gt; D23/D24 (selected by hand), so this is not a circular reference.</t>
  </si>
  <si>
    <t>C.18 - the three currents the design calls line-cycle rms are in fact a single point at theta=pi/4. Res.Tank D65 = CC!C29, D67 = CC!C25 and Power D28 = CC!C31 each read one cell of CC. The output bank ripple current reads 21.77 A where the line-cycle rms is 30.19 A - 28 % low, and that value sets the number of output capacitors.</t>
  </si>
  <si>
    <t>RTC already solves six theta (pi/12 to pi/2 in 15 deg steps); CC was only reading three of them. Columns F, G and H now take the remaining three from RTC!BC150, BC153 and BC154, row 32 holds the square of the node current, and column J carries a Simpson integral (weights 1,4,2,4,2,4,1 divided by 18). The theta=0 sample is exactly zero because the load goes as sin^2(theta). D65 -&gt; CC!J29, D67 -&gt; CC!J25, Power D28 -&gt; CC!J31. Against a 721-point sweep: secondary -0.04 %, bank ripple -0.08 %, primary -1.83 %. Only the primary keeps a residual, because the magnetising current does not vanish at theta=0; extrapolating the endpoint makes it worse (+4.7 %), and theta -&gt; 0 is burst territory that is never reached.</t>
  </si>
  <si>
    <t>The primary switch selection block asks for no body-diode recovery condition. In normal ZVS the body diode conducts only during the dead time and the channel takes the current over at almost zero volts, so no recovery happens; in the CAPACITIVE region the current leads, the opposite device turns on while this diode is still conducting, the diode is hard reverse-recovered, and a shoot-through current crosses the bus. Overload, a load step, low line and start-up all enter that region for a few cycles, so it has to be survivable rather than merely avoided.</t>
  </si>
  <si>
    <t>D74 = SQRT(2)*Vac,max = 373.4 V (the capacitive region offers no soft transition, so it is the raw rectified line peak); D75 = CC!C28 = the magnetising peak, 12.36 A. No Qrr is assumed - that is a device number. Specify trr and Qrr AT THESE CONDITIONS, not at the datasheet default (usually 25 C and a low dI/dt): Qrr roughly doubles from 25 C to 125 C.</t>
  </si>
  <si>
    <t>D62 · D66 · D68 · D87 · D91 · D103 (new)</t>
  </si>
  <si>
    <t>Every current in these blocks was per switch POSITION (primary) or per LEG (secondary), and the loss and rating rows then used them as though one device carried the lot. There was no parallel-device count anywhere, so R_DS(on) meant per leg here and per device in the SMath sheet and the two could not be compared.</t>
  </si>
  <si>
    <t>n.par (D68) = 2 primary devices in parallel per switch position and n.SR (D103) = 3 SR devices in parallel per leg. Four rows carry what ONE device sees: Imos.rms.dev (D62) = 3.854 A and Ilr.pk.dev (D66) = 9.159 A on the primary, Isr.rms.dev (D87) = 9.437 A and Isr.pk.dev (D91) = 32.79 A on the secondary. The loss formulas D78 and D100 are now built on those per-device currents.</t>
  </si>
  <si>
    <t>n.par = 2 is set by the LOSS budget, not by the current rating: the statically-on device in half-bridge mode carries the whole tank current (10.9 A rms), and at 24 mOhm/25 C - about the best a 600 V superjunction part offers - a single device dissipates 5.7 W against a 3 W budget. CAUTION: these rows assume ideal current sharing. R_DS(on) spread means the hottest device takes more; allow about 20 % when sourcing, or bin the parts.</t>
  </si>
  <si>
    <t>D80 · D98 (new) · D70 · D96 · D78 · D100 · D102</t>
  </si>
  <si>
    <t>D78 and D100 computed conduction loss from R_DS(on) at 25 C, and D79 and D101 then asked what R_th holds the junction at 125 C. The numerator and the denominator of the same calculation were at different temperatures. Device data D70 and D96 still held the ST example parts.</t>
  </si>
  <si>
    <t>kT.pri (D80) = 2.0 and kT.sec (D98) = 1.5 carry the R_DS(on) rise to Tj,max and enter D78 and D100. D70 = 24 mOhm and D96 = 2 mOhm at 25 C, the classes the D65 and D90 requirements ask for. Loss per primary device 2.970 -&gt; 0.713 W with the required Rth 33.7 -&gt; 140 C/W; total rectifier loss 1.603 W, which is what SMath section 13.3 computes.</t>
  </si>
  <si>
    <t>A limit evaluated at the wrong temperature is not conservative, it is wrong in the dangerous direction - the required R_th was about 2x too generous. KNOWN LIMITATION, unchanged: D78 and D79 describe a SWITCHING device. In half-bridge morphing mode the L6790A holds LOUT2 high, so the low-side device of leg 2 conducts continuously and dissipates twice as much; the workbook has no row for it and SMath section 13.3 does (P.mos_dc). Also unchanged: Tj,max stays a literal 125 inside D79 and D101.</t>
  </si>
  <si>
    <t>D93 (new) · D95 · C67 · C92</t>
  </si>
  <si>
    <t>The secondary loss was a DIODE model, Vf*Iavg + rd*Irms^2, and C92 named a Schottky - while this design rectifies synchronously, where the channel carries the current and the forward drop does not apply. C67 and C92 also named parts that meet none of the requirement rows above them.</t>
  </si>
  <si>
    <t>Conf.SR (D93) selects 1 = diode/Schottky or 2 = SR MOSFET; at 2 the forward-drop term drops out of D100. D95 keeps its value and says in its label that it applies only at Conf.SR = 1. C67 and C92 now state the requirement the part has to meet instead of naming one.</t>
  </si>
  <si>
    <t>The sheet can express either rectifier now, rather than silently assuming a diode. NOT MODELLED at Conf.SR = 2: the body diode conducts during the SR dead time, and its Qrr is recovered every cycle. Both need an SR dead time the sheet does not have. A part number in a live sheet also has to be re-checked by hand on every input change, and it is the one thing on the sheet no calculation can verify.</t>
  </si>
  <si>
    <t>D65 (primary switch current rating)</t>
  </si>
  <si>
    <t>The primary switch current rating was 1.3 * CC!E27 = 1.3 * Itrafo.pk = 21.31 A. Itrafo.pk is the REFLECTED LOAD current alone. A bridge switch carries the composite tank current i_Lr, which is the load current plus the magnetizing current, and those two peak at different instants. Guide equation [115] is written the same way.</t>
  </si>
  <si>
    <t>1.3 * 'Device Setting'!D32 = 23.81 A. D32 is the composite peak the workbook already solves for the OCP1 setting, and it agrees with the SMath sheet (I.Lr_pk) to five figures.</t>
  </si>
  <si>
    <t>The rating was 12 % light on the one parameter that decides whether the switch survives an overload. It is also the quantity OCP1 watches, so the protection threshold and the device rating are now derived from the same number instead of two different ones.</t>
  </si>
  <si>
    <t>C26:CF26 (82 cells + row 27)</t>
  </si>
  <si>
    <t>Every cell of row 26 returned #NUM!, and row 27 with it - 164 error cells. fn.max = SQRT(lambda/(1+lambda-1/M)) has no root once M falls below the no-load asymptote 1/(1+lambda) = 0.6452, and cause E moved Vin_max to the FB morphing corner (332.34 Vac equivalent), which took the required gain down to M = 0.6383.</t>
  </si>
  <si>
    <t>The per-column expression now carries the same guard CG26 already had: IF(1+lambda-1/M&gt;0, SQRT(...), $CG$26). All three shared-formula groups in the row were rewritten as plain formulas so that no master is left pointing at followers with different text.</t>
  </si>
  <si>
    <t>Nothing read rows 26 or 27 - the grid axis comes from CG25 = 1.5*CG26 by linear interpolation and the answers come from the Cardano block, so no number moves. But 164 visible errors read as a broken workbook and they bury real findings in the audit output. The guard is not a fudge: below the asymptote there is genuinely no no-load crossing, and the ceiling then comes from the loaded curve and from the design f_sw,max, which are the other two terms of the CG26 MAX. Grid top is now f_n = 2.2241 = 337.5 kHz, and f_sw,max 249.6 kHz sits inside it.</t>
  </si>
  <si>
    <t>C25:H25 · C31:H31 · C32:H32</t>
  </si>
  <si>
    <t>[64] takes the secondary rms as Ipk*SQRT(d/4) with d = MIN(fsw,fr)/fr, which clamps to Ipk/2 above resonance - the rms of a FULL half sine. But [63], one row above, computes the peak from a TRUNCATED sine: its 1-COS(PI*fr/fsw) denominator is exactly that truncation. Above resonance the switching half period ends before the resonant half sine does and the current never returns to zero, so the two rows describe different waveforms.</t>
  </si>
  <si>
    <t>Multiplied the mean square by the truncation factor 1-SIN(2*Dphi)/(2*Dphi), Dphi = PI*fr/MAX(fsw,fr), in rows 25, 31 and 32. Below resonance Dphi = PI and the factor is exactly 1.</t>
  </si>
  <si>
    <t>NO VALUE IN THIS WORKBOOK CHANGES. CC evaluates at Vin,min, where fsw runs 90.4 to 127.5 kHz and never reaches fr = 151.7 kHz, so the factor is 1 at every theta. At the FB morphing corner, where 56 % of the line cycle is above resonance, the old expression is 8.0 % low on the per-leg rms (23.04 vs 24.89 A) - and 8.4 % low on the guide's 240 W example. Both designs still have their worst secondary rms at LOW line (28.33 A here), so no sizing moves. It matters if a re-spec makes high line the worst corner. The same correction is in l6790.py, the SMath sheet (k.tr) and guide [64a].</t>
  </si>
  <si>
    <t>realised value (selected divider) -&gt;</t>
  </si>
  <si>
    <t>fn.max  (no-load crossing; falls back to the CG26 ceiling when the required gain is below the 1/(1+lambda) asymptote)</t>
  </si>
  <si>
    <t>note</t>
  </si>
  <si>
    <t>f.n (closed form)</t>
  </si>
  <si>
    <t>f.n (grid)</t>
  </si>
  <si>
    <t>difference [%]</t>
  </si>
  <si>
    <t>line cycle (Simpson, 6 points + theta=0)</t>
  </si>
  <si>
    <t>Isec.node.ms.tsw (for the line-cycle integral)</t>
  </si>
  <si>
    <t>Ipri.rms (line cycle, Simpson)</t>
  </si>
  <si>
    <t>Imos.rms per position (line cycle, Simpson)</t>
  </si>
  <si>
    <t>Isec.rms per winding (line cycle, Simpson)</t>
  </si>
  <si>
    <t>Idiode.rms per leg (line cycle, Simpson)</t>
  </si>
  <si>
    <t>D60 · D61 · D84 · D85 · F60 · F61 · F84 · F85</t>
  </si>
  <si>
    <t>These four read CC!C29, C30, C25 and C26 - the SINGLE theta=pi/4 sample - with a hand-typed yellow override in column F carrying the line-cycle value copied from the SMath sheet. The override dates from before the C.18 fix, which gave CC a Simpson integral in column J and re-pointed Res. Tank Design D65 and D67 and Power Components D28 at it. These four were missed.</t>
  </si>
  <si>
    <t>D60 -&gt; CC!J29, D61 -&gt; CC!J30, D84 -&gt; CC!J25, D85 -&gt; CC!J26, and the four F overrides cleared so nothing is typed by hand any more. Column C labels now say "line cycle, Simpson" instead of "@theta=pi/4".</t>
  </si>
  <si>
    <t>This is the C.27 pattern: a typed constant on top of a live reference. Change an input and the J column follows while the typed F cells do not, so the design silently keeps yesterday's numbers. The typed values were rounded as well - 10.9 against 10.8976 and 28.31 against 28.3008 - so the loss and rating rows built on them were out by up to 0.04 %. Nothing moves visibly today because the typed values were correct when they were typed; the point is that they could not stay correct.</t>
  </si>
  <si>
    <t>Maximum Power Losses estimation for ONE SWITCHING device</t>
  </si>
  <si>
    <t>Power loss in the STATICALLY-ON device (HB morphing mode)</t>
  </si>
  <si>
    <t>Pdiss.dc</t>
  </si>
  <si>
    <t>D82 (new) · D79</t>
  </si>
  <si>
    <t>D78 is the loss in a SWITCHING device and D79 sized R_th from it. In half-bridge morphing mode the L6790A holds LOUT2 statically high, so the low-side switch of leg 2 conducts CONTINUOUSLY and carries the whole tank current rather than I/SQRT(2) - twice the loss. The workbook had no row for that device, so its thermal answer was for the cooler of the two.</t>
  </si>
  <si>
    <t>D82 = D70*D80*(D60/D68)^2, the loss in the statically-on device, and D79 now divides by MAX(D78,D82). With n.par = 1: switching device 2.85 W, static device 5.70 W, required Rth 35.1 -&gt; 17.5 C/W.</t>
  </si>
  <si>
    <t>This was recorded as a known limitation while n.par = 2 held the static device at 2.85 W. With one device per position it is the binding case, and half-bridge mode is not a corner - it is what the converter runs in on a 220 V mains. NOTE that 5.70 W exceeds the provisional 3 W budget by 1.9x. To meet 3 W the part would need 25.3 mOhm HOT, about 12.6 mOhm at 25 C, and no 600 V superjunction device is made that low - the best available class is 17 to 24 mOhm, which gives 4.04 to 5.70 W. Either the budget rises to about 6 W or that one position needs two devices in parallel. The SMath verdict k.Ploss reports the shortfall as 0.526.</t>
  </si>
  <si>
    <t>SFH617A</t>
  </si>
  <si>
    <t>STO60N045DM9</t>
    <phoneticPr fontId="35" type="noConversion"/>
  </si>
  <si>
    <t>TPH3R70APL1</t>
    <phoneticPr fontId="35" type="noConversion"/>
  </si>
  <si>
    <t>D80 · D98</t>
  </si>
  <si>
    <t>Both temperature multipliers were set to 1 while D70 and D96 hold the datasheet MAXIMUM R_DS(on). A datasheet maximum covers process spread at T_j = 25 C; it says nothing about temperature.</t>
  </si>
  <si>
    <t>kT.pri = 2 and kT.sec = 1.5, the usual rise to T_j = 125 C for a 600 V superjunction part and a low-voltage trench SR FET. Read the exact factor off the part's normalized R_DS(on) vs T_j curve and correct these.</t>
  </si>
  <si>
    <t>With STO60N045DM9 at 45 mOhm max: switching device 2.67 -&gt; 5.35 W, statically-on device 5.34 -&gt; 10.69 W, required Rth 18.7 -&gt; 9.36 C/W. The statically-on device is the one that conducts continuously in half-bridge morphing mode, which is the normal mode on a 220 V mains.</t>
  </si>
  <si>
    <t>D28 · F41 · F43</t>
  </si>
  <si>
    <t>V.Fo was 1.45 V here and 1.15 V in the SMath sheet. It feeds R.P_max and both ends of the R.B window, and the 20 % it put between them left the two R.B windows DISJOINT - 5.873..6.652 k here against 6.934..8.001 k there - so no resistor value could satisfy both documents. R.P was selected at 1.8 k and R.B at 5.6 k, which violate the SMath limits.</t>
  </si>
  <si>
    <t>V.Fo = 1.15 V on both. R.P = 1.3 k, below the 1.438 k ceiling. R.B = 6.2 k. NOTE that the R.B window MOVES WITH R.P - V.Fo/R.P sits in its denominator - so bringing R.P down to 1.3 k pulled the window from 6.934..8.001 k to 5.759..6.477 k. 6.2 k is the geometric middle of the window that actually applies.</t>
  </si>
  <si>
    <t>The loop drives the LED at I.FB/CTR of about 0.55 mA, where an SFH617A sits near 1.1 V; 1.45 V is its drop at tens of milliamps, which this loop never reaches. 1.15 V is also the conservative choice for R.P, whose limit is a MAXIMUM and must be rounded down - at 1.8 k the shunt regulator cathode current falls under its 0.8 mA minimum and it stops regulating (appendix C.23). C.Fo, C.F and R.F depend on R.B and are re-selected in the SMath sheet against the new calculated values.</t>
  </si>
  <si>
    <t>Estimated Rth max j-a at Tj = 125˚C, on the WORSE device</t>
  </si>
  <si>
    <t>D58 · D78 · D79 · D80 · D82</t>
  </si>
  <si>
    <t>B81 is the SECONDARY section title, and the statically-on primary loss had been added at row 82 - below it - so a primary number sat inside the secondary section. kT.pri was at row 80, an input dropped into the middle of the primary results block.</t>
  </si>
  <si>
    <t>The primary results block, rows 77 to 80, now reads Ctot, loss in one SWITCHING device, loss in the STATICALLY-ON device, and Rth on the worse of the two. Row 82 is cleared. kT.pri moved to row 58, under the section title, where it applies to the whole block.</t>
  </si>
  <si>
    <t>No value changes: D78 2.850 W, D79 5.700 W (was D82), D80 17.54 C/W. Nothing outside this block read any of the moved cells, so only the workbook-to-SMath comparison had to follow (P.mos_dev now maps to D79).</t>
  </si>
  <si>
    <t>n.par</t>
    <phoneticPr fontId="35" type="noConversion"/>
  </si>
  <si>
    <t>Rdson multiplier at Tj,max - same VGS = 10 V curve</t>
  </si>
  <si>
    <t>Rdson max @Tc = 25˚C, VGS = 10 V, ID = 28 A (per device)</t>
  </si>
  <si>
    <t>Rdson max @25˚C, VGS = 10 V (per device)</t>
  </si>
  <si>
    <t>D58 (kT.pri confirmed)</t>
  </si>
  <si>
    <t>kT.pri was 2, an estimate for the superjunction class.</t>
  </si>
  <si>
    <t>1.8, read off the STO60N045DM9 normalized RDSon vs Tj curve at Tj = 125 C.</t>
  </si>
  <si>
    <t>Hot RDSon 90 -&gt; 81 mOhm. Switching device 5.34 -&gt; 4.81 W, statically-on device 10.69 -&gt; 9.62 W, required Rth 9.36 -&gt; 10.40 C/W. kT.sec = 1.5 is still an estimate - confirm it from the SR part datasheet the same way.</t>
  </si>
  <si>
    <t>D98 (kT.sec confirmed)</t>
  </si>
  <si>
    <t>kT.sec was 1.5, an estimate for the low-voltage trench class.</t>
  </si>
  <si>
    <t>1.9, read off the SR part RDSon vs Ta curve at VGS = 10 V: about 3.2 mOhm at 25 C against 6.1 mOhm at 125 C. The axis is labelled Ta rather than Tj, but it is a PULSE test - the die cannot self-heat during the pulse, so Tj = Ta and the curve is the junction dependence. A non-pulsed RDSon vs Ta curve could not be used this way.</t>
  </si>
  <si>
    <t>Hot RDSon 5.55 -&gt; 7.03 mOhm, leg 2.775 -&gt; 3.515 mOhm. Loss per device 1.11 -&gt; 1.41 W, total secondary 4.45 -&gt; 5.63 W, and the budget margin k.PSR falls 1.349 -&gt; 1.065. The 3 W per leg budget is now nearly spent: a third device per leg would restore it. The 25 C figure entered in D96 must be the one specified at the SAME VGS = 10 V.</t>
  </si>
  <si>
    <t>D12</t>
  </si>
  <si>
    <t>=(1/(D11))-1   D11 evaluates the gain at VAC.max = 264 V</t>
  </si>
  <si>
    <t>=1/(2*IF(F9,F9,D9)*((DS!D95+DS!D107*DS!D106))/(SQRT(2)*DS!D81))-1</t>
  </si>
  <si>
    <t>lambda.min.1 asks that the tank can REACH DOWN to the lowest required gain, which happens at the HIGHEST equivalent input. After morphing that is the FB side of the threshold, Design Spec D81 = 332.34 V, not the AC maximum 264 V. RTC!C9 was re-pointed to the same corner (cause E) and this row was left behind. lambda.min.1 0.0019 -&gt; 0.2613, and the resulting lambda requirement 0.125 -&gt; 0.5785. NO SELECTED VALUE CHANGES - lambda.act stays 0.4583 from L.r/L.m - but the workbook now shows the selection sitting below the NO-LOAD requirement asked at f.sw,max,spec. At full load the same corner is reached at 209.5 kHz; at no load it needs about 231 kHz against a 225 kHz target, inside the 319.6 kHz VCO ceiling.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</si>
</sst>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00"/>
    <numFmt numFmtId="177" formatCode="d\-mmm"/>
    <numFmt numFmtId="178" formatCode="0.0"/>
    <numFmt numFmtId="179" formatCode="#,##0.00&quot; €&quot;"/>
    <numFmt numFmtId="180" formatCode="0.00000"/>
    <numFmt numFmtId="181" formatCode="0.000E+00"/>
    <numFmt numFmtId="182" formatCode="0.00_ "/>
  </numFmts>
  <fonts count="36">
    <font>
      <sz val="11"/>
      <color theme="1"/>
      <name val="맑은 고딕"/>
      <family val="2"/>
      <charset val="1"/>
    </font>
    <font>
      <sz val="11"/>
      <color theme="1"/>
      <name val="Arial"/>
      <family val="2"/>
    </font>
    <font>
      <b/>
      <sz val="13"/>
      <color rgb="FF03234B"/>
      <name val="Arial"/>
      <family val="2"/>
    </font>
    <font>
      <b/>
      <sz val="10"/>
      <color rgb="FFFFFFFF"/>
      <name val="Arial"/>
      <family val="2"/>
    </font>
    <font>
      <b/>
      <sz val="10"/>
      <color rgb="FFC00000"/>
      <name val="Arial"/>
      <family val="2"/>
    </font>
    <font>
      <b/>
      <sz val="14"/>
      <color theme="1"/>
      <name val="Arial"/>
      <family val="2"/>
      <charset val="1"/>
    </font>
    <font>
      <b/>
      <sz val="12"/>
      <color theme="0"/>
      <name val="Arial"/>
      <family val="2"/>
      <charset val="1"/>
    </font>
    <font>
      <b/>
      <sz val="11"/>
      <color theme="1"/>
      <name val="맑은 고딕"/>
      <family val="2"/>
      <charset val="1"/>
    </font>
    <font>
      <sz val="11"/>
      <color theme="1"/>
      <name val="Arial"/>
      <family val="2"/>
      <charset val="1"/>
    </font>
    <font>
      <b/>
      <sz val="11"/>
      <color theme="1"/>
      <name val="Arial"/>
      <family val="2"/>
      <charset val="1"/>
    </font>
    <font>
      <sz val="11"/>
      <color theme="1"/>
      <name val="Grotesque"/>
      <family val="2"/>
      <charset val="1"/>
    </font>
    <font>
      <sz val="14"/>
      <color theme="1"/>
      <name val="Arial"/>
      <family val="2"/>
      <charset val="1"/>
    </font>
    <font>
      <b/>
      <sz val="11"/>
      <color theme="0"/>
      <name val="맑은 고딕"/>
      <family val="2"/>
      <charset val="1"/>
    </font>
    <font>
      <sz val="10"/>
      <name val="Arial"/>
      <family val="2"/>
    </font>
    <font>
      <sz val="11"/>
      <name val="Arial"/>
      <family val="2"/>
      <charset val="1"/>
    </font>
    <font>
      <sz val="12"/>
      <name val="Arial"/>
      <family val="2"/>
      <charset val="1"/>
    </font>
    <font>
      <b/>
      <i/>
      <sz val="12"/>
      <name val="Arial"/>
      <family val="2"/>
      <charset val="1"/>
    </font>
    <font>
      <b/>
      <sz val="12"/>
      <name val="Arial"/>
      <family val="2"/>
      <charset val="1"/>
    </font>
    <font>
      <b/>
      <sz val="11"/>
      <color theme="0"/>
      <name val="Arial"/>
      <family val="2"/>
      <charset val="1"/>
    </font>
    <font>
      <b/>
      <u/>
      <sz val="11"/>
      <name val="Arial"/>
      <family val="2"/>
      <charset val="1"/>
    </font>
    <font>
      <b/>
      <i/>
      <sz val="11"/>
      <name val="Arial"/>
      <family val="2"/>
      <charset val="1"/>
    </font>
    <font>
      <sz val="11"/>
      <color theme="0"/>
      <name val="맑은 고딕"/>
      <family val="2"/>
      <charset val="1"/>
    </font>
    <font>
      <sz val="10"/>
      <color theme="0"/>
      <name val="Arial"/>
      <family val="2"/>
      <charset val="1"/>
    </font>
    <font>
      <b/>
      <sz val="12"/>
      <color theme="1"/>
      <name val="Arial"/>
      <family val="2"/>
      <charset val="1"/>
    </font>
    <font>
      <sz val="11"/>
      <color theme="0"/>
      <name val="Arial"/>
      <family val="2"/>
      <charset val="1"/>
    </font>
    <font>
      <sz val="11"/>
      <color rgb="FFFF0000"/>
      <name val="Arial"/>
      <family val="2"/>
      <charset val="1"/>
    </font>
    <font>
      <b/>
      <sz val="11"/>
      <name val="Arial"/>
      <family val="2"/>
      <charset val="1"/>
    </font>
    <font>
      <b/>
      <sz val="20"/>
      <color rgb="FF000000"/>
      <name val="Arial"/>
      <family val="2"/>
      <charset val="1"/>
    </font>
    <font>
      <b/>
      <sz val="11"/>
      <color theme="0" tint="-0.14999847407452621"/>
      <name val="Arial"/>
      <family val="2"/>
      <charset val="1"/>
    </font>
    <font>
      <sz val="11"/>
      <color theme="0" tint="-0.14999847407452621"/>
      <name val="Arial"/>
      <family val="2"/>
      <charset val="1"/>
    </font>
    <font>
      <b/>
      <sz val="14"/>
      <name val="Arial"/>
      <family val="2"/>
      <charset val="1"/>
    </font>
    <font>
      <sz val="11"/>
      <color theme="1"/>
      <name val="Aptos Narrow"/>
      <family val="2"/>
      <charset val="1"/>
    </font>
    <font>
      <b/>
      <sz val="12"/>
      <color rgb="FF242021"/>
      <name val="Arial-BoldMT"/>
      <charset val="1"/>
    </font>
    <font>
      <b/>
      <sz val="9"/>
      <color rgb="FF242021"/>
      <name val="Arial-BoldMT"/>
      <charset val="1"/>
    </font>
    <font>
      <sz val="9"/>
      <color rgb="FF242021"/>
      <name val="ArialMT"/>
      <charset val="1"/>
    </font>
    <font>
      <sz val="8"/>
      <name val="돋움"/>
      <family val="3"/>
      <charset val="129"/>
    </font>
  </fonts>
  <fills count="16">
    <fill>
      <patternFill patternType="none"/>
    </fill>
    <fill>
      <patternFill patternType="gray125"/>
    </fill>
    <fill>
      <patternFill patternType="solid">
        <fgColor rgb="FF03234B"/>
        <bgColor rgb="FF002060"/>
      </patternFill>
    </fill>
    <fill>
      <patternFill patternType="solid">
        <fgColor theme="0"/>
        <bgColor rgb="FFFBE3D6"/>
      </patternFill>
    </fill>
    <fill>
      <patternFill patternType="solid">
        <fgColor rgb="FF00B0F0"/>
        <bgColor rgb="FF0F9ED5"/>
      </patternFill>
    </fill>
    <fill>
      <patternFill patternType="solid">
        <fgColor rgb="FFFFFF00"/>
        <bgColor rgb="FFFFFF00"/>
      </patternFill>
    </fill>
    <fill>
      <patternFill patternType="solid">
        <fgColor theme="5" tint="-0.249977111117893"/>
        <bgColor rgb="FFE97132"/>
      </patternFill>
    </fill>
    <fill>
      <patternFill patternType="solid">
        <fgColor theme="5" tint="0.59987182226020086"/>
        <bgColor rgb="FFFFC7CE"/>
      </patternFill>
    </fill>
    <fill>
      <patternFill patternType="solid">
        <fgColor rgb="FF0070C0"/>
        <bgColor rgb="FF156082"/>
      </patternFill>
    </fill>
    <fill>
      <patternFill patternType="solid">
        <fgColor rgb="FFFFC000"/>
        <bgColor rgb="FFF2AA84"/>
      </patternFill>
    </fill>
    <fill>
      <patternFill patternType="solid">
        <fgColor theme="9"/>
        <bgColor rgb="FF3A7D22"/>
      </patternFill>
    </fill>
    <fill>
      <patternFill patternType="solid">
        <fgColor theme="4" tint="0.39988402966399123"/>
        <bgColor rgb="FF0F9ED5"/>
      </patternFill>
    </fill>
    <fill>
      <patternFill patternType="solid">
        <fgColor theme="0" tint="-0.14999847407452621"/>
        <bgColor rgb="FFD1D1D1"/>
      </patternFill>
    </fill>
    <fill>
      <patternFill patternType="solid">
        <fgColor rgb="FF92D050"/>
        <bgColor rgb="FF8ED973"/>
      </patternFill>
    </fill>
    <fill>
      <patternFill patternType="solid">
        <fgColor theme="2" tint="-0.249977111117893"/>
        <bgColor rgb="FFBFBFBF"/>
      </patternFill>
    </fill>
    <fill>
      <patternFill patternType="solid">
        <fgColor theme="2" tint="-9.9978637043366805E-2"/>
        <bgColor rgb="FFD9D9D9"/>
      </patternFill>
    </fill>
  </fills>
  <borders count="31">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thin">
        <color auto="1"/>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right style="medium">
        <color auto="1"/>
      </right>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s>
  <cellStyleXfs count="1">
    <xf numFmtId="0" fontId="0" fillId="0" borderId="0"/>
  </cellStyleXfs>
  <cellXfs count="204">
    <xf numFmtId="0" fontId="0" fillId="0" borderId="0" xfId="0"/>
    <xf numFmtId="0" fontId="8" fillId="3" borderId="9" xfId="0" applyFont="1" applyFill="1" applyBorder="1" applyAlignment="1" applyProtection="1">
      <alignment horizontal="center"/>
      <protection hidden="1"/>
    </xf>
    <xf numFmtId="0" fontId="8" fillId="5" borderId="9" xfId="0" applyFont="1" applyFill="1" applyBorder="1" applyAlignment="1" applyProtection="1">
      <alignment horizontal="center"/>
      <protection locked="0"/>
    </xf>
    <xf numFmtId="176" fontId="8" fillId="3" borderId="9" xfId="0" applyNumberFormat="1" applyFont="1" applyFill="1" applyBorder="1" applyAlignment="1" applyProtection="1">
      <alignment horizontal="center"/>
      <protection hidden="1"/>
    </xf>
    <xf numFmtId="0" fontId="1" fillId="0" borderId="0" xfId="0" applyFont="1"/>
    <xf numFmtId="0" fontId="2" fillId="0" borderId="0" xfId="0" applyFont="1"/>
    <xf numFmtId="0" fontId="3" fillId="2" borderId="0" xfId="0" applyFont="1" applyFill="1"/>
    <xf numFmtId="0" fontId="1" fillId="0" borderId="0" xfId="0" applyFont="1" applyAlignment="1">
      <alignment vertical="top"/>
    </xf>
    <xf numFmtId="0" fontId="1" fillId="0" borderId="0" xfId="0" applyFont="1" applyAlignment="1">
      <alignment vertical="top" wrapText="1"/>
    </xf>
    <xf numFmtId="0" fontId="4" fillId="0" borderId="0" xfId="0" applyFont="1"/>
    <xf numFmtId="0" fontId="0" fillId="3" borderId="0" xfId="0" applyFill="1" applyProtection="1">
      <protection hidden="1"/>
    </xf>
    <xf numFmtId="0" fontId="0" fillId="3" borderId="1" xfId="0" applyFill="1" applyBorder="1" applyProtection="1">
      <protection hidden="1"/>
    </xf>
    <xf numFmtId="0" fontId="0" fillId="3" borderId="2" xfId="0" applyFill="1" applyBorder="1" applyProtection="1">
      <protection hidden="1"/>
    </xf>
    <xf numFmtId="0" fontId="0" fillId="3" borderId="3" xfId="0" applyFill="1" applyBorder="1" applyProtection="1">
      <protection hidden="1"/>
    </xf>
    <xf numFmtId="0" fontId="0" fillId="3" borderId="4" xfId="0" applyFill="1" applyBorder="1" applyProtection="1">
      <protection hidden="1"/>
    </xf>
    <xf numFmtId="0" fontId="0" fillId="3" borderId="5" xfId="0" applyFill="1" applyBorder="1" applyProtection="1">
      <protection hidden="1"/>
    </xf>
    <xf numFmtId="0" fontId="0" fillId="3" borderId="6" xfId="0" applyFill="1" applyBorder="1" applyProtection="1">
      <protection hidden="1"/>
    </xf>
    <xf numFmtId="0" fontId="0" fillId="3" borderId="7" xfId="0" applyFill="1" applyBorder="1" applyProtection="1">
      <protection hidden="1"/>
    </xf>
    <xf numFmtId="0" fontId="0" fillId="3" borderId="8" xfId="0" applyFill="1" applyBorder="1" applyProtection="1">
      <protection hidden="1"/>
    </xf>
    <xf numFmtId="0" fontId="5" fillId="3" borderId="0" xfId="0" applyFont="1" applyFill="1" applyProtection="1">
      <protection hidden="1"/>
    </xf>
    <xf numFmtId="0" fontId="6" fillId="4" borderId="9" xfId="0" applyFont="1" applyFill="1" applyBorder="1" applyAlignment="1" applyProtection="1">
      <alignment horizontal="center"/>
      <protection hidden="1"/>
    </xf>
    <xf numFmtId="0" fontId="7" fillId="3" borderId="0" xfId="0" applyFont="1" applyFill="1" applyProtection="1">
      <protection hidden="1"/>
    </xf>
    <xf numFmtId="0" fontId="8" fillId="3" borderId="0" xfId="0" applyFont="1" applyFill="1" applyProtection="1">
      <protection hidden="1"/>
    </xf>
    <xf numFmtId="0" fontId="9" fillId="3" borderId="0" xfId="0" applyFont="1" applyFill="1" applyProtection="1">
      <protection hidden="1"/>
    </xf>
    <xf numFmtId="0" fontId="8" fillId="0" borderId="9" xfId="0" applyFont="1" applyBorder="1" applyAlignment="1" applyProtection="1">
      <alignment horizontal="center"/>
      <protection hidden="1"/>
    </xf>
    <xf numFmtId="0" fontId="8" fillId="3" borderId="0" xfId="0" applyFont="1" applyFill="1" applyAlignment="1" applyProtection="1">
      <alignment horizontal="center"/>
      <protection hidden="1"/>
    </xf>
    <xf numFmtId="0" fontId="10" fillId="3" borderId="9" xfId="0" applyFont="1" applyFill="1" applyBorder="1" applyAlignment="1" applyProtection="1">
      <alignment horizontal="center"/>
      <protection hidden="1"/>
    </xf>
    <xf numFmtId="2" fontId="8" fillId="0" borderId="9" xfId="0" applyNumberFormat="1" applyFont="1" applyBorder="1" applyAlignment="1" applyProtection="1">
      <alignment horizontal="center"/>
      <protection hidden="1"/>
    </xf>
    <xf numFmtId="0" fontId="5" fillId="3" borderId="10" xfId="0" applyFont="1" applyFill="1" applyBorder="1" applyProtection="1">
      <protection hidden="1"/>
    </xf>
    <xf numFmtId="0" fontId="11" fillId="3" borderId="11" xfId="0" applyFont="1" applyFill="1" applyBorder="1" applyProtection="1">
      <protection hidden="1"/>
    </xf>
    <xf numFmtId="0" fontId="11" fillId="3" borderId="12" xfId="0" applyFont="1" applyFill="1" applyBorder="1" applyProtection="1">
      <protection hidden="1"/>
    </xf>
    <xf numFmtId="0" fontId="0" fillId="3" borderId="13" xfId="0" applyFill="1" applyBorder="1" applyProtection="1">
      <protection hidden="1"/>
    </xf>
    <xf numFmtId="0" fontId="0" fillId="3" borderId="11" xfId="0" applyFill="1" applyBorder="1" applyProtection="1">
      <protection hidden="1"/>
    </xf>
    <xf numFmtId="0" fontId="0" fillId="3" borderId="14" xfId="0" applyFill="1" applyBorder="1" applyProtection="1">
      <protection hidden="1"/>
    </xf>
    <xf numFmtId="0" fontId="0" fillId="3" borderId="15" xfId="0" applyFill="1" applyBorder="1" applyProtection="1">
      <protection hidden="1"/>
    </xf>
    <xf numFmtId="0" fontId="12" fillId="6" borderId="16" xfId="0" applyFont="1" applyFill="1" applyBorder="1" applyProtection="1">
      <protection hidden="1"/>
    </xf>
    <xf numFmtId="0" fontId="12" fillId="6" borderId="9" xfId="0" applyFont="1" applyFill="1" applyBorder="1" applyProtection="1">
      <protection hidden="1"/>
    </xf>
    <xf numFmtId="0" fontId="0" fillId="3" borderId="17" xfId="0" applyFill="1" applyBorder="1" applyProtection="1">
      <protection hidden="1"/>
    </xf>
    <xf numFmtId="0" fontId="0" fillId="7" borderId="16" xfId="0" applyFill="1" applyBorder="1" applyProtection="1">
      <protection hidden="1"/>
    </xf>
    <xf numFmtId="0" fontId="0" fillId="7" borderId="9" xfId="0" applyFill="1" applyBorder="1" applyProtection="1">
      <protection hidden="1"/>
    </xf>
    <xf numFmtId="0" fontId="0" fillId="3" borderId="18" xfId="0" applyFill="1" applyBorder="1" applyProtection="1">
      <protection hidden="1"/>
    </xf>
    <xf numFmtId="0" fontId="0" fillId="6" borderId="9" xfId="0" applyFill="1" applyBorder="1" applyProtection="1">
      <protection hidden="1"/>
    </xf>
    <xf numFmtId="0" fontId="10" fillId="7" borderId="9" xfId="0" applyFont="1" applyFill="1" applyBorder="1" applyProtection="1">
      <protection hidden="1"/>
    </xf>
    <xf numFmtId="0" fontId="0" fillId="3" borderId="16" xfId="0" applyFill="1" applyBorder="1" applyProtection="1">
      <protection hidden="1"/>
    </xf>
    <xf numFmtId="0" fontId="10" fillId="3" borderId="9" xfId="0" applyFont="1" applyFill="1" applyBorder="1" applyProtection="1">
      <protection hidden="1"/>
    </xf>
    <xf numFmtId="0" fontId="0" fillId="3" borderId="9" xfId="0" applyFill="1" applyBorder="1" applyProtection="1">
      <protection hidden="1"/>
    </xf>
    <xf numFmtId="0" fontId="0" fillId="3" borderId="19" xfId="0" applyFill="1" applyBorder="1" applyProtection="1">
      <protection hidden="1"/>
    </xf>
    <xf numFmtId="0" fontId="0" fillId="3" borderId="20" xfId="0" applyFill="1" applyBorder="1" applyProtection="1">
      <protection hidden="1"/>
    </xf>
    <xf numFmtId="0" fontId="0" fillId="3" borderId="21" xfId="0" applyFill="1" applyBorder="1" applyProtection="1">
      <protection hidden="1"/>
    </xf>
    <xf numFmtId="2" fontId="8" fillId="3" borderId="9" xfId="0" applyNumberFormat="1" applyFont="1" applyFill="1" applyBorder="1" applyAlignment="1" applyProtection="1">
      <alignment horizontal="center"/>
      <protection hidden="1"/>
    </xf>
    <xf numFmtId="2" fontId="8" fillId="8" borderId="9" xfId="0" applyNumberFormat="1" applyFont="1" applyFill="1" applyBorder="1" applyAlignment="1" applyProtection="1">
      <alignment horizontal="center"/>
      <protection hidden="1"/>
    </xf>
    <xf numFmtId="2" fontId="8" fillId="9" borderId="9" xfId="0" applyNumberFormat="1" applyFont="1" applyFill="1" applyBorder="1" applyAlignment="1" applyProtection="1">
      <alignment horizontal="center"/>
      <protection hidden="1"/>
    </xf>
    <xf numFmtId="2" fontId="8" fillId="10" borderId="9" xfId="0" applyNumberFormat="1" applyFont="1" applyFill="1" applyBorder="1" applyAlignment="1" applyProtection="1">
      <alignment horizontal="center"/>
      <protection hidden="1"/>
    </xf>
    <xf numFmtId="2" fontId="8" fillId="11" borderId="9" xfId="0" applyNumberFormat="1" applyFont="1" applyFill="1" applyBorder="1" applyAlignment="1" applyProtection="1">
      <alignment horizontal="center"/>
      <protection hidden="1"/>
    </xf>
    <xf numFmtId="0" fontId="14" fillId="3" borderId="9" xfId="0" applyFont="1" applyFill="1" applyBorder="1" applyAlignment="1" applyProtection="1">
      <alignment horizontal="center"/>
      <protection hidden="1"/>
    </xf>
    <xf numFmtId="2" fontId="14" fillId="3" borderId="9" xfId="0" applyNumberFormat="1" applyFont="1" applyFill="1" applyBorder="1" applyAlignment="1" applyProtection="1">
      <alignment horizontal="center"/>
      <protection hidden="1"/>
    </xf>
    <xf numFmtId="177" fontId="8" fillId="3" borderId="0" xfId="0" applyNumberFormat="1" applyFont="1" applyFill="1" applyProtection="1">
      <protection hidden="1"/>
    </xf>
    <xf numFmtId="0" fontId="8" fillId="12" borderId="9" xfId="0" applyFont="1" applyFill="1" applyBorder="1" applyAlignment="1" applyProtection="1">
      <alignment horizontal="center"/>
      <protection hidden="1"/>
    </xf>
    <xf numFmtId="176" fontId="8" fillId="12" borderId="9" xfId="0" applyNumberFormat="1" applyFont="1" applyFill="1" applyBorder="1" applyAlignment="1" applyProtection="1">
      <alignment horizontal="center"/>
      <protection hidden="1"/>
    </xf>
    <xf numFmtId="0" fontId="8" fillId="12" borderId="9" xfId="0" applyFont="1" applyFill="1" applyBorder="1" applyAlignment="1" applyProtection="1">
      <alignment horizontal="left"/>
      <protection hidden="1"/>
    </xf>
    <xf numFmtId="176" fontId="8" fillId="3" borderId="0" xfId="0" applyNumberFormat="1" applyFont="1" applyFill="1" applyProtection="1">
      <protection hidden="1"/>
    </xf>
    <xf numFmtId="1" fontId="8" fillId="5" borderId="9" xfId="0" applyNumberFormat="1" applyFont="1" applyFill="1" applyBorder="1" applyAlignment="1" applyProtection="1">
      <alignment horizontal="center"/>
      <protection locked="0"/>
    </xf>
    <xf numFmtId="0" fontId="15" fillId="3" borderId="9" xfId="0" applyFont="1" applyFill="1" applyBorder="1" applyAlignment="1" applyProtection="1">
      <alignment horizontal="center"/>
      <protection hidden="1"/>
    </xf>
    <xf numFmtId="179" fontId="8" fillId="3" borderId="0" xfId="0" applyNumberFormat="1" applyFont="1" applyFill="1" applyProtection="1">
      <protection hidden="1"/>
    </xf>
    <xf numFmtId="2" fontId="8" fillId="3" borderId="0" xfId="0" applyNumberFormat="1" applyFont="1" applyFill="1" applyProtection="1">
      <protection hidden="1"/>
    </xf>
    <xf numFmtId="0" fontId="16" fillId="3" borderId="0" xfId="0" applyFont="1" applyFill="1" applyAlignment="1" applyProtection="1">
      <alignment horizontal="center"/>
      <protection hidden="1"/>
    </xf>
    <xf numFmtId="0" fontId="15" fillId="3" borderId="0" xfId="0" applyFont="1" applyFill="1" applyProtection="1">
      <protection hidden="1"/>
    </xf>
    <xf numFmtId="0" fontId="6" fillId="4" borderId="9" xfId="0" applyFont="1" applyFill="1" applyBorder="1" applyProtection="1">
      <protection hidden="1"/>
    </xf>
    <xf numFmtId="0" fontId="17" fillId="3" borderId="22" xfId="0" applyFont="1" applyFill="1" applyBorder="1" applyAlignment="1" applyProtection="1">
      <alignment horizontal="center"/>
      <protection hidden="1"/>
    </xf>
    <xf numFmtId="0" fontId="18" fillId="4" borderId="9" xfId="0" applyFont="1" applyFill="1" applyBorder="1" applyAlignment="1" applyProtection="1">
      <alignment horizontal="center"/>
      <protection hidden="1"/>
    </xf>
    <xf numFmtId="0" fontId="15" fillId="3" borderId="22" xfId="0" applyFont="1" applyFill="1" applyBorder="1" applyProtection="1">
      <protection hidden="1"/>
    </xf>
    <xf numFmtId="0" fontId="19" fillId="3" borderId="0" xfId="0" applyFont="1" applyFill="1" applyAlignment="1" applyProtection="1">
      <alignment horizontal="center"/>
      <protection hidden="1"/>
    </xf>
    <xf numFmtId="2" fontId="19" fillId="3" borderId="0" xfId="0" applyNumberFormat="1" applyFont="1" applyFill="1" applyAlignment="1" applyProtection="1">
      <alignment horizontal="center"/>
      <protection hidden="1"/>
    </xf>
    <xf numFmtId="0" fontId="20" fillId="3" borderId="0" xfId="0" applyFont="1" applyFill="1" applyAlignment="1" applyProtection="1">
      <alignment horizontal="center"/>
      <protection hidden="1"/>
    </xf>
    <xf numFmtId="0" fontId="15" fillId="3" borderId="23" xfId="0" applyFont="1" applyFill="1" applyBorder="1" applyProtection="1">
      <protection hidden="1"/>
    </xf>
    <xf numFmtId="4" fontId="8" fillId="3" borderId="9" xfId="0" applyNumberFormat="1" applyFont="1" applyFill="1" applyBorder="1" applyAlignment="1" applyProtection="1">
      <alignment horizontal="center"/>
      <protection hidden="1"/>
    </xf>
    <xf numFmtId="0" fontId="14" fillId="3" borderId="0" xfId="0" applyFont="1" applyFill="1" applyProtection="1">
      <protection hidden="1"/>
    </xf>
    <xf numFmtId="2" fontId="9" fillId="3" borderId="9" xfId="0" applyNumberFormat="1" applyFont="1" applyFill="1" applyBorder="1" applyAlignment="1" applyProtection="1">
      <alignment horizontal="center"/>
      <protection hidden="1"/>
    </xf>
    <xf numFmtId="0" fontId="8" fillId="3" borderId="11" xfId="0" applyFont="1" applyFill="1" applyBorder="1" applyProtection="1">
      <protection hidden="1"/>
    </xf>
    <xf numFmtId="0" fontId="8" fillId="3" borderId="12" xfId="0" applyFont="1" applyFill="1" applyBorder="1" applyProtection="1">
      <protection hidden="1"/>
    </xf>
    <xf numFmtId="0" fontId="8" fillId="3" borderId="4" xfId="0" applyFont="1" applyFill="1" applyBorder="1" applyProtection="1">
      <protection hidden="1"/>
    </xf>
    <xf numFmtId="0" fontId="8" fillId="3" borderId="5" xfId="0" applyFont="1" applyFill="1" applyBorder="1" applyProtection="1">
      <protection hidden="1"/>
    </xf>
    <xf numFmtId="0" fontId="8" fillId="3" borderId="6" xfId="0" applyFont="1" applyFill="1" applyBorder="1" applyProtection="1">
      <protection hidden="1"/>
    </xf>
    <xf numFmtId="0" fontId="8" fillId="3" borderId="7" xfId="0" applyFont="1" applyFill="1" applyBorder="1" applyProtection="1">
      <protection hidden="1"/>
    </xf>
    <xf numFmtId="0" fontId="8" fillId="3" borderId="8" xfId="0" applyFont="1" applyFill="1" applyBorder="1" applyProtection="1">
      <protection hidden="1"/>
    </xf>
    <xf numFmtId="0" fontId="0" fillId="9" borderId="9" xfId="0" applyFill="1" applyBorder="1" applyProtection="1">
      <protection hidden="1"/>
    </xf>
    <xf numFmtId="2" fontId="0" fillId="9" borderId="9" xfId="0" applyNumberFormat="1" applyFill="1" applyBorder="1" applyProtection="1">
      <protection hidden="1"/>
    </xf>
    <xf numFmtId="2" fontId="0" fillId="3" borderId="0" xfId="0" applyNumberFormat="1" applyFill="1" applyProtection="1">
      <protection hidden="1"/>
    </xf>
    <xf numFmtId="0" fontId="0" fillId="12" borderId="9" xfId="0" applyFill="1" applyBorder="1" applyProtection="1">
      <protection hidden="1"/>
    </xf>
    <xf numFmtId="2" fontId="0" fillId="12" borderId="9" xfId="0" applyNumberFormat="1" applyFill="1" applyBorder="1" applyProtection="1">
      <protection hidden="1"/>
    </xf>
    <xf numFmtId="0" fontId="6" fillId="4" borderId="10" xfId="0" applyFont="1" applyFill="1" applyBorder="1" applyProtection="1">
      <protection hidden="1"/>
    </xf>
    <xf numFmtId="0" fontId="6" fillId="4" borderId="11" xfId="0" applyFont="1" applyFill="1" applyBorder="1" applyProtection="1">
      <protection hidden="1"/>
    </xf>
    <xf numFmtId="0" fontId="6" fillId="4" borderId="12" xfId="0" applyFont="1" applyFill="1" applyBorder="1" applyProtection="1">
      <protection hidden="1"/>
    </xf>
    <xf numFmtId="2" fontId="8" fillId="5" borderId="9" xfId="0" applyNumberFormat="1" applyFont="1" applyFill="1" applyBorder="1" applyAlignment="1" applyProtection="1">
      <alignment horizontal="center"/>
      <protection locked="0"/>
    </xf>
    <xf numFmtId="0" fontId="0" fillId="3" borderId="9" xfId="0" applyFill="1" applyBorder="1" applyAlignment="1" applyProtection="1">
      <alignment horizontal="center"/>
      <protection hidden="1"/>
    </xf>
    <xf numFmtId="0" fontId="0" fillId="3" borderId="0" xfId="0" applyFill="1" applyAlignment="1" applyProtection="1">
      <alignment horizontal="center"/>
      <protection hidden="1"/>
    </xf>
    <xf numFmtId="1" fontId="8" fillId="3" borderId="9" xfId="0" applyNumberFormat="1" applyFont="1" applyFill="1" applyBorder="1" applyAlignment="1" applyProtection="1">
      <alignment horizontal="center"/>
      <protection hidden="1"/>
    </xf>
    <xf numFmtId="0" fontId="21" fillId="3" borderId="0" xfId="0" applyFont="1" applyFill="1" applyProtection="1">
      <protection hidden="1"/>
    </xf>
    <xf numFmtId="0" fontId="22" fillId="0" borderId="0" xfId="0" applyFont="1"/>
    <xf numFmtId="0" fontId="8" fillId="12" borderId="9" xfId="0" applyFont="1" applyFill="1" applyBorder="1" applyProtection="1">
      <protection hidden="1"/>
    </xf>
    <xf numFmtId="2" fontId="8" fillId="12" borderId="9" xfId="0" applyNumberFormat="1" applyFont="1" applyFill="1" applyBorder="1" applyProtection="1">
      <protection hidden="1"/>
    </xf>
    <xf numFmtId="176" fontId="8" fillId="5" borderId="9" xfId="0" applyNumberFormat="1" applyFont="1" applyFill="1" applyBorder="1" applyAlignment="1" applyProtection="1">
      <alignment horizontal="center"/>
      <protection locked="0"/>
    </xf>
    <xf numFmtId="0" fontId="18" fillId="3" borderId="0" xfId="0" applyFont="1" applyFill="1" applyProtection="1">
      <protection hidden="1"/>
    </xf>
    <xf numFmtId="0" fontId="0" fillId="3" borderId="12" xfId="0" applyFill="1" applyBorder="1" applyProtection="1">
      <protection hidden="1"/>
    </xf>
    <xf numFmtId="0" fontId="8" fillId="9" borderId="9" xfId="0" applyFont="1" applyFill="1" applyBorder="1" applyProtection="1">
      <protection hidden="1"/>
    </xf>
    <xf numFmtId="0" fontId="23" fillId="3" borderId="0" xfId="0" applyFont="1" applyFill="1" applyProtection="1">
      <protection hidden="1"/>
    </xf>
    <xf numFmtId="0" fontId="17" fillId="4" borderId="10" xfId="0" applyFont="1" applyFill="1" applyBorder="1" applyProtection="1">
      <protection hidden="1"/>
    </xf>
    <xf numFmtId="0" fontId="14" fillId="4" borderId="11" xfId="0" applyFont="1" applyFill="1" applyBorder="1" applyProtection="1">
      <protection hidden="1"/>
    </xf>
    <xf numFmtId="0" fontId="14" fillId="4" borderId="12" xfId="0" applyFont="1" applyFill="1" applyBorder="1" applyProtection="1">
      <protection hidden="1"/>
    </xf>
    <xf numFmtId="0" fontId="14" fillId="3" borderId="4" xfId="0" applyFont="1" applyFill="1" applyBorder="1" applyProtection="1">
      <protection hidden="1"/>
    </xf>
    <xf numFmtId="0" fontId="14" fillId="3" borderId="5" xfId="0" applyFont="1" applyFill="1" applyBorder="1" applyProtection="1">
      <protection hidden="1"/>
    </xf>
    <xf numFmtId="0" fontId="18" fillId="3" borderId="0" xfId="0" applyFont="1" applyFill="1" applyAlignment="1" applyProtection="1">
      <alignment horizontal="center"/>
      <protection hidden="1"/>
    </xf>
    <xf numFmtId="0" fontId="14" fillId="3" borderId="6" xfId="0" applyFont="1" applyFill="1" applyBorder="1" applyProtection="1">
      <protection hidden="1"/>
    </xf>
    <xf numFmtId="0" fontId="14" fillId="3" borderId="7" xfId="0" applyFont="1" applyFill="1" applyBorder="1" applyProtection="1">
      <protection hidden="1"/>
    </xf>
    <xf numFmtId="0" fontId="14" fillId="3" borderId="8" xfId="0" applyFont="1" applyFill="1" applyBorder="1" applyProtection="1">
      <protection hidden="1"/>
    </xf>
    <xf numFmtId="180" fontId="8" fillId="12" borderId="9" xfId="0" applyNumberFormat="1" applyFont="1" applyFill="1" applyBorder="1" applyProtection="1">
      <protection hidden="1"/>
    </xf>
    <xf numFmtId="0" fontId="14" fillId="12" borderId="9" xfId="0" applyFont="1" applyFill="1" applyBorder="1" applyProtection="1">
      <protection hidden="1"/>
    </xf>
    <xf numFmtId="2" fontId="8" fillId="9" borderId="9" xfId="0" applyNumberFormat="1" applyFont="1" applyFill="1" applyBorder="1" applyProtection="1">
      <protection hidden="1"/>
    </xf>
    <xf numFmtId="176" fontId="14" fillId="3" borderId="9" xfId="0" applyNumberFormat="1" applyFont="1" applyFill="1" applyBorder="1" applyAlignment="1" applyProtection="1">
      <alignment horizontal="center"/>
      <protection hidden="1"/>
    </xf>
    <xf numFmtId="0" fontId="24" fillId="3" borderId="0" xfId="0" applyFont="1" applyFill="1" applyProtection="1">
      <protection hidden="1"/>
    </xf>
    <xf numFmtId="0" fontId="6" fillId="4" borderId="10" xfId="0" applyFont="1" applyFill="1" applyBorder="1" applyAlignment="1" applyProtection="1">
      <alignment horizontal="center"/>
      <protection hidden="1"/>
    </xf>
    <xf numFmtId="0" fontId="18" fillId="3" borderId="4" xfId="0" applyFont="1" applyFill="1" applyBorder="1" applyProtection="1">
      <protection hidden="1"/>
    </xf>
    <xf numFmtId="0" fontId="8" fillId="3" borderId="10" xfId="0" applyFont="1" applyFill="1" applyBorder="1" applyAlignment="1" applyProtection="1">
      <alignment horizontal="center"/>
      <protection hidden="1"/>
    </xf>
    <xf numFmtId="0" fontId="14" fillId="5" borderId="9" xfId="0" applyFont="1" applyFill="1" applyBorder="1" applyAlignment="1" applyProtection="1">
      <alignment horizontal="center"/>
      <protection locked="0"/>
    </xf>
    <xf numFmtId="0" fontId="14" fillId="3" borderId="10" xfId="0" applyFont="1" applyFill="1" applyBorder="1" applyAlignment="1" applyProtection="1">
      <alignment horizontal="center"/>
      <protection hidden="1"/>
    </xf>
    <xf numFmtId="2" fontId="14" fillId="3" borderId="0" xfId="0" applyNumberFormat="1" applyFont="1" applyFill="1" applyAlignment="1" applyProtection="1">
      <alignment horizontal="left"/>
      <protection hidden="1"/>
    </xf>
    <xf numFmtId="0" fontId="25" fillId="3" borderId="0" xfId="0" applyFont="1" applyFill="1" applyProtection="1">
      <protection hidden="1"/>
    </xf>
    <xf numFmtId="0" fontId="17" fillId="3" borderId="0" xfId="0" applyFont="1" applyFill="1" applyProtection="1">
      <protection hidden="1"/>
    </xf>
    <xf numFmtId="2" fontId="17" fillId="3" borderId="0" xfId="0" applyNumberFormat="1" applyFont="1" applyFill="1" applyProtection="1">
      <protection hidden="1"/>
    </xf>
    <xf numFmtId="0" fontId="26" fillId="3" borderId="0" xfId="0" applyFont="1" applyFill="1" applyProtection="1">
      <protection hidden="1"/>
    </xf>
    <xf numFmtId="11" fontId="15" fillId="3" borderId="0" xfId="0" applyNumberFormat="1" applyFont="1" applyFill="1" applyProtection="1">
      <protection hidden="1"/>
    </xf>
    <xf numFmtId="11" fontId="17" fillId="3" borderId="0" xfId="0" applyNumberFormat="1" applyFont="1" applyFill="1" applyProtection="1">
      <protection hidden="1"/>
    </xf>
    <xf numFmtId="181" fontId="17" fillId="3" borderId="0" xfId="0" applyNumberFormat="1" applyFont="1" applyFill="1" applyProtection="1">
      <protection hidden="1"/>
    </xf>
    <xf numFmtId="178" fontId="17" fillId="3" borderId="0" xfId="0" applyNumberFormat="1" applyFont="1" applyFill="1" applyProtection="1">
      <protection hidden="1"/>
    </xf>
    <xf numFmtId="0" fontId="17" fillId="3" borderId="0" xfId="0" applyFont="1" applyFill="1" applyAlignment="1" applyProtection="1">
      <alignment horizontal="center"/>
      <protection hidden="1"/>
    </xf>
    <xf numFmtId="2" fontId="15" fillId="3" borderId="0" xfId="0" applyNumberFormat="1" applyFont="1" applyFill="1" applyProtection="1">
      <protection hidden="1"/>
    </xf>
    <xf numFmtId="176" fontId="15" fillId="3" borderId="0" xfId="0" applyNumberFormat="1" applyFont="1" applyFill="1" applyProtection="1">
      <protection hidden="1"/>
    </xf>
    <xf numFmtId="0" fontId="8" fillId="3" borderId="24" xfId="0" applyFont="1" applyFill="1" applyBorder="1" applyProtection="1">
      <protection hidden="1"/>
    </xf>
    <xf numFmtId="0" fontId="8" fillId="3" borderId="14" xfId="0" applyFont="1" applyFill="1" applyBorder="1" applyProtection="1">
      <protection hidden="1"/>
    </xf>
    <xf numFmtId="0" fontId="8" fillId="3" borderId="15" xfId="0" applyFont="1" applyFill="1" applyBorder="1" applyProtection="1">
      <protection hidden="1"/>
    </xf>
    <xf numFmtId="0" fontId="24" fillId="4" borderId="11" xfId="0" applyFont="1" applyFill="1" applyBorder="1" applyProtection="1">
      <protection hidden="1"/>
    </xf>
    <xf numFmtId="0" fontId="8" fillId="4" borderId="11" xfId="0" applyFont="1" applyFill="1" applyBorder="1" applyProtection="1">
      <protection hidden="1"/>
    </xf>
    <xf numFmtId="0" fontId="8" fillId="4" borderId="12" xfId="0" applyFont="1" applyFill="1" applyBorder="1" applyProtection="1">
      <protection hidden="1"/>
    </xf>
    <xf numFmtId="0" fontId="8" fillId="3" borderId="18" xfId="0" applyFont="1" applyFill="1" applyBorder="1" applyProtection="1">
      <protection hidden="1"/>
    </xf>
    <xf numFmtId="0" fontId="27" fillId="0" borderId="0" xfId="0" applyFont="1" applyProtection="1">
      <protection hidden="1"/>
    </xf>
    <xf numFmtId="0" fontId="8" fillId="3" borderId="17" xfId="0" applyFont="1" applyFill="1" applyBorder="1" applyProtection="1">
      <protection hidden="1"/>
    </xf>
    <xf numFmtId="0" fontId="14" fillId="3" borderId="17" xfId="0" applyFont="1" applyFill="1" applyBorder="1" applyProtection="1">
      <protection hidden="1"/>
    </xf>
    <xf numFmtId="2" fontId="8" fillId="13" borderId="9" xfId="0" applyNumberFormat="1" applyFont="1" applyFill="1" applyBorder="1" applyAlignment="1" applyProtection="1">
      <alignment horizontal="center"/>
      <protection hidden="1"/>
    </xf>
    <xf numFmtId="0" fontId="28" fillId="3" borderId="17" xfId="0" applyFont="1" applyFill="1" applyBorder="1" applyProtection="1">
      <protection hidden="1"/>
    </xf>
    <xf numFmtId="1" fontId="8" fillId="13" borderId="9" xfId="0" applyNumberFormat="1" applyFont="1" applyFill="1" applyBorder="1" applyAlignment="1" applyProtection="1">
      <alignment horizontal="center"/>
      <protection hidden="1"/>
    </xf>
    <xf numFmtId="178" fontId="8" fillId="13" borderId="9" xfId="0" applyNumberFormat="1" applyFont="1" applyFill="1" applyBorder="1" applyAlignment="1" applyProtection="1">
      <alignment horizontal="center"/>
      <protection hidden="1"/>
    </xf>
    <xf numFmtId="0" fontId="8" fillId="3" borderId="1" xfId="0" applyFont="1" applyFill="1" applyBorder="1" applyProtection="1">
      <protection hidden="1"/>
    </xf>
    <xf numFmtId="0" fontId="8" fillId="3" borderId="2" xfId="0" applyFont="1" applyFill="1" applyBorder="1" applyProtection="1">
      <protection hidden="1"/>
    </xf>
    <xf numFmtId="0" fontId="8" fillId="3" borderId="3" xfId="0" applyFont="1" applyFill="1" applyBorder="1" applyProtection="1">
      <protection hidden="1"/>
    </xf>
    <xf numFmtId="0" fontId="17" fillId="4" borderId="9" xfId="0" applyFont="1" applyFill="1" applyBorder="1" applyAlignment="1" applyProtection="1">
      <alignment horizontal="center"/>
      <protection hidden="1"/>
    </xf>
    <xf numFmtId="0" fontId="17" fillId="4" borderId="10" xfId="0" applyFont="1" applyFill="1" applyBorder="1" applyAlignment="1" applyProtection="1">
      <alignment horizontal="center"/>
      <protection hidden="1"/>
    </xf>
    <xf numFmtId="0" fontId="28" fillId="3" borderId="4" xfId="0" applyFont="1" applyFill="1" applyBorder="1" applyProtection="1">
      <protection hidden="1"/>
    </xf>
    <xf numFmtId="0" fontId="29" fillId="3" borderId="4" xfId="0" applyFont="1" applyFill="1" applyBorder="1" applyProtection="1">
      <protection hidden="1"/>
    </xf>
    <xf numFmtId="0" fontId="30" fillId="3" borderId="0" xfId="0" applyFont="1" applyFill="1" applyProtection="1">
      <protection hidden="1"/>
    </xf>
    <xf numFmtId="0" fontId="8" fillId="3" borderId="19" xfId="0" applyFont="1" applyFill="1" applyBorder="1" applyProtection="1">
      <protection hidden="1"/>
    </xf>
    <xf numFmtId="0" fontId="8" fillId="3" borderId="20" xfId="0" applyFont="1" applyFill="1" applyBorder="1" applyProtection="1">
      <protection hidden="1"/>
    </xf>
    <xf numFmtId="0" fontId="8" fillId="3" borderId="21" xfId="0" applyFont="1" applyFill="1" applyBorder="1" applyProtection="1">
      <protection hidden="1"/>
    </xf>
    <xf numFmtId="0" fontId="0" fillId="5" borderId="0" xfId="0" applyFill="1" applyProtection="1">
      <protection hidden="1"/>
    </xf>
    <xf numFmtId="176" fontId="0" fillId="3" borderId="0" xfId="0" applyNumberFormat="1" applyFill="1" applyProtection="1">
      <protection hidden="1"/>
    </xf>
    <xf numFmtId="0" fontId="31" fillId="3" borderId="0" xfId="0" applyFont="1" applyFill="1" applyProtection="1">
      <protection hidden="1"/>
    </xf>
    <xf numFmtId="0" fontId="0" fillId="0" borderId="0" xfId="0" applyProtection="1">
      <protection hidden="1"/>
    </xf>
    <xf numFmtId="0" fontId="0" fillId="4" borderId="0" xfId="0" applyFill="1" applyProtection="1">
      <protection hidden="1"/>
    </xf>
    <xf numFmtId="0" fontId="0" fillId="14" borderId="0" xfId="0" applyFill="1" applyProtection="1">
      <protection hidden="1"/>
    </xf>
    <xf numFmtId="0" fontId="0" fillId="3" borderId="25" xfId="0" applyFill="1" applyBorder="1" applyProtection="1">
      <protection hidden="1"/>
    </xf>
    <xf numFmtId="0" fontId="0" fillId="3" borderId="26" xfId="0" applyFill="1" applyBorder="1" applyProtection="1">
      <protection hidden="1"/>
    </xf>
    <xf numFmtId="0" fontId="0" fillId="3" borderId="27" xfId="0" applyFill="1" applyBorder="1" applyProtection="1">
      <protection hidden="1"/>
    </xf>
    <xf numFmtId="0" fontId="7" fillId="15" borderId="28" xfId="0" applyFont="1" applyFill="1" applyBorder="1" applyProtection="1">
      <protection hidden="1"/>
    </xf>
    <xf numFmtId="0" fontId="7" fillId="3" borderId="29" xfId="0" applyFont="1" applyFill="1" applyBorder="1" applyProtection="1">
      <protection hidden="1"/>
    </xf>
    <xf numFmtId="0" fontId="7" fillId="3" borderId="30" xfId="0" applyFont="1" applyFill="1" applyBorder="1" applyProtection="1">
      <protection hidden="1"/>
    </xf>
    <xf numFmtId="0" fontId="0" fillId="15" borderId="26" xfId="0" applyFill="1" applyBorder="1" applyProtection="1">
      <protection hidden="1"/>
    </xf>
    <xf numFmtId="0" fontId="7" fillId="3" borderId="26" xfId="0" applyFont="1" applyFill="1" applyBorder="1" applyProtection="1">
      <protection hidden="1"/>
    </xf>
    <xf numFmtId="176" fontId="0" fillId="3" borderId="26" xfId="0" applyNumberFormat="1" applyFill="1" applyBorder="1" applyProtection="1">
      <protection hidden="1"/>
    </xf>
    <xf numFmtId="0" fontId="0" fillId="15" borderId="27" xfId="0" applyFill="1" applyBorder="1" applyProtection="1">
      <protection hidden="1"/>
    </xf>
    <xf numFmtId="0" fontId="7" fillId="3" borderId="27" xfId="0" applyFont="1" applyFill="1" applyBorder="1" applyProtection="1">
      <protection hidden="1"/>
    </xf>
    <xf numFmtId="176" fontId="0" fillId="3" borderId="27" xfId="0" applyNumberFormat="1" applyFill="1" applyBorder="1" applyProtection="1">
      <protection hidden="1"/>
    </xf>
    <xf numFmtId="0" fontId="0" fillId="3" borderId="24" xfId="0" applyFill="1" applyBorder="1" applyProtection="1">
      <protection hidden="1"/>
    </xf>
    <xf numFmtId="0" fontId="0" fillId="3" borderId="25" xfId="0" applyFill="1" applyBorder="1" applyAlignment="1" applyProtection="1">
      <alignment horizontal="center"/>
      <protection hidden="1"/>
    </xf>
    <xf numFmtId="2" fontId="0" fillId="3" borderId="25" xfId="0" applyNumberFormat="1" applyFill="1" applyBorder="1" applyAlignment="1" applyProtection="1">
      <alignment horizontal="center"/>
      <protection hidden="1"/>
    </xf>
    <xf numFmtId="2" fontId="0" fillId="3" borderId="25" xfId="0" applyNumberFormat="1" applyFill="1" applyBorder="1" applyProtection="1">
      <protection hidden="1"/>
    </xf>
    <xf numFmtId="0" fontId="0" fillId="3" borderId="26" xfId="0" applyFill="1" applyBorder="1" applyAlignment="1" applyProtection="1">
      <alignment horizontal="center"/>
      <protection hidden="1"/>
    </xf>
    <xf numFmtId="2" fontId="0" fillId="3" borderId="26" xfId="0" applyNumberFormat="1" applyFill="1" applyBorder="1" applyAlignment="1" applyProtection="1">
      <alignment horizontal="center"/>
      <protection hidden="1"/>
    </xf>
    <xf numFmtId="2" fontId="0" fillId="3" borderId="26" xfId="0" applyNumberFormat="1" applyFill="1" applyBorder="1" applyProtection="1">
      <protection hidden="1"/>
    </xf>
    <xf numFmtId="0" fontId="0" fillId="3" borderId="27" xfId="0" applyFill="1" applyBorder="1" applyAlignment="1" applyProtection="1">
      <alignment horizontal="center"/>
      <protection hidden="1"/>
    </xf>
    <xf numFmtId="2" fontId="0" fillId="3" borderId="27" xfId="0" applyNumberFormat="1" applyFill="1" applyBorder="1" applyAlignment="1" applyProtection="1">
      <alignment horizontal="center"/>
      <protection hidden="1"/>
    </xf>
    <xf numFmtId="2" fontId="0" fillId="3" borderId="27" xfId="0" applyNumberFormat="1" applyFill="1" applyBorder="1" applyProtection="1">
      <protection hidden="1"/>
    </xf>
    <xf numFmtId="0" fontId="0" fillId="15" borderId="18" xfId="0" applyFill="1" applyBorder="1" applyProtection="1">
      <protection hidden="1"/>
    </xf>
    <xf numFmtId="0" fontId="7" fillId="3" borderId="25" xfId="0" applyFont="1" applyFill="1" applyBorder="1" applyProtection="1">
      <protection hidden="1"/>
    </xf>
    <xf numFmtId="0" fontId="0" fillId="15" borderId="19" xfId="0" applyFill="1" applyBorder="1" applyProtection="1">
      <protection hidden="1"/>
    </xf>
    <xf numFmtId="0" fontId="0" fillId="10" borderId="0" xfId="0" applyFill="1" applyProtection="1">
      <protection hidden="1"/>
    </xf>
    <xf numFmtId="0" fontId="32" fillId="0" borderId="0" xfId="0" applyFont="1" applyProtection="1">
      <protection hidden="1"/>
    </xf>
    <xf numFmtId="0" fontId="33" fillId="0" borderId="0" xfId="0" applyFont="1" applyAlignment="1" applyProtection="1">
      <alignment vertical="center" wrapText="1"/>
      <protection hidden="1"/>
    </xf>
    <xf numFmtId="3" fontId="34" fillId="0" borderId="0" xfId="0" applyNumberFormat="1" applyFont="1" applyAlignment="1" applyProtection="1">
      <alignment vertical="center" wrapText="1"/>
      <protection hidden="1"/>
    </xf>
    <xf numFmtId="0" fontId="34" fillId="0" borderId="0" xfId="0" applyFont="1" applyAlignment="1" applyProtection="1">
      <alignment vertical="center" wrapText="1"/>
      <protection hidden="1"/>
    </xf>
    <xf numFmtId="2" fontId="0" fillId="0" borderId="0" xfId="0" applyNumberFormat="1" applyProtection="1">
      <protection hidden="1"/>
    </xf>
    <xf numFmtId="3" fontId="0" fillId="0" borderId="0" xfId="0" applyNumberFormat="1" applyProtection="1">
      <protection hidden="1"/>
    </xf>
    <xf numFmtId="182" fontId="8" fillId="3" borderId="9" xfId="0" applyNumberFormat="1" applyFont="1" applyFill="1" applyBorder="1" applyAlignment="1" applyProtection="1">
      <alignment horizontal="center"/>
      <protection hidden="1"/>
    </xf>
    <xf numFmtId="176" fontId="8" fillId="3" borderId="9" xfId="0" applyNumberFormat="1" applyFont="1" applyFill="1" applyBorder="1" applyAlignment="1" applyProtection="1">
      <alignment horizontal="center"/>
      <protection hidden="1"/>
    </xf>
    <xf numFmtId="0" fontId="8" fillId="5" borderId="9" xfId="0" applyFont="1" applyFill="1" applyBorder="1" applyAlignment="1" applyProtection="1">
      <alignment horizontal="center"/>
      <protection locked="0"/>
    </xf>
    <xf numFmtId="0" fontId="8" fillId="3" borderId="9" xfId="0" applyFont="1" applyFill="1" applyBorder="1" applyAlignment="1" applyProtection="1">
      <alignment horizontal="center"/>
      <protection hidden="1"/>
    </xf>
  </cellXfs>
  <cellStyles count="1">
    <cellStyle name="표준" xfId="0" builtinId="0"/>
  </cellStyles>
  <dxfs count="17">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5050"/>
        </patternFill>
      </fill>
    </dxf>
    <dxf>
      <fill>
        <patternFill>
          <bgColor rgb="FFFF6969"/>
        </patternFill>
      </fill>
    </dxf>
    <dxf>
      <fill>
        <patternFill>
          <bgColor theme="9" tint="0.39988402966399123"/>
        </patternFill>
      </fill>
    </dxf>
    <dxf>
      <font>
        <color rgb="FF9C0006"/>
      </font>
      <fill>
        <patternFill>
          <bgColor rgb="FFFFC7CE"/>
        </patternFill>
      </fill>
    </dxf>
    <dxf>
      <font>
        <color rgb="FF9C0006"/>
      </font>
      <fill>
        <patternFill>
          <bgColor rgb="FFFFC7CE"/>
        </patternFill>
      </fill>
    </dxf>
    <dxf>
      <font>
        <color rgb="FFFFFFFF"/>
      </font>
      <fill>
        <patternFill>
          <bgColor rgb="FF00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196B24"/>
      <rgbColor rgb="FF002060"/>
      <rgbColor rgb="FF3A7D22"/>
      <rgbColor rgb="FF800080"/>
      <rgbColor rgb="FF156082"/>
      <rgbColor rgb="FFBFBFBF"/>
      <rgbColor rgb="FF8B8B8B"/>
      <rgbColor rgb="FFF0B4A4"/>
      <rgbColor rgb="FFA02B93"/>
      <rgbColor rgb="FFFBE3D6"/>
      <rgbColor rgb="FFD9D9D9"/>
      <rgbColor rgb="FF660066"/>
      <rgbColor rgb="FFFF6969"/>
      <rgbColor rgb="FF0070C0"/>
      <rgbColor rgb="FFD1D1D1"/>
      <rgbColor rgb="FF03234B"/>
      <rgbColor rgb="FFFF00FF"/>
      <rgbColor rgb="FFFFFF00"/>
      <rgbColor rgb="FF00FFFF"/>
      <rgbColor rgb="FF800080"/>
      <rgbColor rgb="FFC00000"/>
      <rgbColor rgb="FF0F9ED5"/>
      <rgbColor rgb="FF0000FF"/>
      <rgbColor rgb="FF00B0F0"/>
      <rgbColor rgb="FFCCFFFF"/>
      <rgbColor rgb="FFB4E5A2"/>
      <rgbColor rgb="FFFFC7CE"/>
      <rgbColor rgb="FF8ED973"/>
      <rgbColor rgb="FFE59EDD"/>
      <rgbColor rgb="FFD86ECC"/>
      <rgbColor rgb="FFF6C6AD"/>
      <rgbColor rgb="FF3366FF"/>
      <rgbColor rgb="FF46B1E1"/>
      <rgbColor rgb="FF92D050"/>
      <rgbColor rgb="FFFFC000"/>
      <rgbColor rgb="FFF2AA84"/>
      <rgbColor rgb="FFE97132"/>
      <rgbColor rgb="FF595959"/>
      <rgbColor rgb="FFAEAEAE"/>
      <rgbColor rgb="FF0D3A4E"/>
      <rgbColor rgb="FF4EA72E"/>
      <rgbColor rgb="FF0F4016"/>
      <rgbColor rgb="FF242021"/>
      <rgbColor rgb="FFC04F15"/>
      <rgbColor rgb="FFFF5050"/>
      <rgbColor rgb="FF275317"/>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rial"/>
              </a:defRPr>
            </a:pPr>
            <a:r>
              <a:rPr lang="en-US" sz="1400" b="1" strike="noStrike" spc="-1">
                <a:solidFill>
                  <a:srgbClr val="595959"/>
                </a:solidFill>
                <a:latin typeface="Arial"/>
              </a:rPr>
              <a:t>Power dissipation estimation [W]</a:t>
            </a:r>
          </a:p>
        </c:rich>
      </c:tx>
      <c:overlay val="0"/>
      <c:spPr>
        <a:noFill/>
        <a:ln w="0">
          <a:noFill/>
        </a:ln>
      </c:spPr>
    </c:title>
    <c:autoTitleDeleted val="0"/>
    <c:view3D>
      <c:rotX val="15"/>
      <c:rotY val="0"/>
      <c:rAngAx val="0"/>
    </c:view3D>
    <c:floor>
      <c:thickness val="0"/>
      <c:spPr>
        <a:solidFill>
          <a:srgbClr val="D9D9D9"/>
        </a:solidFill>
        <a:ln w="0">
          <a:noFill/>
        </a:ln>
      </c:spPr>
    </c:floor>
    <c:sideWall>
      <c:thickness val="0"/>
      <c:spPr>
        <a:solidFill>
          <a:srgbClr val="D9D9D9"/>
        </a:solidFill>
        <a:ln w="0">
          <a:noFill/>
        </a:ln>
      </c:spPr>
    </c:sideWall>
    <c:backWall>
      <c:thickness val="0"/>
      <c:spPr>
        <a:solidFill>
          <a:srgbClr val="D9D9D9"/>
        </a:solidFill>
        <a:ln w="0">
          <a:noFill/>
        </a:ln>
      </c:spPr>
    </c:backWall>
    <c:plotArea>
      <c:layout/>
      <c:pie3DChart>
        <c:varyColors val="1"/>
        <c:ser>
          <c:idx val="0"/>
          <c:order val="0"/>
          <c:spPr>
            <a:solidFill>
              <a:srgbClr val="156082"/>
            </a:solidFill>
            <a:ln w="0">
              <a:noFill/>
            </a:ln>
          </c:spPr>
          <c:dPt>
            <c:idx val="0"/>
            <c:bubble3D val="0"/>
            <c:spPr>
              <a:solidFill>
                <a:srgbClr val="156082"/>
              </a:solidFill>
              <a:ln w="25560">
                <a:solidFill>
                  <a:srgbClr val="FFFFFF"/>
                </a:solidFill>
                <a:round/>
              </a:ln>
            </c:spPr>
            <c:extLst>
              <c:ext xmlns:c16="http://schemas.microsoft.com/office/drawing/2014/chart" uri="{C3380CC4-5D6E-409C-BE32-E72D297353CC}">
                <c16:uniqueId val="{00000001-E489-4AF6-96DA-A5680BE73AFE}"/>
              </c:ext>
            </c:extLst>
          </c:dPt>
          <c:dPt>
            <c:idx val="1"/>
            <c:bubble3D val="0"/>
            <c:spPr>
              <a:solidFill>
                <a:srgbClr val="E97132"/>
              </a:solidFill>
              <a:ln w="25560">
                <a:solidFill>
                  <a:srgbClr val="FFFFFF"/>
                </a:solidFill>
                <a:round/>
              </a:ln>
            </c:spPr>
            <c:extLst>
              <c:ext xmlns:c16="http://schemas.microsoft.com/office/drawing/2014/chart" uri="{C3380CC4-5D6E-409C-BE32-E72D297353CC}">
                <c16:uniqueId val="{00000003-E489-4AF6-96DA-A5680BE73AFE}"/>
              </c:ext>
            </c:extLst>
          </c:dPt>
          <c:dPt>
            <c:idx val="2"/>
            <c:bubble3D val="0"/>
            <c:spPr>
              <a:solidFill>
                <a:srgbClr val="196B24"/>
              </a:solidFill>
              <a:ln w="25560">
                <a:solidFill>
                  <a:srgbClr val="FFFFFF"/>
                </a:solidFill>
                <a:round/>
              </a:ln>
            </c:spPr>
            <c:extLst>
              <c:ext xmlns:c16="http://schemas.microsoft.com/office/drawing/2014/chart" uri="{C3380CC4-5D6E-409C-BE32-E72D297353CC}">
                <c16:uniqueId val="{00000005-E489-4AF6-96DA-A5680BE73AFE}"/>
              </c:ext>
            </c:extLst>
          </c:dPt>
          <c:dPt>
            <c:idx val="3"/>
            <c:bubble3D val="0"/>
            <c:spPr>
              <a:solidFill>
                <a:srgbClr val="0F9ED5"/>
              </a:solidFill>
              <a:ln w="25560">
                <a:solidFill>
                  <a:srgbClr val="FFFFFF"/>
                </a:solidFill>
                <a:round/>
              </a:ln>
            </c:spPr>
            <c:extLst>
              <c:ext xmlns:c16="http://schemas.microsoft.com/office/drawing/2014/chart" uri="{C3380CC4-5D6E-409C-BE32-E72D297353CC}">
                <c16:uniqueId val="{00000007-E489-4AF6-96DA-A5680BE73AFE}"/>
              </c:ext>
            </c:extLst>
          </c:dPt>
          <c:dLbls>
            <c:dLbl>
              <c:idx val="0"/>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E489-4AF6-96DA-A5680BE73AFE}"/>
                </c:ext>
              </c:extLst>
            </c:dLbl>
            <c:dLbl>
              <c:idx val="1"/>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E489-4AF6-96DA-A5680BE73AFE}"/>
                </c:ext>
              </c:extLst>
            </c:dLbl>
            <c:dLbl>
              <c:idx val="2"/>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E489-4AF6-96DA-A5680BE73AFE}"/>
                </c:ext>
              </c:extLst>
            </c:dLbl>
            <c:dLbl>
              <c:idx val="3"/>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E489-4AF6-96DA-A5680BE73AFE}"/>
                </c:ext>
              </c:extLst>
            </c:dLbl>
            <c:spPr>
              <a:noFill/>
              <a:ln>
                <a:noFill/>
              </a:ln>
              <a:effectLst/>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separator>; </c:separator>
            <c:showLeaderLines val="1"/>
            <c:extLst>
              <c:ext xmlns:c15="http://schemas.microsoft.com/office/drawing/2012/chart" uri="{CE6537A1-D6FC-4f65-9D91-7224C49458BB}"/>
            </c:extLst>
          </c:dLbls>
          <c:cat>
            <c:strRef>
              <c:f>'Preliminary Calculation'!$C$12:$C$15</c:f>
              <c:strCache>
                <c:ptCount val="4"/>
                <c:pt idx="0">
                  <c:v>P.d.Drect</c:v>
                </c:pt>
                <c:pt idx="1">
                  <c:v>P.d.LLC</c:v>
                </c:pt>
                <c:pt idx="2">
                  <c:v>P.D.br</c:v>
                </c:pt>
                <c:pt idx="3">
                  <c:v>P.D.Rin</c:v>
                </c:pt>
              </c:strCache>
            </c:strRef>
          </c:cat>
          <c:val>
            <c:numRef>
              <c:f>'Preliminary Calculation'!$D$12:$D$15</c:f>
              <c:numCache>
                <c:formatCode>0.00</c:formatCode>
                <c:ptCount val="4"/>
                <c:pt idx="0">
                  <c:v>0</c:v>
                </c:pt>
                <c:pt idx="1">
                  <c:v>13.418367346938789</c:v>
                </c:pt>
                <c:pt idx="2">
                  <c:v>5.5195894436664732</c:v>
                </c:pt>
                <c:pt idx="3">
                  <c:v>8.3357676971015167</c:v>
                </c:pt>
              </c:numCache>
            </c:numRef>
          </c:val>
          <c:extLst>
            <c:ext xmlns:c16="http://schemas.microsoft.com/office/drawing/2014/chart" uri="{C3380CC4-5D6E-409C-BE32-E72D297353CC}">
              <c16:uniqueId val="{00000008-E489-4AF6-96DA-A5680BE73AFE}"/>
            </c:ext>
          </c:extLst>
        </c:ser>
        <c:dLbls>
          <c:showLegendKey val="0"/>
          <c:showVal val="0"/>
          <c:showCatName val="0"/>
          <c:showSerName val="0"/>
          <c:showPercent val="0"/>
          <c:showBubbleSize val="0"/>
          <c:showLeaderLines val="1"/>
        </c:dLbls>
      </c:pie3DChart>
    </c:plotArea>
    <c:legend>
      <c:legendPos val="b"/>
      <c:layout>
        <c:manualLayout>
          <c:xMode val="edge"/>
          <c:yMode val="edge"/>
          <c:x val="2.27801041012031E-2"/>
          <c:y val="0.80229688943053801"/>
          <c:w val="0.95755263150154601"/>
          <c:h val="0.19770311056946199"/>
        </c:manualLayout>
      </c:layout>
      <c:overlay val="0"/>
      <c:spPr>
        <a:noFill/>
        <a:ln w="0">
          <a:noFill/>
        </a:ln>
      </c:spPr>
      <c:txPr>
        <a:bodyPr/>
        <a:lstStyle/>
        <a:p>
          <a:pPr>
            <a:defRPr sz="900" b="0" strike="noStrike" spc="-1">
              <a:solidFill>
                <a:srgbClr val="595959"/>
              </a:solidFill>
              <a:latin typeface="Arial"/>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Minimum Gain required for PFC regulation</a:t>
            </a:r>
          </a:p>
        </c:rich>
      </c:tx>
      <c:layout>
        <c:manualLayout>
          <c:xMode val="edge"/>
          <c:yMode val="edge"/>
          <c:x val="0.22875786958319899"/>
          <c:y val="4.1869839412261897E-2"/>
        </c:manualLayout>
      </c:layout>
      <c:overlay val="0"/>
      <c:spPr>
        <a:noFill/>
        <a:ln w="0">
          <a:noFill/>
        </a:ln>
      </c:spPr>
    </c:title>
    <c:autoTitleDeleted val="0"/>
    <c:plotArea>
      <c:layout>
        <c:manualLayout>
          <c:layoutTarget val="inner"/>
          <c:xMode val="edge"/>
          <c:yMode val="edge"/>
          <c:x val="9.2964477735398204E-2"/>
          <c:y val="0.132956244717509"/>
          <c:w val="0.80681034878911795"/>
          <c:h val="0.66179052077238198"/>
        </c:manualLayout>
      </c:layout>
      <c:scatterChart>
        <c:scatterStyle val="lineMarker"/>
        <c:varyColors val="0"/>
        <c:ser>
          <c:idx val="0"/>
          <c:order val="0"/>
          <c:tx>
            <c:strRef>
              <c:f>RTC!$B$16</c:f>
              <c:strCache>
                <c:ptCount val="1"/>
                <c:pt idx="0">
                  <c:v>Mreq(Vin_min, Vout,θ )</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15.234970761884593</c:v>
                </c:pt>
                <c:pt idx="1">
                  <c:v>7.65573215345667</c:v>
                </c:pt>
                <c:pt idx="2">
                  <c:v>5.1467180564625803</c:v>
                </c:pt>
                <c:pt idx="3">
                  <c:v>3.9057204513185635</c:v>
                </c:pt>
                <c:pt idx="4">
                  <c:v>3.1724617509980426</c:v>
                </c:pt>
                <c:pt idx="5">
                  <c:v>2.6936676841335938</c:v>
                </c:pt>
                <c:pt idx="6">
                  <c:v>2.3609398093292269</c:v>
                </c:pt>
                <c:pt idx="7">
                  <c:v>2.1202289950117734</c:v>
                </c:pt>
                <c:pt idx="8">
                  <c:v>1.9416659442949207</c:v>
                </c:pt>
                <c:pt idx="9">
                  <c:v>1.8075004499658378</c:v>
                </c:pt>
                <c:pt idx="10">
                  <c:v>1.7066277185689109</c:v>
                </c:pt>
                <c:pt idx="11">
                  <c:v>1.6318620179915413</c:v>
                </c:pt>
                <c:pt idx="12">
                  <c:v>1.5784819294695089</c:v>
                </c:pt>
                <c:pt idx="13">
                  <c:v>1.5434163076905814</c:v>
                </c:pt>
                <c:pt idx="14">
                  <c:v>1.5247787749305239</c:v>
                </c:pt>
                <c:pt idx="15">
                  <c:v>1.5216079926935755</c:v>
                </c:pt>
                <c:pt idx="16">
                  <c:v>1.5337432241641196</c:v>
                </c:pt>
                <c:pt idx="17">
                  <c:v>1.5618040599450869</c:v>
                </c:pt>
                <c:pt idx="18">
                  <c:v>1.607269410056188</c:v>
                </c:pt>
                <c:pt idx="19">
                  <c:v>1.6726751212560589</c:v>
                </c:pt>
                <c:pt idx="20">
                  <c:v>1.761981788471658</c:v>
                </c:pt>
                <c:pt idx="21">
                  <c:v>1.8812194791318579</c:v>
                </c:pt>
                <c:pt idx="22">
                  <c:v>2.0396252551779486</c:v>
                </c:pt>
                <c:pt idx="23">
                  <c:v>2.2517277439644121</c:v>
                </c:pt>
                <c:pt idx="24">
                  <c:v>2.5414034699153416</c:v>
                </c:pt>
                <c:pt idx="25">
                  <c:v>2.9504464329538775</c:v>
                </c:pt>
                <c:pt idx="26">
                  <c:v>3.5587992182535975</c:v>
                </c:pt>
                <c:pt idx="27">
                  <c:v>4.5403372715291797</c:v>
                </c:pt>
                <c:pt idx="28">
                  <c:v>6.3572139937459866</c:v>
                </c:pt>
                <c:pt idx="29">
                  <c:v>10.777771377593986</c:v>
                </c:pt>
                <c:pt idx="30">
                  <c:v>29.493232777766128</c:v>
                </c:pt>
                <c:pt idx="31">
                  <c:v>36.578522194387951</c:v>
                </c:pt>
              </c:numCache>
            </c:numRef>
          </c:yVal>
          <c:smooth val="1"/>
          <c:extLst>
            <c:ext xmlns:c16="http://schemas.microsoft.com/office/drawing/2014/chart" uri="{C3380CC4-5D6E-409C-BE32-E72D297353CC}">
              <c16:uniqueId val="{00000000-64C4-44ED-B9CC-0C68CE4013A3}"/>
            </c:ext>
          </c:extLst>
        </c:ser>
        <c:ser>
          <c:idx val="1"/>
          <c:order val="1"/>
          <c:tx>
            <c:strRef>
              <c:f>RTC!$B$17</c:f>
              <c:strCache>
                <c:ptCount val="1"/>
                <c:pt idx="0">
                  <c:v>Mreq(Vin_max, Vout,θ )</c:v>
                </c:pt>
              </c:strCache>
            </c:strRef>
          </c:tx>
          <c:spPr>
            <a:ln w="19080" cap="rnd">
              <a:solidFill>
                <a:srgbClr val="E9713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7.9416336950249473</c:v>
                </c:pt>
                <c:pt idx="1">
                  <c:v>3.9907539948869872</c:v>
                </c:pt>
                <c:pt idx="2">
                  <c:v>2.6828636677304942</c:v>
                </c:pt>
                <c:pt idx="3">
                  <c:v>2.0359606607937195</c:v>
                </c:pt>
                <c:pt idx="4">
                  <c:v>1.6537300616904691</c:v>
                </c:pt>
                <c:pt idx="5">
                  <c:v>1.4041459204526183</c:v>
                </c:pt>
                <c:pt idx="6">
                  <c:v>1.2307026665652352</c:v>
                </c:pt>
                <c:pt idx="7">
                  <c:v>1.1052257527189031</c:v>
                </c:pt>
                <c:pt idx="8">
                  <c:v>1.0121450135154373</c:v>
                </c:pt>
                <c:pt idx="9">
                  <c:v>0.94220768136517064</c:v>
                </c:pt>
                <c:pt idx="10">
                  <c:v>0.88962508733911316</c:v>
                </c:pt>
                <c:pt idx="11">
                  <c:v>0.85065147746367575</c:v>
                </c:pt>
                <c:pt idx="12">
                  <c:v>0.82282568663836098</c:v>
                </c:pt>
                <c:pt idx="13">
                  <c:v>0.80454679868977108</c:v>
                </c:pt>
                <c:pt idx="14">
                  <c:v>0.79483148905952838</c:v>
                </c:pt>
                <c:pt idx="15">
                  <c:v>0.79317863448920423</c:v>
                </c:pt>
                <c:pt idx="16">
                  <c:v>0.79950444663874309</c:v>
                </c:pt>
                <c:pt idx="17">
                  <c:v>0.81413190358839638</c:v>
                </c:pt>
                <c:pt idx="18">
                  <c:v>0.83783192651865113</c:v>
                </c:pt>
                <c:pt idx="19">
                  <c:v>0.87192639299517971</c:v>
                </c:pt>
                <c:pt idx="20">
                  <c:v>0.91847986845863006</c:v>
                </c:pt>
                <c:pt idx="21">
                  <c:v>0.98063568593043648</c:v>
                </c:pt>
                <c:pt idx="22">
                  <c:v>1.0632089096140371</c:v>
                </c:pt>
                <c:pt idx="23">
                  <c:v>1.173772972917619</c:v>
                </c:pt>
                <c:pt idx="24">
                  <c:v>1.3247741492111886</c:v>
                </c:pt>
                <c:pt idx="25">
                  <c:v>1.5379986724972341</c:v>
                </c:pt>
                <c:pt idx="26">
                  <c:v>1.8551187414300667</c:v>
                </c:pt>
                <c:pt idx="27">
                  <c:v>2.3667715564354239</c:v>
                </c:pt>
                <c:pt idx="28">
                  <c:v>3.3138668690803548</c:v>
                </c:pt>
                <c:pt idx="29">
                  <c:v>5.6181999734266528</c:v>
                </c:pt>
                <c:pt idx="30">
                  <c:v>15.374131979899364</c:v>
                </c:pt>
                <c:pt idx="31">
                  <c:v>19.067527526861802</c:v>
                </c:pt>
              </c:numCache>
            </c:numRef>
          </c:yVal>
          <c:smooth val="1"/>
          <c:extLst>
            <c:ext xmlns:c16="http://schemas.microsoft.com/office/drawing/2014/chart" uri="{C3380CC4-5D6E-409C-BE32-E72D297353CC}">
              <c16:uniqueId val="{00000001-64C4-44ED-B9CC-0C68CE4013A3}"/>
            </c:ext>
          </c:extLst>
        </c:ser>
        <c:dLbls>
          <c:showLegendKey val="0"/>
          <c:showVal val="0"/>
          <c:showCatName val="0"/>
          <c:showSerName val="0"/>
          <c:showPercent val="0"/>
          <c:showBubbleSize val="0"/>
        </c:dLbls>
        <c:axId val="90490000"/>
        <c:axId val="34172149"/>
      </c:scatterChart>
      <c:scatterChart>
        <c:scatterStyle val="lineMarker"/>
        <c:varyColors val="0"/>
        <c:ser>
          <c:idx val="2"/>
          <c:order val="2"/>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64C4-44ED-B9CC-0C68CE4013A3}"/>
            </c:ext>
          </c:extLst>
        </c:ser>
        <c:dLbls>
          <c:showLegendKey val="0"/>
          <c:showVal val="0"/>
          <c:showCatName val="0"/>
          <c:showSerName val="0"/>
          <c:showPercent val="0"/>
          <c:showBubbleSize val="0"/>
        </c:dLbls>
        <c:axId val="68651335"/>
        <c:axId val="4654869"/>
      </c:scatterChart>
      <c:valAx>
        <c:axId val="90490000"/>
        <c:scaling>
          <c:orientation val="minMax"/>
          <c:max val="3.04"/>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172149"/>
        <c:crosses val="autoZero"/>
        <c:crossBetween val="midCat"/>
      </c:valAx>
      <c:valAx>
        <c:axId val="34172149"/>
        <c:scaling>
          <c:orientation val="minMax"/>
          <c:max val="2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0490000"/>
        <c:crosses val="autoZero"/>
        <c:crossBetween val="midCat"/>
      </c:valAx>
      <c:valAx>
        <c:axId val="68651335"/>
        <c:scaling>
          <c:orientation val="minMax"/>
        </c:scaling>
        <c:delete val="1"/>
        <c:axPos val="b"/>
        <c:numFmt formatCode="General" sourceLinked="1"/>
        <c:majorTickMark val="out"/>
        <c:minorTickMark val="none"/>
        <c:tickLblPos val="nextTo"/>
        <c:crossAx val="4654869"/>
        <c:crosses val="autoZero"/>
        <c:crossBetween val="midCat"/>
      </c:valAx>
      <c:valAx>
        <c:axId val="4654869"/>
        <c:scaling>
          <c:orientation val="minMax"/>
        </c:scaling>
        <c:delete val="0"/>
        <c:axPos val="r"/>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Instantaneous Power [W]</a:t>
                </a:r>
              </a:p>
            </c:rich>
          </c:tx>
          <c:layout>
            <c:manualLayout>
              <c:xMode val="edge"/>
              <c:yMode val="edge"/>
              <c:x val="0.95427599834566401"/>
              <c:y val="0.34562122098693199"/>
            </c:manualLayout>
          </c:layout>
          <c:overlay val="0"/>
          <c:spPr>
            <a:noFill/>
            <a:ln w="0">
              <a:noFill/>
            </a:ln>
          </c:spPr>
        </c:title>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8651335"/>
        <c:crosses val="max"/>
        <c:crossBetween val="midCat"/>
      </c:valAx>
      <c:spPr>
        <a:noFill/>
        <a:ln w="0">
          <a:noFill/>
        </a:ln>
      </c:spPr>
    </c:plotArea>
    <c:legend>
      <c:legendPos val="r"/>
      <c:layout>
        <c:manualLayout>
          <c:xMode val="edge"/>
          <c:yMode val="edge"/>
          <c:x val="0.30808858241179699"/>
          <c:y val="0.46562339982868001"/>
          <c:w val="0.41697288548172001"/>
          <c:h val="0.18093545758587401"/>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Voltage Gain curve vs Minimum Required Gain for PFC regulation@Vin_min</a:t>
            </a:r>
          </a:p>
        </c:rich>
      </c:tx>
      <c:layout>
        <c:manualLayout>
          <c:xMode val="edge"/>
          <c:yMode val="edge"/>
          <c:x val="0.16143559579063499"/>
          <c:y val="2.32886854681295E-2"/>
        </c:manualLayout>
      </c:layout>
      <c:overlay val="0"/>
      <c:spPr>
        <a:noFill/>
        <a:ln w="0">
          <a:noFill/>
        </a:ln>
      </c:spPr>
    </c:title>
    <c:autoTitleDeleted val="0"/>
    <c:plotArea>
      <c:layout>
        <c:manualLayout>
          <c:layoutTarget val="inner"/>
          <c:xMode val="edge"/>
          <c:yMode val="edge"/>
          <c:x val="0.125361885942742"/>
          <c:y val="0.136232079154607"/>
          <c:w val="0.826248793713524"/>
          <c:h val="0.73675708420273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RTC!$C$28:$CG$28</c:f>
              <c:numCache>
                <c:formatCode>General</c:formatCode>
                <c:ptCount val="83"/>
                <c:pt idx="0">
                  <c:v>2.1818182512396718E-8</c:v>
                </c:pt>
                <c:pt idx="1">
                  <c:v>1.2886419367458453E-3</c:v>
                </c:pt>
                <c:pt idx="2">
                  <c:v>3.2957540508757933E-3</c:v>
                </c:pt>
                <c:pt idx="3">
                  <c:v>6.2466838217803949E-3</c:v>
                </c:pt>
                <c:pt idx="4">
                  <c:v>1.0165634844491057E-2</c:v>
                </c:pt>
                <c:pt idx="5">
                  <c:v>1.5085230808885637E-2</c:v>
                </c:pt>
                <c:pt idx="6">
                  <c:v>2.104720710419164E-2</c:v>
                </c:pt>
                <c:pt idx="7">
                  <c:v>2.8103319587713758E-2</c:v>
                </c:pt>
                <c:pt idx="8">
                  <c:v>3.6316508449383139E-2</c:v>
                </c:pt>
                <c:pt idx="9">
                  <c:v>4.5762367743434479E-2</c:v>
                </c:pt>
                <c:pt idx="10">
                  <c:v>5.6530987448607108E-2</c:v>
                </c:pt>
                <c:pt idx="11">
                  <c:v>6.8729256295102084E-2</c:v>
                </c:pt>
                <c:pt idx="12">
                  <c:v>8.2483742085161724E-2</c:v>
                </c:pt>
                <c:pt idx="13">
                  <c:v>9.7944304735298124E-2</c:v>
                </c:pt>
                <c:pt idx="14">
                  <c:v>0.11528864999952876</c:v>
                </c:pt>
                <c:pt idx="15">
                  <c:v>0.1347281050187448</c:v>
                </c:pt>
                <c:pt idx="16">
                  <c:v>0.15651499980883612</c:v>
                </c:pt>
                <c:pt idx="17">
                  <c:v>0.18095218575415503</c:v>
                </c:pt>
                <c:pt idx="18">
                  <c:v>0.20840543512238516</c:v>
                </c:pt>
                <c:pt idx="19">
                  <c:v>0.23931977930378859</c:v>
                </c:pt>
                <c:pt idx="20">
                  <c:v>0.27424131386312434</c:v>
                </c:pt>
                <c:pt idx="21">
                  <c:v>0.31384671772931005</c:v>
                </c:pt>
                <c:pt idx="22">
                  <c:v>0.3589838574142431</c:v>
                </c:pt>
                <c:pt idx="23">
                  <c:v>0.41072864448862639</c:v>
                </c:pt>
                <c:pt idx="24">
                  <c:v>0.47046626668653735</c:v>
                </c:pt>
                <c:pt idx="25">
                  <c:v>0.54000990781304037</c:v>
                </c:pt>
                <c:pt idx="26">
                  <c:v>0.62177881033586746</c:v>
                </c:pt>
                <c:pt idx="27">
                  <c:v>0.71907341857608231</c:v>
                </c:pt>
                <c:pt idx="28">
                  <c:v>0.83651551018079373</c:v>
                </c:pt>
                <c:pt idx="29">
                  <c:v>0.98078153994784389</c:v>
                </c:pt>
                <c:pt idx="30">
                  <c:v>1.1618855338834528</c:v>
                </c:pt>
                <c:pt idx="31">
                  <c:v>1.3955605407023011</c:v>
                </c:pt>
                <c:pt idx="32">
                  <c:v>1.70801881699095</c:v>
                </c:pt>
                <c:pt idx="33">
                  <c:v>2.1464163817304032</c:v>
                </c:pt>
                <c:pt idx="34">
                  <c:v>2.8049873938594398</c:v>
                </c:pt>
                <c:pt idx="35">
                  <c:v>3.9033273688464369</c:v>
                </c:pt>
                <c:pt idx="36">
                  <c:v>6.098718634915044</c:v>
                </c:pt>
                <c:pt idx="37">
                  <c:v>12.659566924581251</c:v>
                </c:pt>
                <c:pt idx="38">
                  <c:v>1921.5837087114464</c:v>
                </c:pt>
                <c:pt idx="39">
                  <c:v>42.249999999987104</c:v>
                </c:pt>
                <c:pt idx="40">
                  <c:v>10.581427390464974</c:v>
                </c:pt>
                <c:pt idx="41">
                  <c:v>6.2413366336631526</c:v>
                </c:pt>
                <c:pt idx="42">
                  <c:v>4.5187319884725161</c:v>
                </c:pt>
                <c:pt idx="43">
                  <c:v>3.5949449125080415</c:v>
                </c:pt>
                <c:pt idx="44">
                  <c:v>3.0192994996425648</c:v>
                </c:pt>
                <c:pt idx="45">
                  <c:v>2.6264591439688467</c:v>
                </c:pt>
                <c:pt idx="46">
                  <c:v>2.3414634146341284</c:v>
                </c:pt>
                <c:pt idx="47">
                  <c:v>2.1254008980115326</c:v>
                </c:pt>
                <c:pt idx="48">
                  <c:v>1.9560649474689491</c:v>
                </c:pt>
                <c:pt idx="49">
                  <c:v>1.8198585144012047</c:v>
                </c:pt>
                <c:pt idx="50">
                  <c:v>1.7079905491189553</c:v>
                </c:pt>
                <c:pt idx="51">
                  <c:v>1.6145251396647997</c:v>
                </c:pt>
                <c:pt idx="52">
                  <c:v>1.5353095649293769</c:v>
                </c:pt>
                <c:pt idx="53">
                  <c:v>1.4673515584189416</c:v>
                </c:pt>
                <c:pt idx="54">
                  <c:v>1.4084404999094342</c:v>
                </c:pt>
                <c:pt idx="55">
                  <c:v>1.35690789473684</c:v>
                </c:pt>
                <c:pt idx="56">
                  <c:v>1.3114708393594574</c:v>
                </c:pt>
                <c:pt idx="57">
                  <c:v>1.2711267605633787</c:v>
                </c:pt>
                <c:pt idx="58">
                  <c:v>1.2350808487203404</c:v>
                </c:pt>
                <c:pt idx="59">
                  <c:v>1.2026949211102145</c:v>
                </c:pt>
                <c:pt idx="60">
                  <c:v>1.1734506784011727</c:v>
                </c:pt>
                <c:pt idx="61">
                  <c:v>1.1469228398232809</c:v>
                </c:pt>
                <c:pt idx="62">
                  <c:v>1.1227591914225556</c:v>
                </c:pt>
                <c:pt idx="63">
                  <c:v>1.1006655574043258</c:v>
                </c:pt>
                <c:pt idx="64">
                  <c:v>1.080394333380958</c:v>
                </c:pt>
                <c:pt idx="65">
                  <c:v>1.0617356341095658</c:v>
                </c:pt>
                <c:pt idx="66">
                  <c:v>1.0445103857566764</c:v>
                </c:pt>
                <c:pt idx="67">
                  <c:v>1.0285648819980142</c:v>
                </c:pt>
                <c:pt idx="68">
                  <c:v>1.0137664544300213</c:v>
                </c:pt>
                <c:pt idx="69">
                  <c:v>1</c:v>
                </c:pt>
                <c:pt idx="70">
                  <c:v>0.92687605964801134</c:v>
                </c:pt>
                <c:pt idx="71">
                  <c:v>0.87793233473094412</c:v>
                </c:pt>
                <c:pt idx="72">
                  <c:v>0.8432116897802775</c:v>
                </c:pt>
                <c:pt idx="73">
                  <c:v>0.81751431221486071</c:v>
                </c:pt>
                <c:pt idx="74">
                  <c:v>0.79786908756308172</c:v>
                </c:pt>
                <c:pt idx="75">
                  <c:v>0.78246071684854068</c:v>
                </c:pt>
                <c:pt idx="76">
                  <c:v>0.7701209595806876</c:v>
                </c:pt>
                <c:pt idx="77">
                  <c:v>0.76006613168945525</c:v>
                </c:pt>
                <c:pt idx="78">
                  <c:v>0.75175235378607119</c:v>
                </c:pt>
                <c:pt idx="79">
                  <c:v>0.74479131918510189</c:v>
                </c:pt>
                <c:pt idx="80">
                  <c:v>0.73889904941593587</c:v>
                </c:pt>
                <c:pt idx="81">
                  <c:v>0.73386352963092394</c:v>
                </c:pt>
                <c:pt idx="82">
                  <c:v>0.72952360451323239</c:v>
                </c:pt>
              </c:numCache>
            </c:numRef>
          </c:yVal>
          <c:smooth val="1"/>
          <c:extLst>
            <c:ext xmlns:c16="http://schemas.microsoft.com/office/drawing/2014/chart" uri="{C3380CC4-5D6E-409C-BE32-E72D297353CC}">
              <c16:uniqueId val="{00000000-5811-44F1-AE68-A1F3E747AC6C}"/>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RTC!$C$47:$CG$47</c:f>
              <c:numCache>
                <c:formatCode>General</c:formatCode>
                <c:ptCount val="83"/>
                <c:pt idx="0">
                  <c:v>2.1818182382492675E-8</c:v>
                </c:pt>
                <c:pt idx="1">
                  <c:v>1.2881887010930794E-3</c:v>
                </c:pt>
                <c:pt idx="2">
                  <c:v>3.2927886442313385E-3</c:v>
                </c:pt>
                <c:pt idx="3">
                  <c:v>6.2360266346062031E-3</c:v>
                </c:pt>
                <c:pt idx="4">
                  <c:v>1.0137396704165301E-2</c:v>
                </c:pt>
                <c:pt idx="5">
                  <c:v>1.5023007895528954E-2</c:v>
                </c:pt>
                <c:pt idx="6">
                  <c:v>2.0925987778792478E-2</c:v>
                </c:pt>
                <c:pt idx="7">
                  <c:v>2.7887001276361342E-2</c:v>
                </c:pt>
                <c:pt idx="8">
                  <c:v>3.5954897539339017E-2</c:v>
                </c:pt>
                <c:pt idx="9">
                  <c:v>4.5187500817546217E-2</c:v>
                </c:pt>
                <c:pt idx="10">
                  <c:v>5.5652564835327163E-2</c:v>
                </c:pt>
                <c:pt idx="11">
                  <c:v>6.7428914152122668E-2</c:v>
                </c:pt>
                <c:pt idx="12">
                  <c:v>8.0607800331455051E-2</c:v>
                </c:pt>
                <c:pt idx="13">
                  <c:v>9.5294505365001059E-2</c:v>
                </c:pt>
                <c:pt idx="14">
                  <c:v>0.11161022945863958</c:v>
                </c:pt>
                <c:pt idx="15">
                  <c:v>0.12969430450041747</c:v>
                </c:pt>
                <c:pt idx="16">
                  <c:v>0.14970677740192706</c:v>
                </c:pt>
                <c:pt idx="17">
                  <c:v>0.17183140745740369</c:v>
                </c:pt>
                <c:pt idx="18">
                  <c:v>0.19627911619524036</c:v>
                </c:pt>
                <c:pt idx="19">
                  <c:v>0.22329191235764032</c:v>
                </c:pt>
                <c:pt idx="20">
                  <c:v>0.25314728109657647</c:v>
                </c:pt>
                <c:pt idx="21">
                  <c:v>0.28616296286546417</c:v>
                </c:pt>
                <c:pt idx="22">
                  <c:v>0.32270193381356715</c:v>
                </c:pt>
                <c:pt idx="23">
                  <c:v>0.36317720380577329</c:v>
                </c:pt>
                <c:pt idx="24">
                  <c:v>0.40805572039200749</c:v>
                </c:pt>
                <c:pt idx="25">
                  <c:v>0.45786013065995684</c:v>
                </c:pt>
                <c:pt idx="26">
                  <c:v>0.51316629609248432</c:v>
                </c:pt>
                <c:pt idx="27">
                  <c:v>0.57459312657902117</c:v>
                </c:pt>
                <c:pt idx="28">
                  <c:v>0.64277932160959372</c:v>
                </c:pt>
                <c:pt idx="29">
                  <c:v>0.71833884691119299</c:v>
                </c:pt>
                <c:pt idx="30">
                  <c:v>0.80178354597124124</c:v>
                </c:pt>
                <c:pt idx="31">
                  <c:v>0.89339801137383779</c:v>
                </c:pt>
                <c:pt idx="32">
                  <c:v>0.99305115057053139</c:v>
                </c:pt>
                <c:pt idx="33">
                  <c:v>1.0999361156437204</c:v>
                </c:pt>
                <c:pt idx="34">
                  <c:v>1.2122544795938535</c:v>
                </c:pt>
                <c:pt idx="35">
                  <c:v>1.3269116345880969</c:v>
                </c:pt>
                <c:pt idx="36">
                  <c:v>1.4393666612797296</c:v>
                </c:pt>
                <c:pt idx="37">
                  <c:v>1.5438437181055409</c:v>
                </c:pt>
                <c:pt idx="38">
                  <c:v>1.634075089047597</c:v>
                </c:pt>
                <c:pt idx="39">
                  <c:v>1.6593385553953328</c:v>
                </c:pt>
                <c:pt idx="40">
                  <c:v>1.7224809596753172</c:v>
                </c:pt>
                <c:pt idx="41">
                  <c:v>1.7617858065342098</c:v>
                </c:pt>
                <c:pt idx="42">
                  <c:v>1.7775007606476596</c:v>
                </c:pt>
                <c:pt idx="43">
                  <c:v>1.7723770936820213</c:v>
                </c:pt>
                <c:pt idx="44">
                  <c:v>1.7506688032071991</c:v>
                </c:pt>
                <c:pt idx="45">
                  <c:v>1.7170352094878036</c:v>
                </c:pt>
                <c:pt idx="46">
                  <c:v>1.6757354437264311</c:v>
                </c:pt>
                <c:pt idx="47">
                  <c:v>1.6302254633798372</c:v>
                </c:pt>
                <c:pt idx="48">
                  <c:v>1.5830741957458498</c:v>
                </c:pt>
                <c:pt idx="49">
                  <c:v>1.5360596375513149</c:v>
                </c:pt>
                <c:pt idx="50">
                  <c:v>1.4903324554146884</c:v>
                </c:pt>
                <c:pt idx="51">
                  <c:v>1.446581713956461</c:v>
                </c:pt>
                <c:pt idx="52">
                  <c:v>1.4051745142564538</c:v>
                </c:pt>
                <c:pt idx="53">
                  <c:v>1.3662628198799427</c:v>
                </c:pt>
                <c:pt idx="54">
                  <c:v>1.329860503810347</c:v>
                </c:pt>
                <c:pt idx="55">
                  <c:v>1.2958967576600455</c:v>
                </c:pt>
                <c:pt idx="56">
                  <c:v>1.2642520414530216</c:v>
                </c:pt>
                <c:pt idx="57">
                  <c:v>1.2347816882910965</c:v>
                </c:pt>
                <c:pt idx="58">
                  <c:v>1.2073310266874606</c:v>
                </c:pt>
                <c:pt idx="59">
                  <c:v>1.1817447922027622</c:v>
                </c:pt>
                <c:pt idx="60">
                  <c:v>1.1578727557635651</c:v>
                </c:pt>
                <c:pt idx="61">
                  <c:v>1.1355728820271946</c:v>
                </c:pt>
                <c:pt idx="62">
                  <c:v>1.1147129003379874</c:v>
                </c:pt>
                <c:pt idx="63">
                  <c:v>1.0951708751382412</c:v>
                </c:pt>
                <c:pt idx="64">
                  <c:v>1.0768351626045636</c:v>
                </c:pt>
                <c:pt idx="65">
                  <c:v>1.0596040061373857</c:v>
                </c:pt>
                <c:pt idx="66">
                  <c:v>1.0433849339971508</c:v>
                </c:pt>
                <c:pt idx="67">
                  <c:v>1.0280940632015909</c:v>
                </c:pt>
                <c:pt idx="68">
                  <c:v>1.0136553747908899</c:v>
                </c:pt>
                <c:pt idx="69">
                  <c:v>1</c:v>
                </c:pt>
                <c:pt idx="70">
                  <c:v>0.92333211953700123</c:v>
                </c:pt>
                <c:pt idx="71">
                  <c:v>0.86696105834124759</c:v>
                </c:pt>
                <c:pt idx="72">
                  <c:v>0.82318248090522994</c:v>
                </c:pt>
                <c:pt idx="73">
                  <c:v>0.78763759103387965</c:v>
                </c:pt>
                <c:pt idx="74">
                  <c:v>0.75772129315258452</c:v>
                </c:pt>
                <c:pt idx="75">
                  <c:v>0.73180269010084442</c:v>
                </c:pt>
                <c:pt idx="76">
                  <c:v>0.70882081816335396</c:v>
                </c:pt>
                <c:pt idx="77">
                  <c:v>0.68806311613752202</c:v>
                </c:pt>
                <c:pt idx="78">
                  <c:v>0.66903798029635431</c:v>
                </c:pt>
                <c:pt idx="79">
                  <c:v>0.65139830863734394</c:v>
                </c:pt>
                <c:pt idx="80">
                  <c:v>0.63489396113171548</c:v>
                </c:pt>
                <c:pt idx="81">
                  <c:v>0.61934128252039466</c:v>
                </c:pt>
                <c:pt idx="82">
                  <c:v>0.60460304808045218</c:v>
                </c:pt>
              </c:numCache>
            </c:numRef>
          </c:yVal>
          <c:smooth val="1"/>
          <c:extLst>
            <c:ext xmlns:c16="http://schemas.microsoft.com/office/drawing/2014/chart" uri="{C3380CC4-5D6E-409C-BE32-E72D297353CC}">
              <c16:uniqueId val="{00000001-5811-44F1-AE68-A1F3E747AC6C}"/>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RTC!$C$49:$CG$49</c:f>
              <c:numCache>
                <c:formatCode>General</c:formatCode>
                <c:ptCount val="83"/>
                <c:pt idx="0">
                  <c:v>2.1818182439325691E-8</c:v>
                </c:pt>
                <c:pt idx="1">
                  <c:v>1.288386932838223E-3</c:v>
                </c:pt>
                <c:pt idx="2">
                  <c:v>3.294085024357045E-3</c:v>
                </c:pt>
                <c:pt idx="3">
                  <c:v>6.2406824378399874E-3</c:v>
                </c:pt>
                <c:pt idx="4">
                  <c:v>1.0149721903320651E-2</c:v>
                </c:pt>
                <c:pt idx="5">
                  <c:v>1.5050135523851146E-2</c:v>
                </c:pt>
                <c:pt idx="6">
                  <c:v>2.0978762930202923E-2</c:v>
                </c:pt>
                <c:pt idx="7">
                  <c:v>2.7981024024538607E-2</c:v>
                </c:pt>
                <c:pt idx="8">
                  <c:v>3.6111767932241016E-2</c:v>
                </c:pt>
                <c:pt idx="9">
                  <c:v>4.5436326096875805E-2</c:v>
                </c:pt>
                <c:pt idx="10">
                  <c:v>5.6031805097773321E-2</c:v>
                </c:pt>
                <c:pt idx="11">
                  <c:v>6.7988664131966317E-2</c:v>
                </c:pt>
                <c:pt idx="12">
                  <c:v>8.1412633661487821E-2</c:v>
                </c:pt>
                <c:pt idx="13">
                  <c:v>9.6427046070027292E-2</c:v>
                </c:pt>
                <c:pt idx="14">
                  <c:v>0.11317566700622338</c:v>
                </c:pt>
                <c:pt idx="15">
                  <c:v>0.13182613823889974</c:v>
                </c:pt>
                <c:pt idx="16">
                  <c:v>0.15257417021874703</c:v>
                </c:pt>
                <c:pt idx="17">
                  <c:v>0.17564865601082363</c:v>
                </c:pt>
                <c:pt idx="18">
                  <c:v>0.20131791842768321</c:v>
                </c:pt>
                <c:pt idx="19">
                  <c:v>0.22989734881129481</c:v>
                </c:pt>
                <c:pt idx="20">
                  <c:v>0.26175874677386279</c:v>
                </c:pt>
                <c:pt idx="21">
                  <c:v>0.29734171889440625</c:v>
                </c:pt>
                <c:pt idx="22">
                  <c:v>0.33716752587048926</c:v>
                </c:pt>
                <c:pt idx="23">
                  <c:v>0.38185574987982207</c:v>
                </c:pt>
                <c:pt idx="24">
                  <c:v>0.4321440215917321</c:v>
                </c:pt>
                <c:pt idx="25">
                  <c:v>0.48891067008148426</c:v>
                </c:pt>
                <c:pt idx="26">
                  <c:v>0.55319928820362751</c:v>
                </c:pt>
                <c:pt idx="27">
                  <c:v>0.62624236450510695</c:v>
                </c:pt>
                <c:pt idx="28">
                  <c:v>0.70947743818119835</c:v>
                </c:pt>
                <c:pt idx="29">
                  <c:v>0.80454211618310545</c:v>
                </c:pt>
                <c:pt idx="30">
                  <c:v>0.91322115987396457</c:v>
                </c:pt>
                <c:pt idx="31">
                  <c:v>1.0372960664446651</c:v>
                </c:pt>
                <c:pt idx="32">
                  <c:v>1.1782121374140366</c:v>
                </c:pt>
                <c:pt idx="33">
                  <c:v>1.3364349780829285</c:v>
                </c:pt>
                <c:pt idx="34">
                  <c:v>1.5103522672564342</c:v>
                </c:pt>
                <c:pt idx="35">
                  <c:v>1.6946933621753784</c:v>
                </c:pt>
                <c:pt idx="36">
                  <c:v>1.8788872930725196</c:v>
                </c:pt>
                <c:pt idx="37">
                  <c:v>2.0466553898913227</c:v>
                </c:pt>
                <c:pt idx="38">
                  <c:v>2.1787661726775815</c:v>
                </c:pt>
                <c:pt idx="39">
                  <c:v>2.2111254628172508</c:v>
                </c:pt>
                <c:pt idx="40">
                  <c:v>2.2733341619235317</c:v>
                </c:pt>
                <c:pt idx="41">
                  <c:v>2.2794758156576145</c:v>
                </c:pt>
                <c:pt idx="42">
                  <c:v>2.2390917769355321</c:v>
                </c:pt>
                <c:pt idx="43">
                  <c:v>2.1671764851446023</c:v>
                </c:pt>
                <c:pt idx="44">
                  <c:v>2.0782664827564985</c:v>
                </c:pt>
                <c:pt idx="45">
                  <c:v>1.9833491584035789</c:v>
                </c:pt>
                <c:pt idx="46">
                  <c:v>1.8894370266624958</c:v>
                </c:pt>
                <c:pt idx="47">
                  <c:v>1.8004036122547353</c:v>
                </c:pt>
                <c:pt idx="48">
                  <c:v>1.7180362951962087</c:v>
                </c:pt>
                <c:pt idx="49">
                  <c:v>1.6428800535467103</c:v>
                </c:pt>
                <c:pt idx="50">
                  <c:v>1.5748033751254678</c:v>
                </c:pt>
                <c:pt idx="51">
                  <c:v>1.5133428875947135</c:v>
                </c:pt>
                <c:pt idx="52">
                  <c:v>1.4579001918992971</c:v>
                </c:pt>
                <c:pt idx="53">
                  <c:v>1.4078482374057375</c:v>
                </c:pt>
                <c:pt idx="54">
                  <c:v>1.3625851213657625</c:v>
                </c:pt>
                <c:pt idx="55">
                  <c:v>1.3215584444011077</c:v>
                </c:pt>
                <c:pt idx="56">
                  <c:v>1.2842737446429706</c:v>
                </c:pt>
                <c:pt idx="57">
                  <c:v>1.2502946995621886</c:v>
                </c:pt>
                <c:pt idx="58">
                  <c:v>1.2192393728204127</c:v>
                </c:pt>
                <c:pt idx="59">
                  <c:v>1.1907748312749207</c:v>
                </c:pt>
                <c:pt idx="60">
                  <c:v>1.1646113567059417</c:v>
                </c:pt>
                <c:pt idx="61">
                  <c:v>1.140496864502047</c:v>
                </c:pt>
                <c:pt idx="62">
                  <c:v>1.1182118061628268</c:v>
                </c:pt>
                <c:pt idx="63">
                  <c:v>1.0975646529978911</c:v>
                </c:pt>
                <c:pt idx="64">
                  <c:v>1.0783879659759421</c:v>
                </c:pt>
                <c:pt idx="65">
                  <c:v>1.0605350123336386</c:v>
                </c:pt>
                <c:pt idx="66">
                  <c:v>1.0438768713069297</c:v>
                </c:pt>
                <c:pt idx="67">
                  <c:v>1.0282999668555644</c:v>
                </c:pt>
                <c:pt idx="68">
                  <c:v>1.0137039676399553</c:v>
                </c:pt>
                <c:pt idx="69">
                  <c:v>1</c:v>
                </c:pt>
                <c:pt idx="70">
                  <c:v>0.9248775837731108</c:v>
                </c:pt>
                <c:pt idx="71">
                  <c:v>0.87171013030791378</c:v>
                </c:pt>
                <c:pt idx="72">
                  <c:v>0.8317679840872253</c:v>
                </c:pt>
                <c:pt idx="73">
                  <c:v>0.80029976910742162</c:v>
                </c:pt>
                <c:pt idx="74">
                  <c:v>0.77452535688315916</c:v>
                </c:pt>
                <c:pt idx="75">
                  <c:v>0.75272386488392695</c:v>
                </c:pt>
                <c:pt idx="76">
                  <c:v>0.73378169196191756</c:v>
                </c:pt>
                <c:pt idx="77">
                  <c:v>0.71695212083513848</c:v>
                </c:pt>
                <c:pt idx="78">
                  <c:v>0.70171979637125559</c:v>
                </c:pt>
                <c:pt idx="79">
                  <c:v>0.68772053775691788</c:v>
                </c:pt>
                <c:pt idx="80">
                  <c:v>0.67469191662288797</c:v>
                </c:pt>
                <c:pt idx="81">
                  <c:v>0.6624417207487634</c:v>
                </c:pt>
                <c:pt idx="82">
                  <c:v>0.65082722151455918</c:v>
                </c:pt>
              </c:numCache>
            </c:numRef>
          </c:yVal>
          <c:smooth val="1"/>
          <c:extLst>
            <c:ext xmlns:c16="http://schemas.microsoft.com/office/drawing/2014/chart" uri="{C3380CC4-5D6E-409C-BE32-E72D297353CC}">
              <c16:uniqueId val="{00000002-5811-44F1-AE68-A1F3E747AC6C}"/>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RTC!$C$50:$CG$50</c:f>
              <c:numCache>
                <c:formatCode>General</c:formatCode>
                <c:ptCount val="83"/>
                <c:pt idx="0">
                  <c:v>2.1818182479920704E-8</c:v>
                </c:pt>
                <c:pt idx="1">
                  <c:v>1.2885285829841006E-3</c:v>
                </c:pt>
                <c:pt idx="2">
                  <c:v>3.2950119481721194E-3</c:v>
                </c:pt>
                <c:pt idx="3">
                  <c:v>6.2440144033623097E-3</c:v>
                </c:pt>
                <c:pt idx="4">
                  <c:v>1.0158553191859945E-2</c:v>
                </c:pt>
                <c:pt idx="5">
                  <c:v>1.5069602622699301E-2</c:v>
                </c:pt>
                <c:pt idx="6">
                  <c:v>2.1016704876682134E-2</c:v>
                </c:pt>
                <c:pt idx="7">
                  <c:v>2.8048768388947723E-2</c:v>
                </c:pt>
                <c:pt idx="8">
                  <c:v>3.6225083729408088E-2</c:v>
                </c:pt>
                <c:pt idx="9">
                  <c:v>4.5616596356075428E-2</c:v>
                </c:pt>
                <c:pt idx="10">
                  <c:v>5.6307487501055131E-2</c:v>
                </c:pt>
                <c:pt idx="11">
                  <c:v>6.83971296301875E-2</c:v>
                </c:pt>
                <c:pt idx="12">
                  <c:v>8.2002502564154742E-2</c:v>
                </c:pt>
                <c:pt idx="13">
                  <c:v>9.7261182059277002E-2</c:v>
                </c:pt>
                <c:pt idx="14">
                  <c:v>0.11433504662530793</c:v>
                </c:pt>
                <c:pt idx="15">
                  <c:v>0.13341489367348136</c:v>
                </c:pt>
                <c:pt idx="16">
                  <c:v>0.15472621704054584</c:v>
                </c:pt>
                <c:pt idx="17">
                  <c:v>0.17853648058534624</c:v>
                </c:pt>
                <c:pt idx="18">
                  <c:v>0.20516433548851423</c:v>
                </c:pt>
                <c:pt idx="19">
                  <c:v>0.23499138428974772</c:v>
                </c:pt>
                <c:pt idx="20">
                  <c:v>0.26847730985236462</c:v>
                </c:pt>
                <c:pt idx="21">
                  <c:v>0.30617948669159406</c:v>
                </c:pt>
                <c:pt idx="22">
                  <c:v>0.34877860915110864</c:v>
                </c:pt>
                <c:pt idx="23">
                  <c:v>0.39711245078414564</c:v>
                </c:pt>
                <c:pt idx="24">
                  <c:v>0.45222066752110879</c:v>
                </c:pt>
                <c:pt idx="25">
                  <c:v>0.51540462938092035</c:v>
                </c:pt>
                <c:pt idx="26">
                  <c:v>0.58830762840615813</c:v>
                </c:pt>
                <c:pt idx="27">
                  <c:v>0.67302232488870162</c:v>
                </c:pt>
                <c:pt idx="28">
                  <c:v>0.77223333712321429</c:v>
                </c:pt>
                <c:pt idx="29">
                  <c:v>0.88940146434470002</c:v>
                </c:pt>
                <c:pt idx="30">
                  <c:v>1.0289864824494521</c:v>
                </c:pt>
                <c:pt idx="31">
                  <c:v>1.1966724314094623</c:v>
                </c:pt>
                <c:pt idx="32">
                  <c:v>1.3994632574174968</c:v>
                </c:pt>
                <c:pt idx="33">
                  <c:v>1.6452628496952006</c:v>
                </c:pt>
                <c:pt idx="34">
                  <c:v>1.9409529095430136</c:v>
                </c:pt>
                <c:pt idx="35">
                  <c:v>2.286856711332343</c:v>
                </c:pt>
                <c:pt idx="36">
                  <c:v>2.664689739148864</c:v>
                </c:pt>
                <c:pt idx="37">
                  <c:v>3.0210297534050943</c:v>
                </c:pt>
                <c:pt idx="38">
                  <c:v>3.2681466330811526</c:v>
                </c:pt>
                <c:pt idx="39">
                  <c:v>3.3110252196145522</c:v>
                </c:pt>
                <c:pt idx="40">
                  <c:v>3.3156909367168934</c:v>
                </c:pt>
                <c:pt idx="41">
                  <c:v>3.165485129035889</c:v>
                </c:pt>
                <c:pt idx="42">
                  <c:v>2.9379147301897302</c:v>
                </c:pt>
                <c:pt idx="43">
                  <c:v>2.6956469422014004</c:v>
                </c:pt>
                <c:pt idx="44">
                  <c:v>2.4705166769883413</c:v>
                </c:pt>
                <c:pt idx="45">
                  <c:v>2.2731978578150067</c:v>
                </c:pt>
                <c:pt idx="46">
                  <c:v>2.1043137440172504</c:v>
                </c:pt>
                <c:pt idx="47">
                  <c:v>1.9607997258777867</c:v>
                </c:pt>
                <c:pt idx="48">
                  <c:v>1.8387414801727384</c:v>
                </c:pt>
                <c:pt idx="49">
                  <c:v>1.7344475901781762</c:v>
                </c:pt>
                <c:pt idx="50">
                  <c:v>1.6447671953798582</c:v>
                </c:pt>
                <c:pt idx="51">
                  <c:v>1.5671176092543677</c:v>
                </c:pt>
                <c:pt idx="52">
                  <c:v>1.4994159312519777</c:v>
                </c:pt>
                <c:pt idx="53">
                  <c:v>1.4399901776491046</c:v>
                </c:pt>
                <c:pt idx="54">
                  <c:v>1.3874966034904137</c:v>
                </c:pt>
                <c:pt idx="55">
                  <c:v>1.3408506390314692</c:v>
                </c:pt>
                <c:pt idx="56">
                  <c:v>1.2991717638123261</c:v>
                </c:pt>
                <c:pt idx="57">
                  <c:v>1.2617403838170929</c:v>
                </c:pt>
                <c:pt idx="58">
                  <c:v>1.2279643637936826</c:v>
                </c:pt>
                <c:pt idx="59">
                  <c:v>1.1973530893088902</c:v>
                </c:pt>
                <c:pt idx="60">
                  <c:v>1.1694973196907215</c:v>
                </c:pt>
                <c:pt idx="61">
                  <c:v>1.1440534718277999</c:v>
                </c:pt>
                <c:pt idx="62">
                  <c:v>1.1207312935183062</c:v>
                </c:pt>
                <c:pt idx="63">
                  <c:v>1.0992841366401696</c:v>
                </c:pt>
                <c:pt idx="64">
                  <c:v>1.0795012330280616</c:v>
                </c:pt>
                <c:pt idx="65">
                  <c:v>1.0612015212514392</c:v>
                </c:pt>
                <c:pt idx="66">
                  <c:v>1.0442286814174895</c:v>
                </c:pt>
                <c:pt idx="67">
                  <c:v>1.028447116660097</c:v>
                </c:pt>
                <c:pt idx="68">
                  <c:v>1.0137386810967635</c:v>
                </c:pt>
                <c:pt idx="69">
                  <c:v>1</c:v>
                </c:pt>
                <c:pt idx="70">
                  <c:v>0.9259862501827153</c:v>
                </c:pt>
                <c:pt idx="71">
                  <c:v>0.87515050886117685</c:v>
                </c:pt>
                <c:pt idx="72">
                  <c:v>0.83806761170528898</c:v>
                </c:pt>
                <c:pt idx="73">
                  <c:v>0.80972746125639039</c:v>
                </c:pt>
                <c:pt idx="74">
                  <c:v>0.78723671009002483</c:v>
                </c:pt>
                <c:pt idx="75">
                  <c:v>0.76881622259455229</c:v>
                </c:pt>
                <c:pt idx="76">
                  <c:v>0.75331704608022088</c:v>
                </c:pt>
                <c:pt idx="77">
                  <c:v>0.73996753261833481</c:v>
                </c:pt>
                <c:pt idx="78">
                  <c:v>0.72823262046716475</c:v>
                </c:pt>
                <c:pt idx="79">
                  <c:v>0.71773138144407611</c:v>
                </c:pt>
                <c:pt idx="80">
                  <c:v>0.70818658508753285</c:v>
                </c:pt>
                <c:pt idx="81">
                  <c:v>0.69939270288926503</c:v>
                </c:pt>
                <c:pt idx="82">
                  <c:v>0.69119496620994025</c:v>
                </c:pt>
              </c:numCache>
            </c:numRef>
          </c:yVal>
          <c:smooth val="1"/>
          <c:extLst>
            <c:ext xmlns:c16="http://schemas.microsoft.com/office/drawing/2014/chart" uri="{C3380CC4-5D6E-409C-BE32-E72D297353CC}">
              <c16:uniqueId val="{00000003-5811-44F1-AE68-A1F3E747AC6C}"/>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RTC!$C$53:$CG$53</c:f>
              <c:numCache>
                <c:formatCode>General</c:formatCode>
                <c:ptCount val="83"/>
                <c:pt idx="0">
                  <c:v>1.5209591836734695</c:v>
                </c:pt>
                <c:pt idx="1">
                  <c:v>1.5209591836734695</c:v>
                </c:pt>
                <c:pt idx="2">
                  <c:v>1.5209591836734695</c:v>
                </c:pt>
                <c:pt idx="3">
                  <c:v>1.5209591836734695</c:v>
                </c:pt>
                <c:pt idx="4">
                  <c:v>1.5209591836734695</c:v>
                </c:pt>
                <c:pt idx="5">
                  <c:v>1.5209591836734695</c:v>
                </c:pt>
                <c:pt idx="6">
                  <c:v>1.5209591836734695</c:v>
                </c:pt>
                <c:pt idx="7">
                  <c:v>1.5209591836734695</c:v>
                </c:pt>
                <c:pt idx="8">
                  <c:v>1.5209591836734695</c:v>
                </c:pt>
                <c:pt idx="9">
                  <c:v>1.5209591836734695</c:v>
                </c:pt>
                <c:pt idx="10">
                  <c:v>1.5209591836734695</c:v>
                </c:pt>
                <c:pt idx="11">
                  <c:v>1.5209591836734695</c:v>
                </c:pt>
                <c:pt idx="12">
                  <c:v>1.5209591836734695</c:v>
                </c:pt>
                <c:pt idx="13">
                  <c:v>1.5209591836734695</c:v>
                </c:pt>
                <c:pt idx="14">
                  <c:v>1.5209591836734695</c:v>
                </c:pt>
                <c:pt idx="15">
                  <c:v>1.5209591836734695</c:v>
                </c:pt>
                <c:pt idx="16">
                  <c:v>1.5209591836734695</c:v>
                </c:pt>
                <c:pt idx="17">
                  <c:v>1.5209591836734695</c:v>
                </c:pt>
                <c:pt idx="18">
                  <c:v>1.5209591836734695</c:v>
                </c:pt>
                <c:pt idx="19">
                  <c:v>1.5209591836734695</c:v>
                </c:pt>
                <c:pt idx="20">
                  <c:v>1.5209591836734695</c:v>
                </c:pt>
                <c:pt idx="21">
                  <c:v>1.5209591836734695</c:v>
                </c:pt>
                <c:pt idx="22">
                  <c:v>1.5209591836734695</c:v>
                </c:pt>
                <c:pt idx="23">
                  <c:v>1.5209591836734695</c:v>
                </c:pt>
                <c:pt idx="24">
                  <c:v>1.5209591836734695</c:v>
                </c:pt>
                <c:pt idx="25">
                  <c:v>1.5209591836734695</c:v>
                </c:pt>
                <c:pt idx="26">
                  <c:v>1.5209591836734695</c:v>
                </c:pt>
                <c:pt idx="27">
                  <c:v>1.5209591836734695</c:v>
                </c:pt>
                <c:pt idx="28">
                  <c:v>1.5209591836734695</c:v>
                </c:pt>
                <c:pt idx="29">
                  <c:v>1.5209591836734695</c:v>
                </c:pt>
                <c:pt idx="30">
                  <c:v>1.5209591836734695</c:v>
                </c:pt>
                <c:pt idx="31">
                  <c:v>1.5209591836734695</c:v>
                </c:pt>
                <c:pt idx="32">
                  <c:v>1.5209591836734695</c:v>
                </c:pt>
                <c:pt idx="33">
                  <c:v>1.5209591836734695</c:v>
                </c:pt>
                <c:pt idx="34">
                  <c:v>1.5209591836734695</c:v>
                </c:pt>
                <c:pt idx="35">
                  <c:v>1.5209591836734695</c:v>
                </c:pt>
                <c:pt idx="36">
                  <c:v>1.5209591836734695</c:v>
                </c:pt>
                <c:pt idx="37">
                  <c:v>1.5209591836734695</c:v>
                </c:pt>
                <c:pt idx="38">
                  <c:v>1.5209591836734695</c:v>
                </c:pt>
                <c:pt idx="39">
                  <c:v>1.5209591836734695</c:v>
                </c:pt>
                <c:pt idx="40">
                  <c:v>1.5209591836734695</c:v>
                </c:pt>
                <c:pt idx="41">
                  <c:v>1.5209591836734695</c:v>
                </c:pt>
                <c:pt idx="42">
                  <c:v>1.5209591836734695</c:v>
                </c:pt>
                <c:pt idx="43">
                  <c:v>1.5209591836734695</c:v>
                </c:pt>
                <c:pt idx="44">
                  <c:v>1.5209591836734695</c:v>
                </c:pt>
                <c:pt idx="45">
                  <c:v>1.5209591836734695</c:v>
                </c:pt>
                <c:pt idx="46">
                  <c:v>1.5209591836734695</c:v>
                </c:pt>
                <c:pt idx="47">
                  <c:v>1.5209591836734695</c:v>
                </c:pt>
                <c:pt idx="48">
                  <c:v>1.5209591836734695</c:v>
                </c:pt>
                <c:pt idx="49">
                  <c:v>1.5209591836734695</c:v>
                </c:pt>
                <c:pt idx="50">
                  <c:v>1.5209591836734695</c:v>
                </c:pt>
                <c:pt idx="51">
                  <c:v>1.5209591836734695</c:v>
                </c:pt>
                <c:pt idx="52">
                  <c:v>1.5209591836734695</c:v>
                </c:pt>
                <c:pt idx="53">
                  <c:v>1.5209591836734695</c:v>
                </c:pt>
                <c:pt idx="54">
                  <c:v>1.5209591836734695</c:v>
                </c:pt>
                <c:pt idx="55">
                  <c:v>1.5209591836734695</c:v>
                </c:pt>
                <c:pt idx="56">
                  <c:v>1.5209591836734695</c:v>
                </c:pt>
                <c:pt idx="57">
                  <c:v>1.5209591836734695</c:v>
                </c:pt>
                <c:pt idx="58">
                  <c:v>1.5209591836734695</c:v>
                </c:pt>
                <c:pt idx="59">
                  <c:v>1.5209591836734695</c:v>
                </c:pt>
                <c:pt idx="60">
                  <c:v>1.5209591836734695</c:v>
                </c:pt>
                <c:pt idx="61">
                  <c:v>1.5209591836734695</c:v>
                </c:pt>
                <c:pt idx="62">
                  <c:v>1.5209591836734695</c:v>
                </c:pt>
                <c:pt idx="63">
                  <c:v>1.5209591836734695</c:v>
                </c:pt>
                <c:pt idx="64">
                  <c:v>1.5209591836734695</c:v>
                </c:pt>
                <c:pt idx="65">
                  <c:v>1.5209591836734695</c:v>
                </c:pt>
                <c:pt idx="66">
                  <c:v>1.5209591836734695</c:v>
                </c:pt>
                <c:pt idx="67">
                  <c:v>1.5209591836734695</c:v>
                </c:pt>
                <c:pt idx="68">
                  <c:v>1.5209591836734695</c:v>
                </c:pt>
                <c:pt idx="69">
                  <c:v>1.5209591836734695</c:v>
                </c:pt>
                <c:pt idx="70">
                  <c:v>1.5209591836734695</c:v>
                </c:pt>
                <c:pt idx="71">
                  <c:v>1.5209591836734695</c:v>
                </c:pt>
                <c:pt idx="72">
                  <c:v>1.5209591836734695</c:v>
                </c:pt>
                <c:pt idx="73">
                  <c:v>1.5209591836734695</c:v>
                </c:pt>
                <c:pt idx="74">
                  <c:v>1.5209591836734695</c:v>
                </c:pt>
                <c:pt idx="75">
                  <c:v>1.5209591836734695</c:v>
                </c:pt>
                <c:pt idx="76">
                  <c:v>1.5209591836734695</c:v>
                </c:pt>
                <c:pt idx="77">
                  <c:v>1.5209591836734695</c:v>
                </c:pt>
                <c:pt idx="78">
                  <c:v>1.5209591836734695</c:v>
                </c:pt>
                <c:pt idx="79">
                  <c:v>1.5209591836734695</c:v>
                </c:pt>
                <c:pt idx="80">
                  <c:v>1.5209591836734695</c:v>
                </c:pt>
                <c:pt idx="81">
                  <c:v>1.5209591836734695</c:v>
                </c:pt>
                <c:pt idx="82">
                  <c:v>1.5209591836734695</c:v>
                </c:pt>
              </c:numCache>
            </c:numRef>
          </c:yVal>
          <c:smooth val="1"/>
          <c:extLst>
            <c:ext xmlns:c16="http://schemas.microsoft.com/office/drawing/2014/chart" uri="{C3380CC4-5D6E-409C-BE32-E72D297353CC}">
              <c16:uniqueId val="{00000004-5811-44F1-AE68-A1F3E747AC6C}"/>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RTC!$C$55:$CG$55</c:f>
              <c:numCache>
                <c:formatCode>General</c:formatCode>
                <c:ptCount val="83"/>
                <c:pt idx="0">
                  <c:v>1.7562523882406222</c:v>
                </c:pt>
                <c:pt idx="1">
                  <c:v>1.7562523882406222</c:v>
                </c:pt>
                <c:pt idx="2">
                  <c:v>1.7562523882406222</c:v>
                </c:pt>
                <c:pt idx="3">
                  <c:v>1.7562523882406222</c:v>
                </c:pt>
                <c:pt idx="4">
                  <c:v>1.7562523882406222</c:v>
                </c:pt>
                <c:pt idx="5">
                  <c:v>1.7562523882406222</c:v>
                </c:pt>
                <c:pt idx="6">
                  <c:v>1.7562523882406222</c:v>
                </c:pt>
                <c:pt idx="7">
                  <c:v>1.7562523882406222</c:v>
                </c:pt>
                <c:pt idx="8">
                  <c:v>1.7562523882406222</c:v>
                </c:pt>
                <c:pt idx="9">
                  <c:v>1.7562523882406222</c:v>
                </c:pt>
                <c:pt idx="10">
                  <c:v>1.7562523882406222</c:v>
                </c:pt>
                <c:pt idx="11">
                  <c:v>1.7562523882406222</c:v>
                </c:pt>
                <c:pt idx="12">
                  <c:v>1.7562523882406222</c:v>
                </c:pt>
                <c:pt idx="13">
                  <c:v>1.7562523882406222</c:v>
                </c:pt>
                <c:pt idx="14">
                  <c:v>1.7562523882406222</c:v>
                </c:pt>
                <c:pt idx="15">
                  <c:v>1.7562523882406222</c:v>
                </c:pt>
                <c:pt idx="16">
                  <c:v>1.7562523882406222</c:v>
                </c:pt>
                <c:pt idx="17">
                  <c:v>1.7562523882406222</c:v>
                </c:pt>
                <c:pt idx="18">
                  <c:v>1.7562523882406222</c:v>
                </c:pt>
                <c:pt idx="19">
                  <c:v>1.7562523882406222</c:v>
                </c:pt>
                <c:pt idx="20">
                  <c:v>1.7562523882406222</c:v>
                </c:pt>
                <c:pt idx="21">
                  <c:v>1.7562523882406222</c:v>
                </c:pt>
                <c:pt idx="22">
                  <c:v>1.7562523882406222</c:v>
                </c:pt>
                <c:pt idx="23">
                  <c:v>1.7562523882406222</c:v>
                </c:pt>
                <c:pt idx="24">
                  <c:v>1.7562523882406222</c:v>
                </c:pt>
                <c:pt idx="25">
                  <c:v>1.7562523882406222</c:v>
                </c:pt>
                <c:pt idx="26">
                  <c:v>1.7562523882406222</c:v>
                </c:pt>
                <c:pt idx="27">
                  <c:v>1.7562523882406222</c:v>
                </c:pt>
                <c:pt idx="28">
                  <c:v>1.7562523882406222</c:v>
                </c:pt>
                <c:pt idx="29">
                  <c:v>1.7562523882406222</c:v>
                </c:pt>
                <c:pt idx="30">
                  <c:v>1.7562523882406222</c:v>
                </c:pt>
                <c:pt idx="31">
                  <c:v>1.7562523882406222</c:v>
                </c:pt>
                <c:pt idx="32">
                  <c:v>1.7562523882406222</c:v>
                </c:pt>
                <c:pt idx="33">
                  <c:v>1.7562523882406222</c:v>
                </c:pt>
                <c:pt idx="34">
                  <c:v>1.7562523882406222</c:v>
                </c:pt>
                <c:pt idx="35">
                  <c:v>1.7562523882406222</c:v>
                </c:pt>
                <c:pt idx="36">
                  <c:v>1.7562523882406222</c:v>
                </c:pt>
                <c:pt idx="37">
                  <c:v>1.7562523882406222</c:v>
                </c:pt>
                <c:pt idx="38">
                  <c:v>1.7562523882406222</c:v>
                </c:pt>
                <c:pt idx="39">
                  <c:v>1.7562523882406222</c:v>
                </c:pt>
                <c:pt idx="40">
                  <c:v>1.7562523882406222</c:v>
                </c:pt>
                <c:pt idx="41">
                  <c:v>1.7562523882406222</c:v>
                </c:pt>
                <c:pt idx="42">
                  <c:v>1.7562523882406222</c:v>
                </c:pt>
                <c:pt idx="43">
                  <c:v>1.7562523882406222</c:v>
                </c:pt>
                <c:pt idx="44">
                  <c:v>1.7562523882406222</c:v>
                </c:pt>
                <c:pt idx="45">
                  <c:v>1.7562523882406222</c:v>
                </c:pt>
                <c:pt idx="46">
                  <c:v>1.7562523882406222</c:v>
                </c:pt>
                <c:pt idx="47">
                  <c:v>1.7562523882406222</c:v>
                </c:pt>
                <c:pt idx="48">
                  <c:v>1.7562523882406222</c:v>
                </c:pt>
                <c:pt idx="49">
                  <c:v>1.7562523882406222</c:v>
                </c:pt>
                <c:pt idx="50">
                  <c:v>1.7562523882406222</c:v>
                </c:pt>
                <c:pt idx="51">
                  <c:v>1.7562523882406222</c:v>
                </c:pt>
                <c:pt idx="52">
                  <c:v>1.7562523882406222</c:v>
                </c:pt>
                <c:pt idx="53">
                  <c:v>1.7562523882406222</c:v>
                </c:pt>
                <c:pt idx="54">
                  <c:v>1.7562523882406222</c:v>
                </c:pt>
                <c:pt idx="55">
                  <c:v>1.7562523882406222</c:v>
                </c:pt>
                <c:pt idx="56">
                  <c:v>1.7562523882406222</c:v>
                </c:pt>
                <c:pt idx="57">
                  <c:v>1.7562523882406222</c:v>
                </c:pt>
                <c:pt idx="58">
                  <c:v>1.7562523882406222</c:v>
                </c:pt>
                <c:pt idx="59">
                  <c:v>1.7562523882406222</c:v>
                </c:pt>
                <c:pt idx="60">
                  <c:v>1.7562523882406222</c:v>
                </c:pt>
                <c:pt idx="61">
                  <c:v>1.7562523882406222</c:v>
                </c:pt>
                <c:pt idx="62">
                  <c:v>1.7562523882406222</c:v>
                </c:pt>
                <c:pt idx="63">
                  <c:v>1.7562523882406222</c:v>
                </c:pt>
                <c:pt idx="64">
                  <c:v>1.7562523882406222</c:v>
                </c:pt>
                <c:pt idx="65">
                  <c:v>1.7562523882406222</c:v>
                </c:pt>
                <c:pt idx="66">
                  <c:v>1.7562523882406222</c:v>
                </c:pt>
                <c:pt idx="67">
                  <c:v>1.7562523882406222</c:v>
                </c:pt>
                <c:pt idx="68">
                  <c:v>1.7562523882406222</c:v>
                </c:pt>
                <c:pt idx="69">
                  <c:v>1.7562523882406222</c:v>
                </c:pt>
                <c:pt idx="70">
                  <c:v>1.7562523882406222</c:v>
                </c:pt>
                <c:pt idx="71">
                  <c:v>1.7562523882406222</c:v>
                </c:pt>
                <c:pt idx="72">
                  <c:v>1.7562523882406222</c:v>
                </c:pt>
                <c:pt idx="73">
                  <c:v>1.7562523882406222</c:v>
                </c:pt>
                <c:pt idx="74">
                  <c:v>1.7562523882406222</c:v>
                </c:pt>
                <c:pt idx="75">
                  <c:v>1.7562523882406222</c:v>
                </c:pt>
                <c:pt idx="76">
                  <c:v>1.7562523882406222</c:v>
                </c:pt>
                <c:pt idx="77">
                  <c:v>1.7562523882406222</c:v>
                </c:pt>
                <c:pt idx="78">
                  <c:v>1.7562523882406222</c:v>
                </c:pt>
                <c:pt idx="79">
                  <c:v>1.7562523882406222</c:v>
                </c:pt>
                <c:pt idx="80">
                  <c:v>1.7562523882406222</c:v>
                </c:pt>
                <c:pt idx="81">
                  <c:v>1.7562523882406222</c:v>
                </c:pt>
                <c:pt idx="82">
                  <c:v>1.7562523882406222</c:v>
                </c:pt>
              </c:numCache>
            </c:numRef>
          </c:yVal>
          <c:smooth val="1"/>
          <c:extLst>
            <c:ext xmlns:c16="http://schemas.microsoft.com/office/drawing/2014/chart" uri="{C3380CC4-5D6E-409C-BE32-E72D297353CC}">
              <c16:uniqueId val="{00000005-5811-44F1-AE68-A1F3E747AC6C}"/>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RTC!$C$56:$CG$56</c:f>
              <c:numCache>
                <c:formatCode>General</c:formatCode>
                <c:ptCount val="83"/>
                <c:pt idx="0">
                  <c:v>2.1509611053669317</c:v>
                </c:pt>
                <c:pt idx="1">
                  <c:v>2.1509611053669317</c:v>
                </c:pt>
                <c:pt idx="2">
                  <c:v>2.1509611053669317</c:v>
                </c:pt>
                <c:pt idx="3">
                  <c:v>2.1509611053669317</c:v>
                </c:pt>
                <c:pt idx="4">
                  <c:v>2.1509611053669317</c:v>
                </c:pt>
                <c:pt idx="5">
                  <c:v>2.1509611053669317</c:v>
                </c:pt>
                <c:pt idx="6">
                  <c:v>2.1509611053669317</c:v>
                </c:pt>
                <c:pt idx="7">
                  <c:v>2.1509611053669317</c:v>
                </c:pt>
                <c:pt idx="8">
                  <c:v>2.1509611053669317</c:v>
                </c:pt>
                <c:pt idx="9">
                  <c:v>2.1509611053669317</c:v>
                </c:pt>
                <c:pt idx="10">
                  <c:v>2.1509611053669317</c:v>
                </c:pt>
                <c:pt idx="11">
                  <c:v>2.1509611053669317</c:v>
                </c:pt>
                <c:pt idx="12">
                  <c:v>2.1509611053669317</c:v>
                </c:pt>
                <c:pt idx="13">
                  <c:v>2.1509611053669317</c:v>
                </c:pt>
                <c:pt idx="14">
                  <c:v>2.1509611053669317</c:v>
                </c:pt>
                <c:pt idx="15">
                  <c:v>2.1509611053669317</c:v>
                </c:pt>
                <c:pt idx="16">
                  <c:v>2.1509611053669317</c:v>
                </c:pt>
                <c:pt idx="17">
                  <c:v>2.1509611053669317</c:v>
                </c:pt>
                <c:pt idx="18">
                  <c:v>2.1509611053669317</c:v>
                </c:pt>
                <c:pt idx="19">
                  <c:v>2.1509611053669317</c:v>
                </c:pt>
                <c:pt idx="20">
                  <c:v>2.1509611053669317</c:v>
                </c:pt>
                <c:pt idx="21">
                  <c:v>2.1509611053669317</c:v>
                </c:pt>
                <c:pt idx="22">
                  <c:v>2.1509611053669317</c:v>
                </c:pt>
                <c:pt idx="23">
                  <c:v>2.1509611053669317</c:v>
                </c:pt>
                <c:pt idx="24">
                  <c:v>2.1509611053669317</c:v>
                </c:pt>
                <c:pt idx="25">
                  <c:v>2.1509611053669317</c:v>
                </c:pt>
                <c:pt idx="26">
                  <c:v>2.1509611053669317</c:v>
                </c:pt>
                <c:pt idx="27">
                  <c:v>2.1509611053669317</c:v>
                </c:pt>
                <c:pt idx="28">
                  <c:v>2.1509611053669317</c:v>
                </c:pt>
                <c:pt idx="29">
                  <c:v>2.1509611053669317</c:v>
                </c:pt>
                <c:pt idx="30">
                  <c:v>2.1509611053669317</c:v>
                </c:pt>
                <c:pt idx="31">
                  <c:v>2.1509611053669317</c:v>
                </c:pt>
                <c:pt idx="32">
                  <c:v>2.1509611053669317</c:v>
                </c:pt>
                <c:pt idx="33">
                  <c:v>2.1509611053669317</c:v>
                </c:pt>
                <c:pt idx="34">
                  <c:v>2.1509611053669317</c:v>
                </c:pt>
                <c:pt idx="35">
                  <c:v>2.1509611053669317</c:v>
                </c:pt>
                <c:pt idx="36">
                  <c:v>2.1509611053669317</c:v>
                </c:pt>
                <c:pt idx="37">
                  <c:v>2.1509611053669317</c:v>
                </c:pt>
                <c:pt idx="38">
                  <c:v>2.1509611053669317</c:v>
                </c:pt>
                <c:pt idx="39">
                  <c:v>2.1509611053669317</c:v>
                </c:pt>
                <c:pt idx="40">
                  <c:v>2.1509611053669317</c:v>
                </c:pt>
                <c:pt idx="41">
                  <c:v>2.1509611053669317</c:v>
                </c:pt>
                <c:pt idx="42">
                  <c:v>2.1509611053669317</c:v>
                </c:pt>
                <c:pt idx="43">
                  <c:v>2.1509611053669317</c:v>
                </c:pt>
                <c:pt idx="44">
                  <c:v>2.1509611053669317</c:v>
                </c:pt>
                <c:pt idx="45">
                  <c:v>2.1509611053669317</c:v>
                </c:pt>
                <c:pt idx="46">
                  <c:v>2.1509611053669317</c:v>
                </c:pt>
                <c:pt idx="47">
                  <c:v>2.1509611053669317</c:v>
                </c:pt>
                <c:pt idx="48">
                  <c:v>2.1509611053669317</c:v>
                </c:pt>
                <c:pt idx="49">
                  <c:v>2.1509611053669317</c:v>
                </c:pt>
                <c:pt idx="50">
                  <c:v>2.1509611053669317</c:v>
                </c:pt>
                <c:pt idx="51">
                  <c:v>2.1509611053669317</c:v>
                </c:pt>
                <c:pt idx="52">
                  <c:v>2.1509611053669317</c:v>
                </c:pt>
                <c:pt idx="53">
                  <c:v>2.1509611053669317</c:v>
                </c:pt>
                <c:pt idx="54">
                  <c:v>2.1509611053669317</c:v>
                </c:pt>
                <c:pt idx="55">
                  <c:v>2.1509611053669317</c:v>
                </c:pt>
                <c:pt idx="56">
                  <c:v>2.1509611053669317</c:v>
                </c:pt>
                <c:pt idx="57">
                  <c:v>2.1509611053669317</c:v>
                </c:pt>
                <c:pt idx="58">
                  <c:v>2.1509611053669317</c:v>
                </c:pt>
                <c:pt idx="59">
                  <c:v>2.1509611053669317</c:v>
                </c:pt>
                <c:pt idx="60">
                  <c:v>2.1509611053669317</c:v>
                </c:pt>
                <c:pt idx="61">
                  <c:v>2.1509611053669317</c:v>
                </c:pt>
                <c:pt idx="62">
                  <c:v>2.1509611053669317</c:v>
                </c:pt>
                <c:pt idx="63">
                  <c:v>2.1509611053669317</c:v>
                </c:pt>
                <c:pt idx="64">
                  <c:v>2.1509611053669317</c:v>
                </c:pt>
                <c:pt idx="65">
                  <c:v>2.1509611053669317</c:v>
                </c:pt>
                <c:pt idx="66">
                  <c:v>2.1509611053669317</c:v>
                </c:pt>
                <c:pt idx="67">
                  <c:v>2.1509611053669317</c:v>
                </c:pt>
                <c:pt idx="68">
                  <c:v>2.1509611053669317</c:v>
                </c:pt>
                <c:pt idx="69">
                  <c:v>2.1509611053669317</c:v>
                </c:pt>
                <c:pt idx="70">
                  <c:v>2.1509611053669317</c:v>
                </c:pt>
                <c:pt idx="71">
                  <c:v>2.1509611053669317</c:v>
                </c:pt>
                <c:pt idx="72">
                  <c:v>2.1509611053669317</c:v>
                </c:pt>
                <c:pt idx="73">
                  <c:v>2.1509611053669317</c:v>
                </c:pt>
                <c:pt idx="74">
                  <c:v>2.1509611053669317</c:v>
                </c:pt>
                <c:pt idx="75">
                  <c:v>2.1509611053669317</c:v>
                </c:pt>
                <c:pt idx="76">
                  <c:v>2.1509611053669317</c:v>
                </c:pt>
                <c:pt idx="77">
                  <c:v>2.1509611053669317</c:v>
                </c:pt>
                <c:pt idx="78">
                  <c:v>2.1509611053669317</c:v>
                </c:pt>
                <c:pt idx="79">
                  <c:v>2.1509611053669317</c:v>
                </c:pt>
                <c:pt idx="80">
                  <c:v>2.1509611053669317</c:v>
                </c:pt>
                <c:pt idx="81">
                  <c:v>2.1509611053669317</c:v>
                </c:pt>
                <c:pt idx="82">
                  <c:v>2.1509611053669317</c:v>
                </c:pt>
              </c:numCache>
            </c:numRef>
          </c:yVal>
          <c:smooth val="1"/>
          <c:extLst>
            <c:ext xmlns:c16="http://schemas.microsoft.com/office/drawing/2014/chart" uri="{C3380CC4-5D6E-409C-BE32-E72D297353CC}">
              <c16:uniqueId val="{00000006-5811-44F1-AE68-A1F3E747AC6C}"/>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1921.5837087114464</c:v>
                </c:pt>
                <c:pt idx="39">
                  <c:v>6.499999999999007</c:v>
                </c:pt>
                <c:pt idx="40">
                  <c:v>3.2529106029008803</c:v>
                </c:pt>
                <c:pt idx="41">
                  <c:v>2.4982667258847973</c:v>
                </c:pt>
                <c:pt idx="42">
                  <c:v>2.1257309304031207</c:v>
                </c:pt>
                <c:pt idx="43">
                  <c:v>1.8960339956097945</c:v>
                </c:pt>
                <c:pt idx="44">
                  <c:v>1.7376131616797115</c:v>
                </c:pt>
                <c:pt idx="45">
                  <c:v>1.6206354136476369</c:v>
                </c:pt>
                <c:pt idx="46">
                  <c:v>1.5301841113520063</c:v>
                </c:pt>
                <c:pt idx="47">
                  <c:v>1.4578754741100259</c:v>
                </c:pt>
                <c:pt idx="48">
                  <c:v>1.3985939180008431</c:v>
                </c:pt>
                <c:pt idx="49">
                  <c:v>1.3490213172523273</c:v>
                </c:pt>
                <c:pt idx="50">
                  <c:v>1.3069011244615849</c:v>
                </c:pt>
                <c:pt idx="51">
                  <c:v>1.2706396576782892</c:v>
                </c:pt>
                <c:pt idx="52">
                  <c:v>1.2390760932765092</c:v>
                </c:pt>
                <c:pt idx="53">
                  <c:v>1.2113428740117067</c:v>
                </c:pt>
                <c:pt idx="54">
                  <c:v>1.1867773590313537</c:v>
                </c:pt>
                <c:pt idx="55">
                  <c:v>1.1648638953701158</c:v>
                </c:pt>
                <c:pt idx="56">
                  <c:v>1.1451946731274369</c:v>
                </c:pt>
                <c:pt idx="57">
                  <c:v>1.1274425752841599</c:v>
                </c:pt>
                <c:pt idx="58">
                  <c:v>1.1113419135083229</c:v>
                </c:pt>
                <c:pt idx="59">
                  <c:v>1.0966744827478272</c:v>
                </c:pt>
                <c:pt idx="60">
                  <c:v>1.0832592849365161</c:v>
                </c:pt>
                <c:pt idx="61">
                  <c:v>1.0709448350980926</c:v>
                </c:pt>
                <c:pt idx="62">
                  <c:v>1.0596033179556184</c:v>
                </c:pt>
                <c:pt idx="63">
                  <c:v>1.0491260922331147</c:v>
                </c:pt>
                <c:pt idx="64">
                  <c:v>1.0394201909627108</c:v>
                </c:pt>
                <c:pt idx="65">
                  <c:v>1.0304055677788071</c:v>
                </c:pt>
                <c:pt idx="66">
                  <c:v>1.022012908801389</c:v>
                </c:pt>
                <c:pt idx="67">
                  <c:v>1.0141818781648655</c:v>
                </c:pt>
                <c:pt idx="68">
                  <c:v>1.0068596994765564</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5811-44F1-AE68-A1F3E747AC6C}"/>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RTC!$C$31:$CG$31</c:f>
              <c:numCache>
                <c:formatCode>General</c:formatCode>
                <c:ptCount val="83"/>
                <c:pt idx="0">
                  <c:v>0.68571428571428572</c:v>
                </c:pt>
                <c:pt idx="1">
                  <c:v>0.68571428571428572</c:v>
                </c:pt>
                <c:pt idx="2">
                  <c:v>0.68571428571428572</c:v>
                </c:pt>
                <c:pt idx="3">
                  <c:v>0.68571428571428572</c:v>
                </c:pt>
                <c:pt idx="4">
                  <c:v>0.68571428571428572</c:v>
                </c:pt>
                <c:pt idx="5">
                  <c:v>0.68571428571428572</c:v>
                </c:pt>
                <c:pt idx="6">
                  <c:v>0.68571428571428572</c:v>
                </c:pt>
                <c:pt idx="7">
                  <c:v>0.68571428571428572</c:v>
                </c:pt>
                <c:pt idx="8">
                  <c:v>0.68571428571428572</c:v>
                </c:pt>
                <c:pt idx="9">
                  <c:v>0.68571428571428572</c:v>
                </c:pt>
                <c:pt idx="10">
                  <c:v>0.68571428571428572</c:v>
                </c:pt>
                <c:pt idx="11">
                  <c:v>0.68571428571428572</c:v>
                </c:pt>
                <c:pt idx="12">
                  <c:v>0.68571428571428572</c:v>
                </c:pt>
                <c:pt idx="13">
                  <c:v>0.68571428571428572</c:v>
                </c:pt>
                <c:pt idx="14">
                  <c:v>0.68571428571428572</c:v>
                </c:pt>
                <c:pt idx="15">
                  <c:v>0.68571428571428572</c:v>
                </c:pt>
                <c:pt idx="16">
                  <c:v>0.68571428571428572</c:v>
                </c:pt>
                <c:pt idx="17">
                  <c:v>0.68571428571428572</c:v>
                </c:pt>
                <c:pt idx="18">
                  <c:v>0.68571428571428572</c:v>
                </c:pt>
                <c:pt idx="19">
                  <c:v>0.68571428571428572</c:v>
                </c:pt>
                <c:pt idx="20">
                  <c:v>0.68571428571428572</c:v>
                </c:pt>
                <c:pt idx="21">
                  <c:v>0.68571428571428572</c:v>
                </c:pt>
                <c:pt idx="22">
                  <c:v>0.68571428571428572</c:v>
                </c:pt>
                <c:pt idx="23">
                  <c:v>0.68571428571428572</c:v>
                </c:pt>
                <c:pt idx="24">
                  <c:v>0.68571428571428572</c:v>
                </c:pt>
                <c:pt idx="25">
                  <c:v>0.68571428571428572</c:v>
                </c:pt>
                <c:pt idx="26">
                  <c:v>0.68571428571428572</c:v>
                </c:pt>
                <c:pt idx="27">
                  <c:v>0.68571428571428572</c:v>
                </c:pt>
                <c:pt idx="28">
                  <c:v>0.68571428571428572</c:v>
                </c:pt>
                <c:pt idx="29">
                  <c:v>0.68571428571428572</c:v>
                </c:pt>
                <c:pt idx="30">
                  <c:v>0.68571428571428572</c:v>
                </c:pt>
                <c:pt idx="31">
                  <c:v>0.68571428571428572</c:v>
                </c:pt>
                <c:pt idx="32">
                  <c:v>0.68571428571428572</c:v>
                </c:pt>
                <c:pt idx="33">
                  <c:v>0.68571428571428572</c:v>
                </c:pt>
                <c:pt idx="34">
                  <c:v>0.68571428571428572</c:v>
                </c:pt>
                <c:pt idx="35">
                  <c:v>0.68571428571428572</c:v>
                </c:pt>
                <c:pt idx="36">
                  <c:v>0.68571428571428572</c:v>
                </c:pt>
                <c:pt idx="37">
                  <c:v>0.68571428571428572</c:v>
                </c:pt>
                <c:pt idx="38">
                  <c:v>0.68571428571428572</c:v>
                </c:pt>
                <c:pt idx="39">
                  <c:v>0.68571428571428572</c:v>
                </c:pt>
                <c:pt idx="40">
                  <c:v>0.68571428571428572</c:v>
                </c:pt>
                <c:pt idx="41">
                  <c:v>0.68571428571428572</c:v>
                </c:pt>
                <c:pt idx="42">
                  <c:v>0.68571428571428572</c:v>
                </c:pt>
                <c:pt idx="43">
                  <c:v>0.68571428571428572</c:v>
                </c:pt>
                <c:pt idx="44">
                  <c:v>0.68571428571428572</c:v>
                </c:pt>
                <c:pt idx="45">
                  <c:v>0.68571428571428572</c:v>
                </c:pt>
                <c:pt idx="46">
                  <c:v>0.68571428571428572</c:v>
                </c:pt>
                <c:pt idx="47">
                  <c:v>0.68571428571428572</c:v>
                </c:pt>
                <c:pt idx="48">
                  <c:v>0.68571428571428572</c:v>
                </c:pt>
                <c:pt idx="49">
                  <c:v>0.68571428571428572</c:v>
                </c:pt>
                <c:pt idx="50">
                  <c:v>0.68571428571428572</c:v>
                </c:pt>
                <c:pt idx="51">
                  <c:v>0.68571428571428572</c:v>
                </c:pt>
                <c:pt idx="52">
                  <c:v>0.68571428571428572</c:v>
                </c:pt>
                <c:pt idx="53">
                  <c:v>0.68571428571428572</c:v>
                </c:pt>
                <c:pt idx="54">
                  <c:v>0.68571428571428572</c:v>
                </c:pt>
                <c:pt idx="55">
                  <c:v>0.68571428571428572</c:v>
                </c:pt>
                <c:pt idx="56">
                  <c:v>0.68571428571428572</c:v>
                </c:pt>
                <c:pt idx="57">
                  <c:v>0.68571428571428572</c:v>
                </c:pt>
                <c:pt idx="58">
                  <c:v>0.68571428571428572</c:v>
                </c:pt>
                <c:pt idx="59">
                  <c:v>0.68571428571428572</c:v>
                </c:pt>
                <c:pt idx="60">
                  <c:v>0.68571428571428572</c:v>
                </c:pt>
                <c:pt idx="61">
                  <c:v>0.68571428571428572</c:v>
                </c:pt>
                <c:pt idx="62">
                  <c:v>0.68571428571428572</c:v>
                </c:pt>
                <c:pt idx="63">
                  <c:v>0.68571428571428572</c:v>
                </c:pt>
                <c:pt idx="64">
                  <c:v>0.68571428571428572</c:v>
                </c:pt>
                <c:pt idx="65">
                  <c:v>0.68571428571428572</c:v>
                </c:pt>
                <c:pt idx="66">
                  <c:v>0.68571428571428572</c:v>
                </c:pt>
                <c:pt idx="67">
                  <c:v>0.68571428571428572</c:v>
                </c:pt>
                <c:pt idx="68">
                  <c:v>0.68571428571428572</c:v>
                </c:pt>
                <c:pt idx="69">
                  <c:v>0.68571428571428572</c:v>
                </c:pt>
                <c:pt idx="70">
                  <c:v>0.68571428571428572</c:v>
                </c:pt>
                <c:pt idx="71">
                  <c:v>0.68571428571428572</c:v>
                </c:pt>
                <c:pt idx="72">
                  <c:v>0.68571428571428572</c:v>
                </c:pt>
                <c:pt idx="73">
                  <c:v>0.68571428571428572</c:v>
                </c:pt>
                <c:pt idx="74">
                  <c:v>0.68571428571428572</c:v>
                </c:pt>
                <c:pt idx="75">
                  <c:v>0.68571428571428572</c:v>
                </c:pt>
                <c:pt idx="76">
                  <c:v>0.68571428571428572</c:v>
                </c:pt>
                <c:pt idx="77">
                  <c:v>0.68571428571428572</c:v>
                </c:pt>
                <c:pt idx="78">
                  <c:v>0.68571428571428572</c:v>
                </c:pt>
                <c:pt idx="79">
                  <c:v>0.68571428571428572</c:v>
                </c:pt>
                <c:pt idx="80">
                  <c:v>0.68571428571428572</c:v>
                </c:pt>
                <c:pt idx="81">
                  <c:v>0.68571428571428572</c:v>
                </c:pt>
                <c:pt idx="82">
                  <c:v>0.68571428571428572</c:v>
                </c:pt>
              </c:numCache>
            </c:numRef>
          </c:yVal>
          <c:smooth val="1"/>
          <c:extLst>
            <c:ext xmlns:c16="http://schemas.microsoft.com/office/drawing/2014/chart" uri="{C3380CC4-5D6E-409C-BE32-E72D297353CC}">
              <c16:uniqueId val="{00000008-5811-44F1-AE68-A1F3E747AC6C}"/>
            </c:ext>
          </c:extLst>
        </c:ser>
        <c:dLbls>
          <c:showLegendKey val="0"/>
          <c:showVal val="0"/>
          <c:showCatName val="0"/>
          <c:showSerName val="0"/>
          <c:showPercent val="0"/>
          <c:showBubbleSize val="0"/>
        </c:dLbls>
        <c:axId val="80364785"/>
        <c:axId val="47544363"/>
      </c:scatterChart>
      <c:valAx>
        <c:axId val="80364785"/>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7544363"/>
        <c:crosses val="autoZero"/>
        <c:crossBetween val="midCat"/>
      </c:valAx>
      <c:valAx>
        <c:axId val="47544363"/>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0364785"/>
        <c:crosses val="autoZero"/>
        <c:crossBetween val="midCat"/>
      </c:valAx>
      <c:spPr>
        <a:noFill/>
        <a:ln w="0">
          <a:noFill/>
        </a:ln>
      </c:spPr>
    </c:plotArea>
    <c:legend>
      <c:legendPos val="r"/>
      <c:layout>
        <c:manualLayout>
          <c:xMode val="edge"/>
          <c:yMode val="edge"/>
          <c:x val="0.64745225092890701"/>
          <c:y val="0.15736422940758699"/>
          <c:w val="0.28012287815561299"/>
          <c:h val="0.42080688326758903"/>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ZOOM: Voltage Gain curve vs Minimum Required Gain for PFC regulation@Vin_min</a:t>
            </a:r>
          </a:p>
        </c:rich>
      </c:tx>
      <c:layout>
        <c:manualLayout>
          <c:xMode val="edge"/>
          <c:yMode val="edge"/>
          <c:x val="0.16144301470588199"/>
          <c:y val="2.32886854681295E-2"/>
        </c:manualLayout>
      </c:layout>
      <c:overlay val="0"/>
      <c:spPr>
        <a:noFill/>
        <a:ln w="0">
          <a:noFill/>
        </a:ln>
      </c:spPr>
    </c:title>
    <c:autoTitleDeleted val="0"/>
    <c:plotArea>
      <c:layout>
        <c:manualLayout>
          <c:layoutTarget val="inner"/>
          <c:xMode val="edge"/>
          <c:yMode val="edge"/>
          <c:x val="0.125367647058824"/>
          <c:y val="0.141818671333378"/>
          <c:w val="0.82624080882353002"/>
          <c:h val="0.73675708420273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RTC!$C$28:$CG$28</c:f>
              <c:numCache>
                <c:formatCode>General</c:formatCode>
                <c:ptCount val="83"/>
                <c:pt idx="0">
                  <c:v>2.1818182512396718E-8</c:v>
                </c:pt>
                <c:pt idx="1">
                  <c:v>1.2886419367458453E-3</c:v>
                </c:pt>
                <c:pt idx="2">
                  <c:v>3.2957540508757933E-3</c:v>
                </c:pt>
                <c:pt idx="3">
                  <c:v>6.2466838217803949E-3</c:v>
                </c:pt>
                <c:pt idx="4">
                  <c:v>1.0165634844491057E-2</c:v>
                </c:pt>
                <c:pt idx="5">
                  <c:v>1.5085230808885637E-2</c:v>
                </c:pt>
                <c:pt idx="6">
                  <c:v>2.104720710419164E-2</c:v>
                </c:pt>
                <c:pt idx="7">
                  <c:v>2.8103319587713758E-2</c:v>
                </c:pt>
                <c:pt idx="8">
                  <c:v>3.6316508449383139E-2</c:v>
                </c:pt>
                <c:pt idx="9">
                  <c:v>4.5762367743434479E-2</c:v>
                </c:pt>
                <c:pt idx="10">
                  <c:v>5.6530987448607108E-2</c:v>
                </c:pt>
                <c:pt idx="11">
                  <c:v>6.8729256295102084E-2</c:v>
                </c:pt>
                <c:pt idx="12">
                  <c:v>8.2483742085161724E-2</c:v>
                </c:pt>
                <c:pt idx="13">
                  <c:v>9.7944304735298124E-2</c:v>
                </c:pt>
                <c:pt idx="14">
                  <c:v>0.11528864999952876</c:v>
                </c:pt>
                <c:pt idx="15">
                  <c:v>0.1347281050187448</c:v>
                </c:pt>
                <c:pt idx="16">
                  <c:v>0.15651499980883612</c:v>
                </c:pt>
                <c:pt idx="17">
                  <c:v>0.18095218575415503</c:v>
                </c:pt>
                <c:pt idx="18">
                  <c:v>0.20840543512238516</c:v>
                </c:pt>
                <c:pt idx="19">
                  <c:v>0.23931977930378859</c:v>
                </c:pt>
                <c:pt idx="20">
                  <c:v>0.27424131386312434</c:v>
                </c:pt>
                <c:pt idx="21">
                  <c:v>0.31384671772931005</c:v>
                </c:pt>
                <c:pt idx="22">
                  <c:v>0.3589838574142431</c:v>
                </c:pt>
                <c:pt idx="23">
                  <c:v>0.41072864448862639</c:v>
                </c:pt>
                <c:pt idx="24">
                  <c:v>0.47046626668653735</c:v>
                </c:pt>
                <c:pt idx="25">
                  <c:v>0.54000990781304037</c:v>
                </c:pt>
                <c:pt idx="26">
                  <c:v>0.62177881033586746</c:v>
                </c:pt>
                <c:pt idx="27">
                  <c:v>0.71907341857608231</c:v>
                </c:pt>
                <c:pt idx="28">
                  <c:v>0.83651551018079373</c:v>
                </c:pt>
                <c:pt idx="29">
                  <c:v>0.98078153994784389</c:v>
                </c:pt>
                <c:pt idx="30">
                  <c:v>1.1618855338834528</c:v>
                </c:pt>
                <c:pt idx="31">
                  <c:v>1.3955605407023011</c:v>
                </c:pt>
                <c:pt idx="32">
                  <c:v>1.70801881699095</c:v>
                </c:pt>
                <c:pt idx="33">
                  <c:v>2.1464163817304032</c:v>
                </c:pt>
                <c:pt idx="34">
                  <c:v>2.8049873938594398</c:v>
                </c:pt>
                <c:pt idx="35">
                  <c:v>3.9033273688464369</c:v>
                </c:pt>
                <c:pt idx="36">
                  <c:v>6.098718634915044</c:v>
                </c:pt>
                <c:pt idx="37">
                  <c:v>12.659566924581251</c:v>
                </c:pt>
                <c:pt idx="38">
                  <c:v>1921.5837087114464</c:v>
                </c:pt>
                <c:pt idx="39">
                  <c:v>42.249999999987104</c:v>
                </c:pt>
                <c:pt idx="40">
                  <c:v>10.581427390464974</c:v>
                </c:pt>
                <c:pt idx="41">
                  <c:v>6.2413366336631526</c:v>
                </c:pt>
                <c:pt idx="42">
                  <c:v>4.5187319884725161</c:v>
                </c:pt>
                <c:pt idx="43">
                  <c:v>3.5949449125080415</c:v>
                </c:pt>
                <c:pt idx="44">
                  <c:v>3.0192994996425648</c:v>
                </c:pt>
                <c:pt idx="45">
                  <c:v>2.6264591439688467</c:v>
                </c:pt>
                <c:pt idx="46">
                  <c:v>2.3414634146341284</c:v>
                </c:pt>
                <c:pt idx="47">
                  <c:v>2.1254008980115326</c:v>
                </c:pt>
                <c:pt idx="48">
                  <c:v>1.9560649474689491</c:v>
                </c:pt>
                <c:pt idx="49">
                  <c:v>1.8198585144012047</c:v>
                </c:pt>
                <c:pt idx="50">
                  <c:v>1.7079905491189553</c:v>
                </c:pt>
                <c:pt idx="51">
                  <c:v>1.6145251396647997</c:v>
                </c:pt>
                <c:pt idx="52">
                  <c:v>1.5353095649293769</c:v>
                </c:pt>
                <c:pt idx="53">
                  <c:v>1.4673515584189416</c:v>
                </c:pt>
                <c:pt idx="54">
                  <c:v>1.4084404999094342</c:v>
                </c:pt>
                <c:pt idx="55">
                  <c:v>1.35690789473684</c:v>
                </c:pt>
                <c:pt idx="56">
                  <c:v>1.3114708393594574</c:v>
                </c:pt>
                <c:pt idx="57">
                  <c:v>1.2711267605633787</c:v>
                </c:pt>
                <c:pt idx="58">
                  <c:v>1.2350808487203404</c:v>
                </c:pt>
                <c:pt idx="59">
                  <c:v>1.2026949211102145</c:v>
                </c:pt>
                <c:pt idx="60">
                  <c:v>1.1734506784011727</c:v>
                </c:pt>
                <c:pt idx="61">
                  <c:v>1.1469228398232809</c:v>
                </c:pt>
                <c:pt idx="62">
                  <c:v>1.1227591914225556</c:v>
                </c:pt>
                <c:pt idx="63">
                  <c:v>1.1006655574043258</c:v>
                </c:pt>
                <c:pt idx="64">
                  <c:v>1.080394333380958</c:v>
                </c:pt>
                <c:pt idx="65">
                  <c:v>1.0617356341095658</c:v>
                </c:pt>
                <c:pt idx="66">
                  <c:v>1.0445103857566764</c:v>
                </c:pt>
                <c:pt idx="67">
                  <c:v>1.0285648819980142</c:v>
                </c:pt>
                <c:pt idx="68">
                  <c:v>1.0137664544300213</c:v>
                </c:pt>
                <c:pt idx="69">
                  <c:v>1</c:v>
                </c:pt>
                <c:pt idx="70">
                  <c:v>0.92687605964801134</c:v>
                </c:pt>
                <c:pt idx="71">
                  <c:v>0.87793233473094412</c:v>
                </c:pt>
                <c:pt idx="72">
                  <c:v>0.8432116897802775</c:v>
                </c:pt>
                <c:pt idx="73">
                  <c:v>0.81751431221486071</c:v>
                </c:pt>
                <c:pt idx="74">
                  <c:v>0.79786908756308172</c:v>
                </c:pt>
                <c:pt idx="75">
                  <c:v>0.78246071684854068</c:v>
                </c:pt>
                <c:pt idx="76">
                  <c:v>0.7701209595806876</c:v>
                </c:pt>
                <c:pt idx="77">
                  <c:v>0.76006613168945525</c:v>
                </c:pt>
                <c:pt idx="78">
                  <c:v>0.75175235378607119</c:v>
                </c:pt>
                <c:pt idx="79">
                  <c:v>0.74479131918510189</c:v>
                </c:pt>
                <c:pt idx="80">
                  <c:v>0.73889904941593587</c:v>
                </c:pt>
                <c:pt idx="81">
                  <c:v>0.73386352963092394</c:v>
                </c:pt>
                <c:pt idx="82">
                  <c:v>0.72952360451323239</c:v>
                </c:pt>
              </c:numCache>
            </c:numRef>
          </c:yVal>
          <c:smooth val="1"/>
          <c:extLst>
            <c:ext xmlns:c16="http://schemas.microsoft.com/office/drawing/2014/chart" uri="{C3380CC4-5D6E-409C-BE32-E72D297353CC}">
              <c16:uniqueId val="{00000000-CE98-4990-A577-1B25E5B604B7}"/>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RTC!$C$47:$CG$47</c:f>
              <c:numCache>
                <c:formatCode>General</c:formatCode>
                <c:ptCount val="83"/>
                <c:pt idx="0">
                  <c:v>2.1818182382492675E-8</c:v>
                </c:pt>
                <c:pt idx="1">
                  <c:v>1.2881887010930794E-3</c:v>
                </c:pt>
                <c:pt idx="2">
                  <c:v>3.2927886442313385E-3</c:v>
                </c:pt>
                <c:pt idx="3">
                  <c:v>6.2360266346062031E-3</c:v>
                </c:pt>
                <c:pt idx="4">
                  <c:v>1.0137396704165301E-2</c:v>
                </c:pt>
                <c:pt idx="5">
                  <c:v>1.5023007895528954E-2</c:v>
                </c:pt>
                <c:pt idx="6">
                  <c:v>2.0925987778792478E-2</c:v>
                </c:pt>
                <c:pt idx="7">
                  <c:v>2.7887001276361342E-2</c:v>
                </c:pt>
                <c:pt idx="8">
                  <c:v>3.5954897539339017E-2</c:v>
                </c:pt>
                <c:pt idx="9">
                  <c:v>4.5187500817546217E-2</c:v>
                </c:pt>
                <c:pt idx="10">
                  <c:v>5.5652564835327163E-2</c:v>
                </c:pt>
                <c:pt idx="11">
                  <c:v>6.7428914152122668E-2</c:v>
                </c:pt>
                <c:pt idx="12">
                  <c:v>8.0607800331455051E-2</c:v>
                </c:pt>
                <c:pt idx="13">
                  <c:v>9.5294505365001059E-2</c:v>
                </c:pt>
                <c:pt idx="14">
                  <c:v>0.11161022945863958</c:v>
                </c:pt>
                <c:pt idx="15">
                  <c:v>0.12969430450041747</c:v>
                </c:pt>
                <c:pt idx="16">
                  <c:v>0.14970677740192706</c:v>
                </c:pt>
                <c:pt idx="17">
                  <c:v>0.17183140745740369</c:v>
                </c:pt>
                <c:pt idx="18">
                  <c:v>0.19627911619524036</c:v>
                </c:pt>
                <c:pt idx="19">
                  <c:v>0.22329191235764032</c:v>
                </c:pt>
                <c:pt idx="20">
                  <c:v>0.25314728109657647</c:v>
                </c:pt>
                <c:pt idx="21">
                  <c:v>0.28616296286546417</c:v>
                </c:pt>
                <c:pt idx="22">
                  <c:v>0.32270193381356715</c:v>
                </c:pt>
                <c:pt idx="23">
                  <c:v>0.36317720380577329</c:v>
                </c:pt>
                <c:pt idx="24">
                  <c:v>0.40805572039200749</c:v>
                </c:pt>
                <c:pt idx="25">
                  <c:v>0.45786013065995684</c:v>
                </c:pt>
                <c:pt idx="26">
                  <c:v>0.51316629609248432</c:v>
                </c:pt>
                <c:pt idx="27">
                  <c:v>0.57459312657902117</c:v>
                </c:pt>
                <c:pt idx="28">
                  <c:v>0.64277932160959372</c:v>
                </c:pt>
                <c:pt idx="29">
                  <c:v>0.71833884691119299</c:v>
                </c:pt>
                <c:pt idx="30">
                  <c:v>0.80178354597124124</c:v>
                </c:pt>
                <c:pt idx="31">
                  <c:v>0.89339801137383779</c:v>
                </c:pt>
                <c:pt idx="32">
                  <c:v>0.99305115057053139</c:v>
                </c:pt>
                <c:pt idx="33">
                  <c:v>1.0999361156437204</c:v>
                </c:pt>
                <c:pt idx="34">
                  <c:v>1.2122544795938535</c:v>
                </c:pt>
                <c:pt idx="35">
                  <c:v>1.3269116345880969</c:v>
                </c:pt>
                <c:pt idx="36">
                  <c:v>1.4393666612797296</c:v>
                </c:pt>
                <c:pt idx="37">
                  <c:v>1.5438437181055409</c:v>
                </c:pt>
                <c:pt idx="38">
                  <c:v>1.634075089047597</c:v>
                </c:pt>
                <c:pt idx="39">
                  <c:v>1.6593385553953328</c:v>
                </c:pt>
                <c:pt idx="40">
                  <c:v>1.7224809596753172</c:v>
                </c:pt>
                <c:pt idx="41">
                  <c:v>1.7617858065342098</c:v>
                </c:pt>
                <c:pt idx="42">
                  <c:v>1.7775007606476596</c:v>
                </c:pt>
                <c:pt idx="43">
                  <c:v>1.7723770936820213</c:v>
                </c:pt>
                <c:pt idx="44">
                  <c:v>1.7506688032071991</c:v>
                </c:pt>
                <c:pt idx="45">
                  <c:v>1.7170352094878036</c:v>
                </c:pt>
                <c:pt idx="46">
                  <c:v>1.6757354437264311</c:v>
                </c:pt>
                <c:pt idx="47">
                  <c:v>1.6302254633798372</c:v>
                </c:pt>
                <c:pt idx="48">
                  <c:v>1.5830741957458498</c:v>
                </c:pt>
                <c:pt idx="49">
                  <c:v>1.5360596375513149</c:v>
                </c:pt>
                <c:pt idx="50">
                  <c:v>1.4903324554146884</c:v>
                </c:pt>
                <c:pt idx="51">
                  <c:v>1.446581713956461</c:v>
                </c:pt>
                <c:pt idx="52">
                  <c:v>1.4051745142564538</c:v>
                </c:pt>
                <c:pt idx="53">
                  <c:v>1.3662628198799427</c:v>
                </c:pt>
                <c:pt idx="54">
                  <c:v>1.329860503810347</c:v>
                </c:pt>
                <c:pt idx="55">
                  <c:v>1.2958967576600455</c:v>
                </c:pt>
                <c:pt idx="56">
                  <c:v>1.2642520414530216</c:v>
                </c:pt>
                <c:pt idx="57">
                  <c:v>1.2347816882910965</c:v>
                </c:pt>
                <c:pt idx="58">
                  <c:v>1.2073310266874606</c:v>
                </c:pt>
                <c:pt idx="59">
                  <c:v>1.1817447922027622</c:v>
                </c:pt>
                <c:pt idx="60">
                  <c:v>1.1578727557635651</c:v>
                </c:pt>
                <c:pt idx="61">
                  <c:v>1.1355728820271946</c:v>
                </c:pt>
                <c:pt idx="62">
                  <c:v>1.1147129003379874</c:v>
                </c:pt>
                <c:pt idx="63">
                  <c:v>1.0951708751382412</c:v>
                </c:pt>
                <c:pt idx="64">
                  <c:v>1.0768351626045636</c:v>
                </c:pt>
                <c:pt idx="65">
                  <c:v>1.0596040061373857</c:v>
                </c:pt>
                <c:pt idx="66">
                  <c:v>1.0433849339971508</c:v>
                </c:pt>
                <c:pt idx="67">
                  <c:v>1.0280940632015909</c:v>
                </c:pt>
                <c:pt idx="68">
                  <c:v>1.0136553747908899</c:v>
                </c:pt>
                <c:pt idx="69">
                  <c:v>1</c:v>
                </c:pt>
                <c:pt idx="70">
                  <c:v>0.92333211953700123</c:v>
                </c:pt>
                <c:pt idx="71">
                  <c:v>0.86696105834124759</c:v>
                </c:pt>
                <c:pt idx="72">
                  <c:v>0.82318248090522994</c:v>
                </c:pt>
                <c:pt idx="73">
                  <c:v>0.78763759103387965</c:v>
                </c:pt>
                <c:pt idx="74">
                  <c:v>0.75772129315258452</c:v>
                </c:pt>
                <c:pt idx="75">
                  <c:v>0.73180269010084442</c:v>
                </c:pt>
                <c:pt idx="76">
                  <c:v>0.70882081816335396</c:v>
                </c:pt>
                <c:pt idx="77">
                  <c:v>0.68806311613752202</c:v>
                </c:pt>
                <c:pt idx="78">
                  <c:v>0.66903798029635431</c:v>
                </c:pt>
                <c:pt idx="79">
                  <c:v>0.65139830863734394</c:v>
                </c:pt>
                <c:pt idx="80">
                  <c:v>0.63489396113171548</c:v>
                </c:pt>
                <c:pt idx="81">
                  <c:v>0.61934128252039466</c:v>
                </c:pt>
                <c:pt idx="82">
                  <c:v>0.60460304808045218</c:v>
                </c:pt>
              </c:numCache>
            </c:numRef>
          </c:yVal>
          <c:smooth val="1"/>
          <c:extLst>
            <c:ext xmlns:c16="http://schemas.microsoft.com/office/drawing/2014/chart" uri="{C3380CC4-5D6E-409C-BE32-E72D297353CC}">
              <c16:uniqueId val="{00000001-CE98-4990-A577-1B25E5B604B7}"/>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RTC!$C$49:$CG$49</c:f>
              <c:numCache>
                <c:formatCode>General</c:formatCode>
                <c:ptCount val="83"/>
                <c:pt idx="0">
                  <c:v>2.1818182439325691E-8</c:v>
                </c:pt>
                <c:pt idx="1">
                  <c:v>1.288386932838223E-3</c:v>
                </c:pt>
                <c:pt idx="2">
                  <c:v>3.294085024357045E-3</c:v>
                </c:pt>
                <c:pt idx="3">
                  <c:v>6.2406824378399874E-3</c:v>
                </c:pt>
                <c:pt idx="4">
                  <c:v>1.0149721903320651E-2</c:v>
                </c:pt>
                <c:pt idx="5">
                  <c:v>1.5050135523851146E-2</c:v>
                </c:pt>
                <c:pt idx="6">
                  <c:v>2.0978762930202923E-2</c:v>
                </c:pt>
                <c:pt idx="7">
                  <c:v>2.7981024024538607E-2</c:v>
                </c:pt>
                <c:pt idx="8">
                  <c:v>3.6111767932241016E-2</c:v>
                </c:pt>
                <c:pt idx="9">
                  <c:v>4.5436326096875805E-2</c:v>
                </c:pt>
                <c:pt idx="10">
                  <c:v>5.6031805097773321E-2</c:v>
                </c:pt>
                <c:pt idx="11">
                  <c:v>6.7988664131966317E-2</c:v>
                </c:pt>
                <c:pt idx="12">
                  <c:v>8.1412633661487821E-2</c:v>
                </c:pt>
                <c:pt idx="13">
                  <c:v>9.6427046070027292E-2</c:v>
                </c:pt>
                <c:pt idx="14">
                  <c:v>0.11317566700622338</c:v>
                </c:pt>
                <c:pt idx="15">
                  <c:v>0.13182613823889974</c:v>
                </c:pt>
                <c:pt idx="16">
                  <c:v>0.15257417021874703</c:v>
                </c:pt>
                <c:pt idx="17">
                  <c:v>0.17564865601082363</c:v>
                </c:pt>
                <c:pt idx="18">
                  <c:v>0.20131791842768321</c:v>
                </c:pt>
                <c:pt idx="19">
                  <c:v>0.22989734881129481</c:v>
                </c:pt>
                <c:pt idx="20">
                  <c:v>0.26175874677386279</c:v>
                </c:pt>
                <c:pt idx="21">
                  <c:v>0.29734171889440625</c:v>
                </c:pt>
                <c:pt idx="22">
                  <c:v>0.33716752587048926</c:v>
                </c:pt>
                <c:pt idx="23">
                  <c:v>0.38185574987982207</c:v>
                </c:pt>
                <c:pt idx="24">
                  <c:v>0.4321440215917321</c:v>
                </c:pt>
                <c:pt idx="25">
                  <c:v>0.48891067008148426</c:v>
                </c:pt>
                <c:pt idx="26">
                  <c:v>0.55319928820362751</c:v>
                </c:pt>
                <c:pt idx="27">
                  <c:v>0.62624236450510695</c:v>
                </c:pt>
                <c:pt idx="28">
                  <c:v>0.70947743818119835</c:v>
                </c:pt>
                <c:pt idx="29">
                  <c:v>0.80454211618310545</c:v>
                </c:pt>
                <c:pt idx="30">
                  <c:v>0.91322115987396457</c:v>
                </c:pt>
                <c:pt idx="31">
                  <c:v>1.0372960664446651</c:v>
                </c:pt>
                <c:pt idx="32">
                  <c:v>1.1782121374140366</c:v>
                </c:pt>
                <c:pt idx="33">
                  <c:v>1.3364349780829285</c:v>
                </c:pt>
                <c:pt idx="34">
                  <c:v>1.5103522672564342</c:v>
                </c:pt>
                <c:pt idx="35">
                  <c:v>1.6946933621753784</c:v>
                </c:pt>
                <c:pt idx="36">
                  <c:v>1.8788872930725196</c:v>
                </c:pt>
                <c:pt idx="37">
                  <c:v>2.0466553898913227</c:v>
                </c:pt>
                <c:pt idx="38">
                  <c:v>2.1787661726775815</c:v>
                </c:pt>
                <c:pt idx="39">
                  <c:v>2.2111254628172508</c:v>
                </c:pt>
                <c:pt idx="40">
                  <c:v>2.2733341619235317</c:v>
                </c:pt>
                <c:pt idx="41">
                  <c:v>2.2794758156576145</c:v>
                </c:pt>
                <c:pt idx="42">
                  <c:v>2.2390917769355321</c:v>
                </c:pt>
                <c:pt idx="43">
                  <c:v>2.1671764851446023</c:v>
                </c:pt>
                <c:pt idx="44">
                  <c:v>2.0782664827564985</c:v>
                </c:pt>
                <c:pt idx="45">
                  <c:v>1.9833491584035789</c:v>
                </c:pt>
                <c:pt idx="46">
                  <c:v>1.8894370266624958</c:v>
                </c:pt>
                <c:pt idx="47">
                  <c:v>1.8004036122547353</c:v>
                </c:pt>
                <c:pt idx="48">
                  <c:v>1.7180362951962087</c:v>
                </c:pt>
                <c:pt idx="49">
                  <c:v>1.6428800535467103</c:v>
                </c:pt>
                <c:pt idx="50">
                  <c:v>1.5748033751254678</c:v>
                </c:pt>
                <c:pt idx="51">
                  <c:v>1.5133428875947135</c:v>
                </c:pt>
                <c:pt idx="52">
                  <c:v>1.4579001918992971</c:v>
                </c:pt>
                <c:pt idx="53">
                  <c:v>1.4078482374057375</c:v>
                </c:pt>
                <c:pt idx="54">
                  <c:v>1.3625851213657625</c:v>
                </c:pt>
                <c:pt idx="55">
                  <c:v>1.3215584444011077</c:v>
                </c:pt>
                <c:pt idx="56">
                  <c:v>1.2842737446429706</c:v>
                </c:pt>
                <c:pt idx="57">
                  <c:v>1.2502946995621886</c:v>
                </c:pt>
                <c:pt idx="58">
                  <c:v>1.2192393728204127</c:v>
                </c:pt>
                <c:pt idx="59">
                  <c:v>1.1907748312749207</c:v>
                </c:pt>
                <c:pt idx="60">
                  <c:v>1.1646113567059417</c:v>
                </c:pt>
                <c:pt idx="61">
                  <c:v>1.140496864502047</c:v>
                </c:pt>
                <c:pt idx="62">
                  <c:v>1.1182118061628268</c:v>
                </c:pt>
                <c:pt idx="63">
                  <c:v>1.0975646529978911</c:v>
                </c:pt>
                <c:pt idx="64">
                  <c:v>1.0783879659759421</c:v>
                </c:pt>
                <c:pt idx="65">
                  <c:v>1.0605350123336386</c:v>
                </c:pt>
                <c:pt idx="66">
                  <c:v>1.0438768713069297</c:v>
                </c:pt>
                <c:pt idx="67">
                  <c:v>1.0282999668555644</c:v>
                </c:pt>
                <c:pt idx="68">
                  <c:v>1.0137039676399553</c:v>
                </c:pt>
                <c:pt idx="69">
                  <c:v>1</c:v>
                </c:pt>
                <c:pt idx="70">
                  <c:v>0.9248775837731108</c:v>
                </c:pt>
                <c:pt idx="71">
                  <c:v>0.87171013030791378</c:v>
                </c:pt>
                <c:pt idx="72">
                  <c:v>0.8317679840872253</c:v>
                </c:pt>
                <c:pt idx="73">
                  <c:v>0.80029976910742162</c:v>
                </c:pt>
                <c:pt idx="74">
                  <c:v>0.77452535688315916</c:v>
                </c:pt>
                <c:pt idx="75">
                  <c:v>0.75272386488392695</c:v>
                </c:pt>
                <c:pt idx="76">
                  <c:v>0.73378169196191756</c:v>
                </c:pt>
                <c:pt idx="77">
                  <c:v>0.71695212083513848</c:v>
                </c:pt>
                <c:pt idx="78">
                  <c:v>0.70171979637125559</c:v>
                </c:pt>
                <c:pt idx="79">
                  <c:v>0.68772053775691788</c:v>
                </c:pt>
                <c:pt idx="80">
                  <c:v>0.67469191662288797</c:v>
                </c:pt>
                <c:pt idx="81">
                  <c:v>0.6624417207487634</c:v>
                </c:pt>
                <c:pt idx="82">
                  <c:v>0.65082722151455918</c:v>
                </c:pt>
              </c:numCache>
            </c:numRef>
          </c:yVal>
          <c:smooth val="1"/>
          <c:extLst>
            <c:ext xmlns:c16="http://schemas.microsoft.com/office/drawing/2014/chart" uri="{C3380CC4-5D6E-409C-BE32-E72D297353CC}">
              <c16:uniqueId val="{00000002-CE98-4990-A577-1B25E5B604B7}"/>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RTC!$C$50:$CG$50</c:f>
              <c:numCache>
                <c:formatCode>General</c:formatCode>
                <c:ptCount val="83"/>
                <c:pt idx="0">
                  <c:v>2.1818182479920704E-8</c:v>
                </c:pt>
                <c:pt idx="1">
                  <c:v>1.2885285829841006E-3</c:v>
                </c:pt>
                <c:pt idx="2">
                  <c:v>3.2950119481721194E-3</c:v>
                </c:pt>
                <c:pt idx="3">
                  <c:v>6.2440144033623097E-3</c:v>
                </c:pt>
                <c:pt idx="4">
                  <c:v>1.0158553191859945E-2</c:v>
                </c:pt>
                <c:pt idx="5">
                  <c:v>1.5069602622699301E-2</c:v>
                </c:pt>
                <c:pt idx="6">
                  <c:v>2.1016704876682134E-2</c:v>
                </c:pt>
                <c:pt idx="7">
                  <c:v>2.8048768388947723E-2</c:v>
                </c:pt>
                <c:pt idx="8">
                  <c:v>3.6225083729408088E-2</c:v>
                </c:pt>
                <c:pt idx="9">
                  <c:v>4.5616596356075428E-2</c:v>
                </c:pt>
                <c:pt idx="10">
                  <c:v>5.6307487501055131E-2</c:v>
                </c:pt>
                <c:pt idx="11">
                  <c:v>6.83971296301875E-2</c:v>
                </c:pt>
                <c:pt idx="12">
                  <c:v>8.2002502564154742E-2</c:v>
                </c:pt>
                <c:pt idx="13">
                  <c:v>9.7261182059277002E-2</c:v>
                </c:pt>
                <c:pt idx="14">
                  <c:v>0.11433504662530793</c:v>
                </c:pt>
                <c:pt idx="15">
                  <c:v>0.13341489367348136</c:v>
                </c:pt>
                <c:pt idx="16">
                  <c:v>0.15472621704054584</c:v>
                </c:pt>
                <c:pt idx="17">
                  <c:v>0.17853648058534624</c:v>
                </c:pt>
                <c:pt idx="18">
                  <c:v>0.20516433548851423</c:v>
                </c:pt>
                <c:pt idx="19">
                  <c:v>0.23499138428974772</c:v>
                </c:pt>
                <c:pt idx="20">
                  <c:v>0.26847730985236462</c:v>
                </c:pt>
                <c:pt idx="21">
                  <c:v>0.30617948669159406</c:v>
                </c:pt>
                <c:pt idx="22">
                  <c:v>0.34877860915110864</c:v>
                </c:pt>
                <c:pt idx="23">
                  <c:v>0.39711245078414564</c:v>
                </c:pt>
                <c:pt idx="24">
                  <c:v>0.45222066752110879</c:v>
                </c:pt>
                <c:pt idx="25">
                  <c:v>0.51540462938092035</c:v>
                </c:pt>
                <c:pt idx="26">
                  <c:v>0.58830762840615813</c:v>
                </c:pt>
                <c:pt idx="27">
                  <c:v>0.67302232488870162</c:v>
                </c:pt>
                <c:pt idx="28">
                  <c:v>0.77223333712321429</c:v>
                </c:pt>
                <c:pt idx="29">
                  <c:v>0.88940146434470002</c:v>
                </c:pt>
                <c:pt idx="30">
                  <c:v>1.0289864824494521</c:v>
                </c:pt>
                <c:pt idx="31">
                  <c:v>1.1966724314094623</c:v>
                </c:pt>
                <c:pt idx="32">
                  <c:v>1.3994632574174968</c:v>
                </c:pt>
                <c:pt idx="33">
                  <c:v>1.6452628496952006</c:v>
                </c:pt>
                <c:pt idx="34">
                  <c:v>1.9409529095430136</c:v>
                </c:pt>
                <c:pt idx="35">
                  <c:v>2.286856711332343</c:v>
                </c:pt>
                <c:pt idx="36">
                  <c:v>2.664689739148864</c:v>
                </c:pt>
                <c:pt idx="37">
                  <c:v>3.0210297534050943</c:v>
                </c:pt>
                <c:pt idx="38">
                  <c:v>3.2681466330811526</c:v>
                </c:pt>
                <c:pt idx="39">
                  <c:v>3.3110252196145522</c:v>
                </c:pt>
                <c:pt idx="40">
                  <c:v>3.3156909367168934</c:v>
                </c:pt>
                <c:pt idx="41">
                  <c:v>3.165485129035889</c:v>
                </c:pt>
                <c:pt idx="42">
                  <c:v>2.9379147301897302</c:v>
                </c:pt>
                <c:pt idx="43">
                  <c:v>2.6956469422014004</c:v>
                </c:pt>
                <c:pt idx="44">
                  <c:v>2.4705166769883413</c:v>
                </c:pt>
                <c:pt idx="45">
                  <c:v>2.2731978578150067</c:v>
                </c:pt>
                <c:pt idx="46">
                  <c:v>2.1043137440172504</c:v>
                </c:pt>
                <c:pt idx="47">
                  <c:v>1.9607997258777867</c:v>
                </c:pt>
                <c:pt idx="48">
                  <c:v>1.8387414801727384</c:v>
                </c:pt>
                <c:pt idx="49">
                  <c:v>1.7344475901781762</c:v>
                </c:pt>
                <c:pt idx="50">
                  <c:v>1.6447671953798582</c:v>
                </c:pt>
                <c:pt idx="51">
                  <c:v>1.5671176092543677</c:v>
                </c:pt>
                <c:pt idx="52">
                  <c:v>1.4994159312519777</c:v>
                </c:pt>
                <c:pt idx="53">
                  <c:v>1.4399901776491046</c:v>
                </c:pt>
                <c:pt idx="54">
                  <c:v>1.3874966034904137</c:v>
                </c:pt>
                <c:pt idx="55">
                  <c:v>1.3408506390314692</c:v>
                </c:pt>
                <c:pt idx="56">
                  <c:v>1.2991717638123261</c:v>
                </c:pt>
                <c:pt idx="57">
                  <c:v>1.2617403838170929</c:v>
                </c:pt>
                <c:pt idx="58">
                  <c:v>1.2279643637936826</c:v>
                </c:pt>
                <c:pt idx="59">
                  <c:v>1.1973530893088902</c:v>
                </c:pt>
                <c:pt idx="60">
                  <c:v>1.1694973196907215</c:v>
                </c:pt>
                <c:pt idx="61">
                  <c:v>1.1440534718277999</c:v>
                </c:pt>
                <c:pt idx="62">
                  <c:v>1.1207312935183062</c:v>
                </c:pt>
                <c:pt idx="63">
                  <c:v>1.0992841366401696</c:v>
                </c:pt>
                <c:pt idx="64">
                  <c:v>1.0795012330280616</c:v>
                </c:pt>
                <c:pt idx="65">
                  <c:v>1.0612015212514392</c:v>
                </c:pt>
                <c:pt idx="66">
                  <c:v>1.0442286814174895</c:v>
                </c:pt>
                <c:pt idx="67">
                  <c:v>1.028447116660097</c:v>
                </c:pt>
                <c:pt idx="68">
                  <c:v>1.0137386810967635</c:v>
                </c:pt>
                <c:pt idx="69">
                  <c:v>1</c:v>
                </c:pt>
                <c:pt idx="70">
                  <c:v>0.9259862501827153</c:v>
                </c:pt>
                <c:pt idx="71">
                  <c:v>0.87515050886117685</c:v>
                </c:pt>
                <c:pt idx="72">
                  <c:v>0.83806761170528898</c:v>
                </c:pt>
                <c:pt idx="73">
                  <c:v>0.80972746125639039</c:v>
                </c:pt>
                <c:pt idx="74">
                  <c:v>0.78723671009002483</c:v>
                </c:pt>
                <c:pt idx="75">
                  <c:v>0.76881622259455229</c:v>
                </c:pt>
                <c:pt idx="76">
                  <c:v>0.75331704608022088</c:v>
                </c:pt>
                <c:pt idx="77">
                  <c:v>0.73996753261833481</c:v>
                </c:pt>
                <c:pt idx="78">
                  <c:v>0.72823262046716475</c:v>
                </c:pt>
                <c:pt idx="79">
                  <c:v>0.71773138144407611</c:v>
                </c:pt>
                <c:pt idx="80">
                  <c:v>0.70818658508753285</c:v>
                </c:pt>
                <c:pt idx="81">
                  <c:v>0.69939270288926503</c:v>
                </c:pt>
                <c:pt idx="82">
                  <c:v>0.69119496620994025</c:v>
                </c:pt>
              </c:numCache>
            </c:numRef>
          </c:yVal>
          <c:smooth val="1"/>
          <c:extLst>
            <c:ext xmlns:c16="http://schemas.microsoft.com/office/drawing/2014/chart" uri="{C3380CC4-5D6E-409C-BE32-E72D297353CC}">
              <c16:uniqueId val="{00000003-CE98-4990-A577-1B25E5B604B7}"/>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RTC!$C$53:$CG$53</c:f>
              <c:numCache>
                <c:formatCode>General</c:formatCode>
                <c:ptCount val="83"/>
                <c:pt idx="0">
                  <c:v>1.5209591836734695</c:v>
                </c:pt>
                <c:pt idx="1">
                  <c:v>1.5209591836734695</c:v>
                </c:pt>
                <c:pt idx="2">
                  <c:v>1.5209591836734695</c:v>
                </c:pt>
                <c:pt idx="3">
                  <c:v>1.5209591836734695</c:v>
                </c:pt>
                <c:pt idx="4">
                  <c:v>1.5209591836734695</c:v>
                </c:pt>
                <c:pt idx="5">
                  <c:v>1.5209591836734695</c:v>
                </c:pt>
                <c:pt idx="6">
                  <c:v>1.5209591836734695</c:v>
                </c:pt>
                <c:pt idx="7">
                  <c:v>1.5209591836734695</c:v>
                </c:pt>
                <c:pt idx="8">
                  <c:v>1.5209591836734695</c:v>
                </c:pt>
                <c:pt idx="9">
                  <c:v>1.5209591836734695</c:v>
                </c:pt>
                <c:pt idx="10">
                  <c:v>1.5209591836734695</c:v>
                </c:pt>
                <c:pt idx="11">
                  <c:v>1.5209591836734695</c:v>
                </c:pt>
                <c:pt idx="12">
                  <c:v>1.5209591836734695</c:v>
                </c:pt>
                <c:pt idx="13">
                  <c:v>1.5209591836734695</c:v>
                </c:pt>
                <c:pt idx="14">
                  <c:v>1.5209591836734695</c:v>
                </c:pt>
                <c:pt idx="15">
                  <c:v>1.5209591836734695</c:v>
                </c:pt>
                <c:pt idx="16">
                  <c:v>1.5209591836734695</c:v>
                </c:pt>
                <c:pt idx="17">
                  <c:v>1.5209591836734695</c:v>
                </c:pt>
                <c:pt idx="18">
                  <c:v>1.5209591836734695</c:v>
                </c:pt>
                <c:pt idx="19">
                  <c:v>1.5209591836734695</c:v>
                </c:pt>
                <c:pt idx="20">
                  <c:v>1.5209591836734695</c:v>
                </c:pt>
                <c:pt idx="21">
                  <c:v>1.5209591836734695</c:v>
                </c:pt>
                <c:pt idx="22">
                  <c:v>1.5209591836734695</c:v>
                </c:pt>
                <c:pt idx="23">
                  <c:v>1.5209591836734695</c:v>
                </c:pt>
                <c:pt idx="24">
                  <c:v>1.5209591836734695</c:v>
                </c:pt>
                <c:pt idx="25">
                  <c:v>1.5209591836734695</c:v>
                </c:pt>
                <c:pt idx="26">
                  <c:v>1.5209591836734695</c:v>
                </c:pt>
                <c:pt idx="27">
                  <c:v>1.5209591836734695</c:v>
                </c:pt>
                <c:pt idx="28">
                  <c:v>1.5209591836734695</c:v>
                </c:pt>
                <c:pt idx="29">
                  <c:v>1.5209591836734695</c:v>
                </c:pt>
                <c:pt idx="30">
                  <c:v>1.5209591836734695</c:v>
                </c:pt>
                <c:pt idx="31">
                  <c:v>1.5209591836734695</c:v>
                </c:pt>
                <c:pt idx="32">
                  <c:v>1.5209591836734695</c:v>
                </c:pt>
                <c:pt idx="33">
                  <c:v>1.5209591836734695</c:v>
                </c:pt>
                <c:pt idx="34">
                  <c:v>1.5209591836734695</c:v>
                </c:pt>
                <c:pt idx="35">
                  <c:v>1.5209591836734695</c:v>
                </c:pt>
                <c:pt idx="36">
                  <c:v>1.5209591836734695</c:v>
                </c:pt>
                <c:pt idx="37">
                  <c:v>1.5209591836734695</c:v>
                </c:pt>
                <c:pt idx="38">
                  <c:v>1.5209591836734695</c:v>
                </c:pt>
                <c:pt idx="39">
                  <c:v>1.5209591836734695</c:v>
                </c:pt>
                <c:pt idx="40">
                  <c:v>1.5209591836734695</c:v>
                </c:pt>
                <c:pt idx="41">
                  <c:v>1.5209591836734695</c:v>
                </c:pt>
                <c:pt idx="42">
                  <c:v>1.5209591836734695</c:v>
                </c:pt>
                <c:pt idx="43">
                  <c:v>1.5209591836734695</c:v>
                </c:pt>
                <c:pt idx="44">
                  <c:v>1.5209591836734695</c:v>
                </c:pt>
                <c:pt idx="45">
                  <c:v>1.5209591836734695</c:v>
                </c:pt>
                <c:pt idx="46">
                  <c:v>1.5209591836734695</c:v>
                </c:pt>
                <c:pt idx="47">
                  <c:v>1.5209591836734695</c:v>
                </c:pt>
                <c:pt idx="48">
                  <c:v>1.5209591836734695</c:v>
                </c:pt>
                <c:pt idx="49">
                  <c:v>1.5209591836734695</c:v>
                </c:pt>
                <c:pt idx="50">
                  <c:v>1.5209591836734695</c:v>
                </c:pt>
                <c:pt idx="51">
                  <c:v>1.5209591836734695</c:v>
                </c:pt>
                <c:pt idx="52">
                  <c:v>1.5209591836734695</c:v>
                </c:pt>
                <c:pt idx="53">
                  <c:v>1.5209591836734695</c:v>
                </c:pt>
                <c:pt idx="54">
                  <c:v>1.5209591836734695</c:v>
                </c:pt>
                <c:pt idx="55">
                  <c:v>1.5209591836734695</c:v>
                </c:pt>
                <c:pt idx="56">
                  <c:v>1.5209591836734695</c:v>
                </c:pt>
                <c:pt idx="57">
                  <c:v>1.5209591836734695</c:v>
                </c:pt>
                <c:pt idx="58">
                  <c:v>1.5209591836734695</c:v>
                </c:pt>
                <c:pt idx="59">
                  <c:v>1.5209591836734695</c:v>
                </c:pt>
                <c:pt idx="60">
                  <c:v>1.5209591836734695</c:v>
                </c:pt>
                <c:pt idx="61">
                  <c:v>1.5209591836734695</c:v>
                </c:pt>
                <c:pt idx="62">
                  <c:v>1.5209591836734695</c:v>
                </c:pt>
                <c:pt idx="63">
                  <c:v>1.5209591836734695</c:v>
                </c:pt>
                <c:pt idx="64">
                  <c:v>1.5209591836734695</c:v>
                </c:pt>
                <c:pt idx="65">
                  <c:v>1.5209591836734695</c:v>
                </c:pt>
                <c:pt idx="66">
                  <c:v>1.5209591836734695</c:v>
                </c:pt>
                <c:pt idx="67">
                  <c:v>1.5209591836734695</c:v>
                </c:pt>
                <c:pt idx="68">
                  <c:v>1.5209591836734695</c:v>
                </c:pt>
                <c:pt idx="69">
                  <c:v>1.5209591836734695</c:v>
                </c:pt>
                <c:pt idx="70">
                  <c:v>1.5209591836734695</c:v>
                </c:pt>
                <c:pt idx="71">
                  <c:v>1.5209591836734695</c:v>
                </c:pt>
                <c:pt idx="72">
                  <c:v>1.5209591836734695</c:v>
                </c:pt>
                <c:pt idx="73">
                  <c:v>1.5209591836734695</c:v>
                </c:pt>
                <c:pt idx="74">
                  <c:v>1.5209591836734695</c:v>
                </c:pt>
                <c:pt idx="75">
                  <c:v>1.5209591836734695</c:v>
                </c:pt>
                <c:pt idx="76">
                  <c:v>1.5209591836734695</c:v>
                </c:pt>
                <c:pt idx="77">
                  <c:v>1.5209591836734695</c:v>
                </c:pt>
                <c:pt idx="78">
                  <c:v>1.5209591836734695</c:v>
                </c:pt>
                <c:pt idx="79">
                  <c:v>1.5209591836734695</c:v>
                </c:pt>
                <c:pt idx="80">
                  <c:v>1.5209591836734695</c:v>
                </c:pt>
                <c:pt idx="81">
                  <c:v>1.5209591836734695</c:v>
                </c:pt>
                <c:pt idx="82">
                  <c:v>1.5209591836734695</c:v>
                </c:pt>
              </c:numCache>
            </c:numRef>
          </c:yVal>
          <c:smooth val="1"/>
          <c:extLst>
            <c:ext xmlns:c16="http://schemas.microsoft.com/office/drawing/2014/chart" uri="{C3380CC4-5D6E-409C-BE32-E72D297353CC}">
              <c16:uniqueId val="{00000004-CE98-4990-A577-1B25E5B604B7}"/>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RTC!$C$55:$CG$55</c:f>
              <c:numCache>
                <c:formatCode>General</c:formatCode>
                <c:ptCount val="83"/>
                <c:pt idx="0">
                  <c:v>1.7562523882406222</c:v>
                </c:pt>
                <c:pt idx="1">
                  <c:v>1.7562523882406222</c:v>
                </c:pt>
                <c:pt idx="2">
                  <c:v>1.7562523882406222</c:v>
                </c:pt>
                <c:pt idx="3">
                  <c:v>1.7562523882406222</c:v>
                </c:pt>
                <c:pt idx="4">
                  <c:v>1.7562523882406222</c:v>
                </c:pt>
                <c:pt idx="5">
                  <c:v>1.7562523882406222</c:v>
                </c:pt>
                <c:pt idx="6">
                  <c:v>1.7562523882406222</c:v>
                </c:pt>
                <c:pt idx="7">
                  <c:v>1.7562523882406222</c:v>
                </c:pt>
                <c:pt idx="8">
                  <c:v>1.7562523882406222</c:v>
                </c:pt>
                <c:pt idx="9">
                  <c:v>1.7562523882406222</c:v>
                </c:pt>
                <c:pt idx="10">
                  <c:v>1.7562523882406222</c:v>
                </c:pt>
                <c:pt idx="11">
                  <c:v>1.7562523882406222</c:v>
                </c:pt>
                <c:pt idx="12">
                  <c:v>1.7562523882406222</c:v>
                </c:pt>
                <c:pt idx="13">
                  <c:v>1.7562523882406222</c:v>
                </c:pt>
                <c:pt idx="14">
                  <c:v>1.7562523882406222</c:v>
                </c:pt>
                <c:pt idx="15">
                  <c:v>1.7562523882406222</c:v>
                </c:pt>
                <c:pt idx="16">
                  <c:v>1.7562523882406222</c:v>
                </c:pt>
                <c:pt idx="17">
                  <c:v>1.7562523882406222</c:v>
                </c:pt>
                <c:pt idx="18">
                  <c:v>1.7562523882406222</c:v>
                </c:pt>
                <c:pt idx="19">
                  <c:v>1.7562523882406222</c:v>
                </c:pt>
                <c:pt idx="20">
                  <c:v>1.7562523882406222</c:v>
                </c:pt>
                <c:pt idx="21">
                  <c:v>1.7562523882406222</c:v>
                </c:pt>
                <c:pt idx="22">
                  <c:v>1.7562523882406222</c:v>
                </c:pt>
                <c:pt idx="23">
                  <c:v>1.7562523882406222</c:v>
                </c:pt>
                <c:pt idx="24">
                  <c:v>1.7562523882406222</c:v>
                </c:pt>
                <c:pt idx="25">
                  <c:v>1.7562523882406222</c:v>
                </c:pt>
                <c:pt idx="26">
                  <c:v>1.7562523882406222</c:v>
                </c:pt>
                <c:pt idx="27">
                  <c:v>1.7562523882406222</c:v>
                </c:pt>
                <c:pt idx="28">
                  <c:v>1.7562523882406222</c:v>
                </c:pt>
                <c:pt idx="29">
                  <c:v>1.7562523882406222</c:v>
                </c:pt>
                <c:pt idx="30">
                  <c:v>1.7562523882406222</c:v>
                </c:pt>
                <c:pt idx="31">
                  <c:v>1.7562523882406222</c:v>
                </c:pt>
                <c:pt idx="32">
                  <c:v>1.7562523882406222</c:v>
                </c:pt>
                <c:pt idx="33">
                  <c:v>1.7562523882406222</c:v>
                </c:pt>
                <c:pt idx="34">
                  <c:v>1.7562523882406222</c:v>
                </c:pt>
                <c:pt idx="35">
                  <c:v>1.7562523882406222</c:v>
                </c:pt>
                <c:pt idx="36">
                  <c:v>1.7562523882406222</c:v>
                </c:pt>
                <c:pt idx="37">
                  <c:v>1.7562523882406222</c:v>
                </c:pt>
                <c:pt idx="38">
                  <c:v>1.7562523882406222</c:v>
                </c:pt>
                <c:pt idx="39">
                  <c:v>1.7562523882406222</c:v>
                </c:pt>
                <c:pt idx="40">
                  <c:v>1.7562523882406222</c:v>
                </c:pt>
                <c:pt idx="41">
                  <c:v>1.7562523882406222</c:v>
                </c:pt>
                <c:pt idx="42">
                  <c:v>1.7562523882406222</c:v>
                </c:pt>
                <c:pt idx="43">
                  <c:v>1.7562523882406222</c:v>
                </c:pt>
                <c:pt idx="44">
                  <c:v>1.7562523882406222</c:v>
                </c:pt>
                <c:pt idx="45">
                  <c:v>1.7562523882406222</c:v>
                </c:pt>
                <c:pt idx="46">
                  <c:v>1.7562523882406222</c:v>
                </c:pt>
                <c:pt idx="47">
                  <c:v>1.7562523882406222</c:v>
                </c:pt>
                <c:pt idx="48">
                  <c:v>1.7562523882406222</c:v>
                </c:pt>
                <c:pt idx="49">
                  <c:v>1.7562523882406222</c:v>
                </c:pt>
                <c:pt idx="50">
                  <c:v>1.7562523882406222</c:v>
                </c:pt>
                <c:pt idx="51">
                  <c:v>1.7562523882406222</c:v>
                </c:pt>
                <c:pt idx="52">
                  <c:v>1.7562523882406222</c:v>
                </c:pt>
                <c:pt idx="53">
                  <c:v>1.7562523882406222</c:v>
                </c:pt>
                <c:pt idx="54">
                  <c:v>1.7562523882406222</c:v>
                </c:pt>
                <c:pt idx="55">
                  <c:v>1.7562523882406222</c:v>
                </c:pt>
                <c:pt idx="56">
                  <c:v>1.7562523882406222</c:v>
                </c:pt>
                <c:pt idx="57">
                  <c:v>1.7562523882406222</c:v>
                </c:pt>
                <c:pt idx="58">
                  <c:v>1.7562523882406222</c:v>
                </c:pt>
                <c:pt idx="59">
                  <c:v>1.7562523882406222</c:v>
                </c:pt>
                <c:pt idx="60">
                  <c:v>1.7562523882406222</c:v>
                </c:pt>
                <c:pt idx="61">
                  <c:v>1.7562523882406222</c:v>
                </c:pt>
                <c:pt idx="62">
                  <c:v>1.7562523882406222</c:v>
                </c:pt>
                <c:pt idx="63">
                  <c:v>1.7562523882406222</c:v>
                </c:pt>
                <c:pt idx="64">
                  <c:v>1.7562523882406222</c:v>
                </c:pt>
                <c:pt idx="65">
                  <c:v>1.7562523882406222</c:v>
                </c:pt>
                <c:pt idx="66">
                  <c:v>1.7562523882406222</c:v>
                </c:pt>
                <c:pt idx="67">
                  <c:v>1.7562523882406222</c:v>
                </c:pt>
                <c:pt idx="68">
                  <c:v>1.7562523882406222</c:v>
                </c:pt>
                <c:pt idx="69">
                  <c:v>1.7562523882406222</c:v>
                </c:pt>
                <c:pt idx="70">
                  <c:v>1.7562523882406222</c:v>
                </c:pt>
                <c:pt idx="71">
                  <c:v>1.7562523882406222</c:v>
                </c:pt>
                <c:pt idx="72">
                  <c:v>1.7562523882406222</c:v>
                </c:pt>
                <c:pt idx="73">
                  <c:v>1.7562523882406222</c:v>
                </c:pt>
                <c:pt idx="74">
                  <c:v>1.7562523882406222</c:v>
                </c:pt>
                <c:pt idx="75">
                  <c:v>1.7562523882406222</c:v>
                </c:pt>
                <c:pt idx="76">
                  <c:v>1.7562523882406222</c:v>
                </c:pt>
                <c:pt idx="77">
                  <c:v>1.7562523882406222</c:v>
                </c:pt>
                <c:pt idx="78">
                  <c:v>1.7562523882406222</c:v>
                </c:pt>
                <c:pt idx="79">
                  <c:v>1.7562523882406222</c:v>
                </c:pt>
                <c:pt idx="80">
                  <c:v>1.7562523882406222</c:v>
                </c:pt>
                <c:pt idx="81">
                  <c:v>1.7562523882406222</c:v>
                </c:pt>
                <c:pt idx="82">
                  <c:v>1.7562523882406222</c:v>
                </c:pt>
              </c:numCache>
            </c:numRef>
          </c:yVal>
          <c:smooth val="1"/>
          <c:extLst>
            <c:ext xmlns:c16="http://schemas.microsoft.com/office/drawing/2014/chart" uri="{C3380CC4-5D6E-409C-BE32-E72D297353CC}">
              <c16:uniqueId val="{00000005-CE98-4990-A577-1B25E5B604B7}"/>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RTC!$C$56:$CG$56</c:f>
              <c:numCache>
                <c:formatCode>General</c:formatCode>
                <c:ptCount val="83"/>
                <c:pt idx="0">
                  <c:v>2.1509611053669317</c:v>
                </c:pt>
                <c:pt idx="1">
                  <c:v>2.1509611053669317</c:v>
                </c:pt>
                <c:pt idx="2">
                  <c:v>2.1509611053669317</c:v>
                </c:pt>
                <c:pt idx="3">
                  <c:v>2.1509611053669317</c:v>
                </c:pt>
                <c:pt idx="4">
                  <c:v>2.1509611053669317</c:v>
                </c:pt>
                <c:pt idx="5">
                  <c:v>2.1509611053669317</c:v>
                </c:pt>
                <c:pt idx="6">
                  <c:v>2.1509611053669317</c:v>
                </c:pt>
                <c:pt idx="7">
                  <c:v>2.1509611053669317</c:v>
                </c:pt>
                <c:pt idx="8">
                  <c:v>2.1509611053669317</c:v>
                </c:pt>
                <c:pt idx="9">
                  <c:v>2.1509611053669317</c:v>
                </c:pt>
                <c:pt idx="10">
                  <c:v>2.1509611053669317</c:v>
                </c:pt>
                <c:pt idx="11">
                  <c:v>2.1509611053669317</c:v>
                </c:pt>
                <c:pt idx="12">
                  <c:v>2.1509611053669317</c:v>
                </c:pt>
                <c:pt idx="13">
                  <c:v>2.1509611053669317</c:v>
                </c:pt>
                <c:pt idx="14">
                  <c:v>2.1509611053669317</c:v>
                </c:pt>
                <c:pt idx="15">
                  <c:v>2.1509611053669317</c:v>
                </c:pt>
                <c:pt idx="16">
                  <c:v>2.1509611053669317</c:v>
                </c:pt>
                <c:pt idx="17">
                  <c:v>2.1509611053669317</c:v>
                </c:pt>
                <c:pt idx="18">
                  <c:v>2.1509611053669317</c:v>
                </c:pt>
                <c:pt idx="19">
                  <c:v>2.1509611053669317</c:v>
                </c:pt>
                <c:pt idx="20">
                  <c:v>2.1509611053669317</c:v>
                </c:pt>
                <c:pt idx="21">
                  <c:v>2.1509611053669317</c:v>
                </c:pt>
                <c:pt idx="22">
                  <c:v>2.1509611053669317</c:v>
                </c:pt>
                <c:pt idx="23">
                  <c:v>2.1509611053669317</c:v>
                </c:pt>
                <c:pt idx="24">
                  <c:v>2.1509611053669317</c:v>
                </c:pt>
                <c:pt idx="25">
                  <c:v>2.1509611053669317</c:v>
                </c:pt>
                <c:pt idx="26">
                  <c:v>2.1509611053669317</c:v>
                </c:pt>
                <c:pt idx="27">
                  <c:v>2.1509611053669317</c:v>
                </c:pt>
                <c:pt idx="28">
                  <c:v>2.1509611053669317</c:v>
                </c:pt>
                <c:pt idx="29">
                  <c:v>2.1509611053669317</c:v>
                </c:pt>
                <c:pt idx="30">
                  <c:v>2.1509611053669317</c:v>
                </c:pt>
                <c:pt idx="31">
                  <c:v>2.1509611053669317</c:v>
                </c:pt>
                <c:pt idx="32">
                  <c:v>2.1509611053669317</c:v>
                </c:pt>
                <c:pt idx="33">
                  <c:v>2.1509611053669317</c:v>
                </c:pt>
                <c:pt idx="34">
                  <c:v>2.1509611053669317</c:v>
                </c:pt>
                <c:pt idx="35">
                  <c:v>2.1509611053669317</c:v>
                </c:pt>
                <c:pt idx="36">
                  <c:v>2.1509611053669317</c:v>
                </c:pt>
                <c:pt idx="37">
                  <c:v>2.1509611053669317</c:v>
                </c:pt>
                <c:pt idx="38">
                  <c:v>2.1509611053669317</c:v>
                </c:pt>
                <c:pt idx="39">
                  <c:v>2.1509611053669317</c:v>
                </c:pt>
                <c:pt idx="40">
                  <c:v>2.1509611053669317</c:v>
                </c:pt>
                <c:pt idx="41">
                  <c:v>2.1509611053669317</c:v>
                </c:pt>
                <c:pt idx="42">
                  <c:v>2.1509611053669317</c:v>
                </c:pt>
                <c:pt idx="43">
                  <c:v>2.1509611053669317</c:v>
                </c:pt>
                <c:pt idx="44">
                  <c:v>2.1509611053669317</c:v>
                </c:pt>
                <c:pt idx="45">
                  <c:v>2.1509611053669317</c:v>
                </c:pt>
                <c:pt idx="46">
                  <c:v>2.1509611053669317</c:v>
                </c:pt>
                <c:pt idx="47">
                  <c:v>2.1509611053669317</c:v>
                </c:pt>
                <c:pt idx="48">
                  <c:v>2.1509611053669317</c:v>
                </c:pt>
                <c:pt idx="49">
                  <c:v>2.1509611053669317</c:v>
                </c:pt>
                <c:pt idx="50">
                  <c:v>2.1509611053669317</c:v>
                </c:pt>
                <c:pt idx="51">
                  <c:v>2.1509611053669317</c:v>
                </c:pt>
                <c:pt idx="52">
                  <c:v>2.1509611053669317</c:v>
                </c:pt>
                <c:pt idx="53">
                  <c:v>2.1509611053669317</c:v>
                </c:pt>
                <c:pt idx="54">
                  <c:v>2.1509611053669317</c:v>
                </c:pt>
                <c:pt idx="55">
                  <c:v>2.1509611053669317</c:v>
                </c:pt>
                <c:pt idx="56">
                  <c:v>2.1509611053669317</c:v>
                </c:pt>
                <c:pt idx="57">
                  <c:v>2.1509611053669317</c:v>
                </c:pt>
                <c:pt idx="58">
                  <c:v>2.1509611053669317</c:v>
                </c:pt>
                <c:pt idx="59">
                  <c:v>2.1509611053669317</c:v>
                </c:pt>
                <c:pt idx="60">
                  <c:v>2.1509611053669317</c:v>
                </c:pt>
                <c:pt idx="61">
                  <c:v>2.1509611053669317</c:v>
                </c:pt>
                <c:pt idx="62">
                  <c:v>2.1509611053669317</c:v>
                </c:pt>
                <c:pt idx="63">
                  <c:v>2.1509611053669317</c:v>
                </c:pt>
                <c:pt idx="64">
                  <c:v>2.1509611053669317</c:v>
                </c:pt>
                <c:pt idx="65">
                  <c:v>2.1509611053669317</c:v>
                </c:pt>
                <c:pt idx="66">
                  <c:v>2.1509611053669317</c:v>
                </c:pt>
                <c:pt idx="67">
                  <c:v>2.1509611053669317</c:v>
                </c:pt>
                <c:pt idx="68">
                  <c:v>2.1509611053669317</c:v>
                </c:pt>
                <c:pt idx="69">
                  <c:v>2.1509611053669317</c:v>
                </c:pt>
                <c:pt idx="70">
                  <c:v>2.1509611053669317</c:v>
                </c:pt>
                <c:pt idx="71">
                  <c:v>2.1509611053669317</c:v>
                </c:pt>
                <c:pt idx="72">
                  <c:v>2.1509611053669317</c:v>
                </c:pt>
                <c:pt idx="73">
                  <c:v>2.1509611053669317</c:v>
                </c:pt>
                <c:pt idx="74">
                  <c:v>2.1509611053669317</c:v>
                </c:pt>
                <c:pt idx="75">
                  <c:v>2.1509611053669317</c:v>
                </c:pt>
                <c:pt idx="76">
                  <c:v>2.1509611053669317</c:v>
                </c:pt>
                <c:pt idx="77">
                  <c:v>2.1509611053669317</c:v>
                </c:pt>
                <c:pt idx="78">
                  <c:v>2.1509611053669317</c:v>
                </c:pt>
                <c:pt idx="79">
                  <c:v>2.1509611053669317</c:v>
                </c:pt>
                <c:pt idx="80">
                  <c:v>2.1509611053669317</c:v>
                </c:pt>
                <c:pt idx="81">
                  <c:v>2.1509611053669317</c:v>
                </c:pt>
                <c:pt idx="82">
                  <c:v>2.1509611053669317</c:v>
                </c:pt>
              </c:numCache>
            </c:numRef>
          </c:yVal>
          <c:smooth val="1"/>
          <c:extLst>
            <c:ext xmlns:c16="http://schemas.microsoft.com/office/drawing/2014/chart" uri="{C3380CC4-5D6E-409C-BE32-E72D297353CC}">
              <c16:uniqueId val="{00000006-CE98-4990-A577-1B25E5B604B7}"/>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1921.5837087114464</c:v>
                </c:pt>
                <c:pt idx="39">
                  <c:v>6.499999999999007</c:v>
                </c:pt>
                <c:pt idx="40">
                  <c:v>3.2529106029008803</c:v>
                </c:pt>
                <c:pt idx="41">
                  <c:v>2.4982667258847973</c:v>
                </c:pt>
                <c:pt idx="42">
                  <c:v>2.1257309304031207</c:v>
                </c:pt>
                <c:pt idx="43">
                  <c:v>1.8960339956097945</c:v>
                </c:pt>
                <c:pt idx="44">
                  <c:v>1.7376131616797115</c:v>
                </c:pt>
                <c:pt idx="45">
                  <c:v>1.6206354136476369</c:v>
                </c:pt>
                <c:pt idx="46">
                  <c:v>1.5301841113520063</c:v>
                </c:pt>
                <c:pt idx="47">
                  <c:v>1.4578754741100259</c:v>
                </c:pt>
                <c:pt idx="48">
                  <c:v>1.3985939180008431</c:v>
                </c:pt>
                <c:pt idx="49">
                  <c:v>1.3490213172523273</c:v>
                </c:pt>
                <c:pt idx="50">
                  <c:v>1.3069011244615849</c:v>
                </c:pt>
                <c:pt idx="51">
                  <c:v>1.2706396576782892</c:v>
                </c:pt>
                <c:pt idx="52">
                  <c:v>1.2390760932765092</c:v>
                </c:pt>
                <c:pt idx="53">
                  <c:v>1.2113428740117067</c:v>
                </c:pt>
                <c:pt idx="54">
                  <c:v>1.1867773590313537</c:v>
                </c:pt>
                <c:pt idx="55">
                  <c:v>1.1648638953701158</c:v>
                </c:pt>
                <c:pt idx="56">
                  <c:v>1.1451946731274369</c:v>
                </c:pt>
                <c:pt idx="57">
                  <c:v>1.1274425752841599</c:v>
                </c:pt>
                <c:pt idx="58">
                  <c:v>1.1113419135083229</c:v>
                </c:pt>
                <c:pt idx="59">
                  <c:v>1.0966744827478272</c:v>
                </c:pt>
                <c:pt idx="60">
                  <c:v>1.0832592849365161</c:v>
                </c:pt>
                <c:pt idx="61">
                  <c:v>1.0709448350980926</c:v>
                </c:pt>
                <c:pt idx="62">
                  <c:v>1.0596033179556184</c:v>
                </c:pt>
                <c:pt idx="63">
                  <c:v>1.0491260922331147</c:v>
                </c:pt>
                <c:pt idx="64">
                  <c:v>1.0394201909627108</c:v>
                </c:pt>
                <c:pt idx="65">
                  <c:v>1.0304055677788071</c:v>
                </c:pt>
                <c:pt idx="66">
                  <c:v>1.022012908801389</c:v>
                </c:pt>
                <c:pt idx="67">
                  <c:v>1.0141818781648655</c:v>
                </c:pt>
                <c:pt idx="68">
                  <c:v>1.0068596994765564</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CE98-4990-A577-1B25E5B604B7}"/>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RTC!$C$31:$CG$31</c:f>
              <c:numCache>
                <c:formatCode>General</c:formatCode>
                <c:ptCount val="83"/>
                <c:pt idx="0">
                  <c:v>0.68571428571428572</c:v>
                </c:pt>
                <c:pt idx="1">
                  <c:v>0.68571428571428572</c:v>
                </c:pt>
                <c:pt idx="2">
                  <c:v>0.68571428571428572</c:v>
                </c:pt>
                <c:pt idx="3">
                  <c:v>0.68571428571428572</c:v>
                </c:pt>
                <c:pt idx="4">
                  <c:v>0.68571428571428572</c:v>
                </c:pt>
                <c:pt idx="5">
                  <c:v>0.68571428571428572</c:v>
                </c:pt>
                <c:pt idx="6">
                  <c:v>0.68571428571428572</c:v>
                </c:pt>
                <c:pt idx="7">
                  <c:v>0.68571428571428572</c:v>
                </c:pt>
                <c:pt idx="8">
                  <c:v>0.68571428571428572</c:v>
                </c:pt>
                <c:pt idx="9">
                  <c:v>0.68571428571428572</c:v>
                </c:pt>
                <c:pt idx="10">
                  <c:v>0.68571428571428572</c:v>
                </c:pt>
                <c:pt idx="11">
                  <c:v>0.68571428571428572</c:v>
                </c:pt>
                <c:pt idx="12">
                  <c:v>0.68571428571428572</c:v>
                </c:pt>
                <c:pt idx="13">
                  <c:v>0.68571428571428572</c:v>
                </c:pt>
                <c:pt idx="14">
                  <c:v>0.68571428571428572</c:v>
                </c:pt>
                <c:pt idx="15">
                  <c:v>0.68571428571428572</c:v>
                </c:pt>
                <c:pt idx="16">
                  <c:v>0.68571428571428572</c:v>
                </c:pt>
                <c:pt idx="17">
                  <c:v>0.68571428571428572</c:v>
                </c:pt>
                <c:pt idx="18">
                  <c:v>0.68571428571428572</c:v>
                </c:pt>
                <c:pt idx="19">
                  <c:v>0.68571428571428572</c:v>
                </c:pt>
                <c:pt idx="20">
                  <c:v>0.68571428571428572</c:v>
                </c:pt>
                <c:pt idx="21">
                  <c:v>0.68571428571428572</c:v>
                </c:pt>
                <c:pt idx="22">
                  <c:v>0.68571428571428572</c:v>
                </c:pt>
                <c:pt idx="23">
                  <c:v>0.68571428571428572</c:v>
                </c:pt>
                <c:pt idx="24">
                  <c:v>0.68571428571428572</c:v>
                </c:pt>
                <c:pt idx="25">
                  <c:v>0.68571428571428572</c:v>
                </c:pt>
                <c:pt idx="26">
                  <c:v>0.68571428571428572</c:v>
                </c:pt>
                <c:pt idx="27">
                  <c:v>0.68571428571428572</c:v>
                </c:pt>
                <c:pt idx="28">
                  <c:v>0.68571428571428572</c:v>
                </c:pt>
                <c:pt idx="29">
                  <c:v>0.68571428571428572</c:v>
                </c:pt>
                <c:pt idx="30">
                  <c:v>0.68571428571428572</c:v>
                </c:pt>
                <c:pt idx="31">
                  <c:v>0.68571428571428572</c:v>
                </c:pt>
                <c:pt idx="32">
                  <c:v>0.68571428571428572</c:v>
                </c:pt>
                <c:pt idx="33">
                  <c:v>0.68571428571428572</c:v>
                </c:pt>
                <c:pt idx="34">
                  <c:v>0.68571428571428572</c:v>
                </c:pt>
                <c:pt idx="35">
                  <c:v>0.68571428571428572</c:v>
                </c:pt>
                <c:pt idx="36">
                  <c:v>0.68571428571428572</c:v>
                </c:pt>
                <c:pt idx="37">
                  <c:v>0.68571428571428572</c:v>
                </c:pt>
                <c:pt idx="38">
                  <c:v>0.68571428571428572</c:v>
                </c:pt>
                <c:pt idx="39">
                  <c:v>0.68571428571428572</c:v>
                </c:pt>
                <c:pt idx="40">
                  <c:v>0.68571428571428572</c:v>
                </c:pt>
                <c:pt idx="41">
                  <c:v>0.68571428571428572</c:v>
                </c:pt>
                <c:pt idx="42">
                  <c:v>0.68571428571428572</c:v>
                </c:pt>
                <c:pt idx="43">
                  <c:v>0.68571428571428572</c:v>
                </c:pt>
                <c:pt idx="44">
                  <c:v>0.68571428571428572</c:v>
                </c:pt>
                <c:pt idx="45">
                  <c:v>0.68571428571428572</c:v>
                </c:pt>
                <c:pt idx="46">
                  <c:v>0.68571428571428572</c:v>
                </c:pt>
                <c:pt idx="47">
                  <c:v>0.68571428571428572</c:v>
                </c:pt>
                <c:pt idx="48">
                  <c:v>0.68571428571428572</c:v>
                </c:pt>
                <c:pt idx="49">
                  <c:v>0.68571428571428572</c:v>
                </c:pt>
                <c:pt idx="50">
                  <c:v>0.68571428571428572</c:v>
                </c:pt>
                <c:pt idx="51">
                  <c:v>0.68571428571428572</c:v>
                </c:pt>
                <c:pt idx="52">
                  <c:v>0.68571428571428572</c:v>
                </c:pt>
                <c:pt idx="53">
                  <c:v>0.68571428571428572</c:v>
                </c:pt>
                <c:pt idx="54">
                  <c:v>0.68571428571428572</c:v>
                </c:pt>
                <c:pt idx="55">
                  <c:v>0.68571428571428572</c:v>
                </c:pt>
                <c:pt idx="56">
                  <c:v>0.68571428571428572</c:v>
                </c:pt>
                <c:pt idx="57">
                  <c:v>0.68571428571428572</c:v>
                </c:pt>
                <c:pt idx="58">
                  <c:v>0.68571428571428572</c:v>
                </c:pt>
                <c:pt idx="59">
                  <c:v>0.68571428571428572</c:v>
                </c:pt>
                <c:pt idx="60">
                  <c:v>0.68571428571428572</c:v>
                </c:pt>
                <c:pt idx="61">
                  <c:v>0.68571428571428572</c:v>
                </c:pt>
                <c:pt idx="62">
                  <c:v>0.68571428571428572</c:v>
                </c:pt>
                <c:pt idx="63">
                  <c:v>0.68571428571428572</c:v>
                </c:pt>
                <c:pt idx="64">
                  <c:v>0.68571428571428572</c:v>
                </c:pt>
                <c:pt idx="65">
                  <c:v>0.68571428571428572</c:v>
                </c:pt>
                <c:pt idx="66">
                  <c:v>0.68571428571428572</c:v>
                </c:pt>
                <c:pt idx="67">
                  <c:v>0.68571428571428572</c:v>
                </c:pt>
                <c:pt idx="68">
                  <c:v>0.68571428571428572</c:v>
                </c:pt>
                <c:pt idx="69">
                  <c:v>0.68571428571428572</c:v>
                </c:pt>
                <c:pt idx="70">
                  <c:v>0.68571428571428572</c:v>
                </c:pt>
                <c:pt idx="71">
                  <c:v>0.68571428571428572</c:v>
                </c:pt>
                <c:pt idx="72">
                  <c:v>0.68571428571428572</c:v>
                </c:pt>
                <c:pt idx="73">
                  <c:v>0.68571428571428572</c:v>
                </c:pt>
                <c:pt idx="74">
                  <c:v>0.68571428571428572</c:v>
                </c:pt>
                <c:pt idx="75">
                  <c:v>0.68571428571428572</c:v>
                </c:pt>
                <c:pt idx="76">
                  <c:v>0.68571428571428572</c:v>
                </c:pt>
                <c:pt idx="77">
                  <c:v>0.68571428571428572</c:v>
                </c:pt>
                <c:pt idx="78">
                  <c:v>0.68571428571428572</c:v>
                </c:pt>
                <c:pt idx="79">
                  <c:v>0.68571428571428572</c:v>
                </c:pt>
                <c:pt idx="80">
                  <c:v>0.68571428571428572</c:v>
                </c:pt>
                <c:pt idx="81">
                  <c:v>0.68571428571428572</c:v>
                </c:pt>
                <c:pt idx="82">
                  <c:v>0.68571428571428572</c:v>
                </c:pt>
              </c:numCache>
            </c:numRef>
          </c:yVal>
          <c:smooth val="1"/>
          <c:extLst>
            <c:ext xmlns:c16="http://schemas.microsoft.com/office/drawing/2014/chart" uri="{C3380CC4-5D6E-409C-BE32-E72D297353CC}">
              <c16:uniqueId val="{00000008-CE98-4990-A577-1B25E5B604B7}"/>
            </c:ext>
          </c:extLst>
        </c:ser>
        <c:dLbls>
          <c:showLegendKey val="0"/>
          <c:showVal val="0"/>
          <c:showCatName val="0"/>
          <c:showSerName val="0"/>
          <c:showPercent val="0"/>
          <c:showBubbleSize val="0"/>
        </c:dLbls>
        <c:axId val="93265616"/>
        <c:axId val="69509748"/>
      </c:scatterChart>
      <c:valAx>
        <c:axId val="93265616"/>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9509748"/>
        <c:crosses val="autoZero"/>
        <c:crossBetween val="midCat"/>
      </c:valAx>
      <c:valAx>
        <c:axId val="69509748"/>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265616"/>
        <c:crosses val="autoZero"/>
        <c:crossBetween val="midCat"/>
      </c:valAx>
      <c:spPr>
        <a:noFill/>
        <a:ln w="0">
          <a:noFill/>
        </a:ln>
      </c:spPr>
    </c:plotArea>
    <c:legend>
      <c:legendPos val="r"/>
      <c:layout>
        <c:manualLayout>
          <c:xMode val="edge"/>
          <c:yMode val="edge"/>
          <c:x val="0.65580347457371102"/>
          <c:y val="0.16027563224159799"/>
          <c:w val="0.278001941608926"/>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Voltage Gain curve vs Minimum Required Gain for PFC regulation@Vin_max</a:t>
            </a:r>
          </a:p>
        </c:rich>
      </c:tx>
      <c:layout>
        <c:manualLayout>
          <c:xMode val="edge"/>
          <c:yMode val="edge"/>
          <c:x val="0.16143559579063499"/>
          <c:y val="2.32711886817401E-2"/>
        </c:manualLayout>
      </c:layout>
      <c:overlay val="0"/>
      <c:spPr>
        <a:noFill/>
        <a:ln w="0">
          <a:noFill/>
        </a:ln>
      </c:spPr>
    </c:title>
    <c:autoTitleDeleted val="0"/>
    <c:plotArea>
      <c:layout>
        <c:manualLayout>
          <c:layoutTarget val="inner"/>
          <c:xMode val="edge"/>
          <c:yMode val="edge"/>
          <c:x val="0.125361885942742"/>
          <c:y val="0.141808806029353"/>
          <c:w val="0.826248793713524"/>
          <c:h val="0.7368107893692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RTC!$C$28:$CG$28</c:f>
              <c:numCache>
                <c:formatCode>General</c:formatCode>
                <c:ptCount val="83"/>
                <c:pt idx="0">
                  <c:v>2.1818182512396718E-8</c:v>
                </c:pt>
                <c:pt idx="1">
                  <c:v>1.2886419367458453E-3</c:v>
                </c:pt>
                <c:pt idx="2">
                  <c:v>3.2957540508757933E-3</c:v>
                </c:pt>
                <c:pt idx="3">
                  <c:v>6.2466838217803949E-3</c:v>
                </c:pt>
                <c:pt idx="4">
                  <c:v>1.0165634844491057E-2</c:v>
                </c:pt>
                <c:pt idx="5">
                  <c:v>1.5085230808885637E-2</c:v>
                </c:pt>
                <c:pt idx="6">
                  <c:v>2.104720710419164E-2</c:v>
                </c:pt>
                <c:pt idx="7">
                  <c:v>2.8103319587713758E-2</c:v>
                </c:pt>
                <c:pt idx="8">
                  <c:v>3.6316508449383139E-2</c:v>
                </c:pt>
                <c:pt idx="9">
                  <c:v>4.5762367743434479E-2</c:v>
                </c:pt>
                <c:pt idx="10">
                  <c:v>5.6530987448607108E-2</c:v>
                </c:pt>
                <c:pt idx="11">
                  <c:v>6.8729256295102084E-2</c:v>
                </c:pt>
                <c:pt idx="12">
                  <c:v>8.2483742085161724E-2</c:v>
                </c:pt>
                <c:pt idx="13">
                  <c:v>9.7944304735298124E-2</c:v>
                </c:pt>
                <c:pt idx="14">
                  <c:v>0.11528864999952876</c:v>
                </c:pt>
                <c:pt idx="15">
                  <c:v>0.1347281050187448</c:v>
                </c:pt>
                <c:pt idx="16">
                  <c:v>0.15651499980883612</c:v>
                </c:pt>
                <c:pt idx="17">
                  <c:v>0.18095218575415503</c:v>
                </c:pt>
                <c:pt idx="18">
                  <c:v>0.20840543512238516</c:v>
                </c:pt>
                <c:pt idx="19">
                  <c:v>0.23931977930378859</c:v>
                </c:pt>
                <c:pt idx="20">
                  <c:v>0.27424131386312434</c:v>
                </c:pt>
                <c:pt idx="21">
                  <c:v>0.31384671772931005</c:v>
                </c:pt>
                <c:pt idx="22">
                  <c:v>0.3589838574142431</c:v>
                </c:pt>
                <c:pt idx="23">
                  <c:v>0.41072864448862639</c:v>
                </c:pt>
                <c:pt idx="24">
                  <c:v>0.47046626668653735</c:v>
                </c:pt>
                <c:pt idx="25">
                  <c:v>0.54000990781304037</c:v>
                </c:pt>
                <c:pt idx="26">
                  <c:v>0.62177881033586746</c:v>
                </c:pt>
                <c:pt idx="27">
                  <c:v>0.71907341857608231</c:v>
                </c:pt>
                <c:pt idx="28">
                  <c:v>0.83651551018079373</c:v>
                </c:pt>
                <c:pt idx="29">
                  <c:v>0.98078153994784389</c:v>
                </c:pt>
                <c:pt idx="30">
                  <c:v>1.1618855338834528</c:v>
                </c:pt>
                <c:pt idx="31">
                  <c:v>1.3955605407023011</c:v>
                </c:pt>
                <c:pt idx="32">
                  <c:v>1.70801881699095</c:v>
                </c:pt>
                <c:pt idx="33">
                  <c:v>2.1464163817304032</c:v>
                </c:pt>
                <c:pt idx="34">
                  <c:v>2.8049873938594398</c:v>
                </c:pt>
                <c:pt idx="35">
                  <c:v>3.9033273688464369</c:v>
                </c:pt>
                <c:pt idx="36">
                  <c:v>6.098718634915044</c:v>
                </c:pt>
                <c:pt idx="37">
                  <c:v>12.659566924581251</c:v>
                </c:pt>
                <c:pt idx="38">
                  <c:v>1921.5837087114464</c:v>
                </c:pt>
                <c:pt idx="39">
                  <c:v>42.249999999987104</c:v>
                </c:pt>
                <c:pt idx="40">
                  <c:v>10.581427390464974</c:v>
                </c:pt>
                <c:pt idx="41">
                  <c:v>6.2413366336631526</c:v>
                </c:pt>
                <c:pt idx="42">
                  <c:v>4.5187319884725161</c:v>
                </c:pt>
                <c:pt idx="43">
                  <c:v>3.5949449125080415</c:v>
                </c:pt>
                <c:pt idx="44">
                  <c:v>3.0192994996425648</c:v>
                </c:pt>
                <c:pt idx="45">
                  <c:v>2.6264591439688467</c:v>
                </c:pt>
                <c:pt idx="46">
                  <c:v>2.3414634146341284</c:v>
                </c:pt>
                <c:pt idx="47">
                  <c:v>2.1254008980115326</c:v>
                </c:pt>
                <c:pt idx="48">
                  <c:v>1.9560649474689491</c:v>
                </c:pt>
                <c:pt idx="49">
                  <c:v>1.8198585144012047</c:v>
                </c:pt>
                <c:pt idx="50">
                  <c:v>1.7079905491189553</c:v>
                </c:pt>
                <c:pt idx="51">
                  <c:v>1.6145251396647997</c:v>
                </c:pt>
                <c:pt idx="52">
                  <c:v>1.5353095649293769</c:v>
                </c:pt>
                <c:pt idx="53">
                  <c:v>1.4673515584189416</c:v>
                </c:pt>
                <c:pt idx="54">
                  <c:v>1.4084404999094342</c:v>
                </c:pt>
                <c:pt idx="55">
                  <c:v>1.35690789473684</c:v>
                </c:pt>
                <c:pt idx="56">
                  <c:v>1.3114708393594574</c:v>
                </c:pt>
                <c:pt idx="57">
                  <c:v>1.2711267605633787</c:v>
                </c:pt>
                <c:pt idx="58">
                  <c:v>1.2350808487203404</c:v>
                </c:pt>
                <c:pt idx="59">
                  <c:v>1.2026949211102145</c:v>
                </c:pt>
                <c:pt idx="60">
                  <c:v>1.1734506784011727</c:v>
                </c:pt>
                <c:pt idx="61">
                  <c:v>1.1469228398232809</c:v>
                </c:pt>
                <c:pt idx="62">
                  <c:v>1.1227591914225556</c:v>
                </c:pt>
                <c:pt idx="63">
                  <c:v>1.1006655574043258</c:v>
                </c:pt>
                <c:pt idx="64">
                  <c:v>1.080394333380958</c:v>
                </c:pt>
                <c:pt idx="65">
                  <c:v>1.0617356341095658</c:v>
                </c:pt>
                <c:pt idx="66">
                  <c:v>1.0445103857566764</c:v>
                </c:pt>
                <c:pt idx="67">
                  <c:v>1.0285648819980142</c:v>
                </c:pt>
                <c:pt idx="68">
                  <c:v>1.0137664544300213</c:v>
                </c:pt>
                <c:pt idx="69">
                  <c:v>1</c:v>
                </c:pt>
                <c:pt idx="70">
                  <c:v>0.92687605964801134</c:v>
                </c:pt>
                <c:pt idx="71">
                  <c:v>0.87793233473094412</c:v>
                </c:pt>
                <c:pt idx="72">
                  <c:v>0.8432116897802775</c:v>
                </c:pt>
                <c:pt idx="73">
                  <c:v>0.81751431221486071</c:v>
                </c:pt>
                <c:pt idx="74">
                  <c:v>0.79786908756308172</c:v>
                </c:pt>
                <c:pt idx="75">
                  <c:v>0.78246071684854068</c:v>
                </c:pt>
                <c:pt idx="76">
                  <c:v>0.7701209595806876</c:v>
                </c:pt>
                <c:pt idx="77">
                  <c:v>0.76006613168945525</c:v>
                </c:pt>
                <c:pt idx="78">
                  <c:v>0.75175235378607119</c:v>
                </c:pt>
                <c:pt idx="79">
                  <c:v>0.74479131918510189</c:v>
                </c:pt>
                <c:pt idx="80">
                  <c:v>0.73889904941593587</c:v>
                </c:pt>
                <c:pt idx="81">
                  <c:v>0.73386352963092394</c:v>
                </c:pt>
                <c:pt idx="82">
                  <c:v>0.72952360451323239</c:v>
                </c:pt>
              </c:numCache>
            </c:numRef>
          </c:yVal>
          <c:smooth val="1"/>
          <c:extLst>
            <c:ext xmlns:c16="http://schemas.microsoft.com/office/drawing/2014/chart" uri="{C3380CC4-5D6E-409C-BE32-E72D297353CC}">
              <c16:uniqueId val="{00000000-477F-40DE-AE65-38EC41A12945}"/>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RTC!$C$47:$CG$47</c:f>
              <c:numCache>
                <c:formatCode>General</c:formatCode>
                <c:ptCount val="83"/>
                <c:pt idx="0">
                  <c:v>2.1818182382492675E-8</c:v>
                </c:pt>
                <c:pt idx="1">
                  <c:v>1.2881887010930794E-3</c:v>
                </c:pt>
                <c:pt idx="2">
                  <c:v>3.2927886442313385E-3</c:v>
                </c:pt>
                <c:pt idx="3">
                  <c:v>6.2360266346062031E-3</c:v>
                </c:pt>
                <c:pt idx="4">
                  <c:v>1.0137396704165301E-2</c:v>
                </c:pt>
                <c:pt idx="5">
                  <c:v>1.5023007895528954E-2</c:v>
                </c:pt>
                <c:pt idx="6">
                  <c:v>2.0925987778792478E-2</c:v>
                </c:pt>
                <c:pt idx="7">
                  <c:v>2.7887001276361342E-2</c:v>
                </c:pt>
                <c:pt idx="8">
                  <c:v>3.5954897539339017E-2</c:v>
                </c:pt>
                <c:pt idx="9">
                  <c:v>4.5187500817546217E-2</c:v>
                </c:pt>
                <c:pt idx="10">
                  <c:v>5.5652564835327163E-2</c:v>
                </c:pt>
                <c:pt idx="11">
                  <c:v>6.7428914152122668E-2</c:v>
                </c:pt>
                <c:pt idx="12">
                  <c:v>8.0607800331455051E-2</c:v>
                </c:pt>
                <c:pt idx="13">
                  <c:v>9.5294505365001059E-2</c:v>
                </c:pt>
                <c:pt idx="14">
                  <c:v>0.11161022945863958</c:v>
                </c:pt>
                <c:pt idx="15">
                  <c:v>0.12969430450041747</c:v>
                </c:pt>
                <c:pt idx="16">
                  <c:v>0.14970677740192706</c:v>
                </c:pt>
                <c:pt idx="17">
                  <c:v>0.17183140745740369</c:v>
                </c:pt>
                <c:pt idx="18">
                  <c:v>0.19627911619524036</c:v>
                </c:pt>
                <c:pt idx="19">
                  <c:v>0.22329191235764032</c:v>
                </c:pt>
                <c:pt idx="20">
                  <c:v>0.25314728109657647</c:v>
                </c:pt>
                <c:pt idx="21">
                  <c:v>0.28616296286546417</c:v>
                </c:pt>
                <c:pt idx="22">
                  <c:v>0.32270193381356715</c:v>
                </c:pt>
                <c:pt idx="23">
                  <c:v>0.36317720380577329</c:v>
                </c:pt>
                <c:pt idx="24">
                  <c:v>0.40805572039200749</c:v>
                </c:pt>
                <c:pt idx="25">
                  <c:v>0.45786013065995684</c:v>
                </c:pt>
                <c:pt idx="26">
                  <c:v>0.51316629609248432</c:v>
                </c:pt>
                <c:pt idx="27">
                  <c:v>0.57459312657902117</c:v>
                </c:pt>
                <c:pt idx="28">
                  <c:v>0.64277932160959372</c:v>
                </c:pt>
                <c:pt idx="29">
                  <c:v>0.71833884691119299</c:v>
                </c:pt>
                <c:pt idx="30">
                  <c:v>0.80178354597124124</c:v>
                </c:pt>
                <c:pt idx="31">
                  <c:v>0.89339801137383779</c:v>
                </c:pt>
                <c:pt idx="32">
                  <c:v>0.99305115057053139</c:v>
                </c:pt>
                <c:pt idx="33">
                  <c:v>1.0999361156437204</c:v>
                </c:pt>
                <c:pt idx="34">
                  <c:v>1.2122544795938535</c:v>
                </c:pt>
                <c:pt idx="35">
                  <c:v>1.3269116345880969</c:v>
                </c:pt>
                <c:pt idx="36">
                  <c:v>1.4393666612797296</c:v>
                </c:pt>
                <c:pt idx="37">
                  <c:v>1.5438437181055409</c:v>
                </c:pt>
                <c:pt idx="38">
                  <c:v>1.634075089047597</c:v>
                </c:pt>
                <c:pt idx="39">
                  <c:v>1.6593385553953328</c:v>
                </c:pt>
                <c:pt idx="40">
                  <c:v>1.7224809596753172</c:v>
                </c:pt>
                <c:pt idx="41">
                  <c:v>1.7617858065342098</c:v>
                </c:pt>
                <c:pt idx="42">
                  <c:v>1.7775007606476596</c:v>
                </c:pt>
                <c:pt idx="43">
                  <c:v>1.7723770936820213</c:v>
                </c:pt>
                <c:pt idx="44">
                  <c:v>1.7506688032071991</c:v>
                </c:pt>
                <c:pt idx="45">
                  <c:v>1.7170352094878036</c:v>
                </c:pt>
                <c:pt idx="46">
                  <c:v>1.6757354437264311</c:v>
                </c:pt>
                <c:pt idx="47">
                  <c:v>1.6302254633798372</c:v>
                </c:pt>
                <c:pt idx="48">
                  <c:v>1.5830741957458498</c:v>
                </c:pt>
                <c:pt idx="49">
                  <c:v>1.5360596375513149</c:v>
                </c:pt>
                <c:pt idx="50">
                  <c:v>1.4903324554146884</c:v>
                </c:pt>
                <c:pt idx="51">
                  <c:v>1.446581713956461</c:v>
                </c:pt>
                <c:pt idx="52">
                  <c:v>1.4051745142564538</c:v>
                </c:pt>
                <c:pt idx="53">
                  <c:v>1.3662628198799427</c:v>
                </c:pt>
                <c:pt idx="54">
                  <c:v>1.329860503810347</c:v>
                </c:pt>
                <c:pt idx="55">
                  <c:v>1.2958967576600455</c:v>
                </c:pt>
                <c:pt idx="56">
                  <c:v>1.2642520414530216</c:v>
                </c:pt>
                <c:pt idx="57">
                  <c:v>1.2347816882910965</c:v>
                </c:pt>
                <c:pt idx="58">
                  <c:v>1.2073310266874606</c:v>
                </c:pt>
                <c:pt idx="59">
                  <c:v>1.1817447922027622</c:v>
                </c:pt>
                <c:pt idx="60">
                  <c:v>1.1578727557635651</c:v>
                </c:pt>
                <c:pt idx="61">
                  <c:v>1.1355728820271946</c:v>
                </c:pt>
                <c:pt idx="62">
                  <c:v>1.1147129003379874</c:v>
                </c:pt>
                <c:pt idx="63">
                  <c:v>1.0951708751382412</c:v>
                </c:pt>
                <c:pt idx="64">
                  <c:v>1.0768351626045636</c:v>
                </c:pt>
                <c:pt idx="65">
                  <c:v>1.0596040061373857</c:v>
                </c:pt>
                <c:pt idx="66">
                  <c:v>1.0433849339971508</c:v>
                </c:pt>
                <c:pt idx="67">
                  <c:v>1.0280940632015909</c:v>
                </c:pt>
                <c:pt idx="68">
                  <c:v>1.0136553747908899</c:v>
                </c:pt>
                <c:pt idx="69">
                  <c:v>1</c:v>
                </c:pt>
                <c:pt idx="70">
                  <c:v>0.92333211953700123</c:v>
                </c:pt>
                <c:pt idx="71">
                  <c:v>0.86696105834124759</c:v>
                </c:pt>
                <c:pt idx="72">
                  <c:v>0.82318248090522994</c:v>
                </c:pt>
                <c:pt idx="73">
                  <c:v>0.78763759103387965</c:v>
                </c:pt>
                <c:pt idx="74">
                  <c:v>0.75772129315258452</c:v>
                </c:pt>
                <c:pt idx="75">
                  <c:v>0.73180269010084442</c:v>
                </c:pt>
                <c:pt idx="76">
                  <c:v>0.70882081816335396</c:v>
                </c:pt>
                <c:pt idx="77">
                  <c:v>0.68806311613752202</c:v>
                </c:pt>
                <c:pt idx="78">
                  <c:v>0.66903798029635431</c:v>
                </c:pt>
                <c:pt idx="79">
                  <c:v>0.65139830863734394</c:v>
                </c:pt>
                <c:pt idx="80">
                  <c:v>0.63489396113171548</c:v>
                </c:pt>
                <c:pt idx="81">
                  <c:v>0.61934128252039466</c:v>
                </c:pt>
                <c:pt idx="82">
                  <c:v>0.60460304808045218</c:v>
                </c:pt>
              </c:numCache>
            </c:numRef>
          </c:yVal>
          <c:smooth val="1"/>
          <c:extLst>
            <c:ext xmlns:c16="http://schemas.microsoft.com/office/drawing/2014/chart" uri="{C3380CC4-5D6E-409C-BE32-E72D297353CC}">
              <c16:uniqueId val="{00000001-477F-40DE-AE65-38EC41A12945}"/>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RTC!$C$49:$CG$49</c:f>
              <c:numCache>
                <c:formatCode>General</c:formatCode>
                <c:ptCount val="83"/>
                <c:pt idx="0">
                  <c:v>2.1818182439325691E-8</c:v>
                </c:pt>
                <c:pt idx="1">
                  <c:v>1.288386932838223E-3</c:v>
                </c:pt>
                <c:pt idx="2">
                  <c:v>3.294085024357045E-3</c:v>
                </c:pt>
                <c:pt idx="3">
                  <c:v>6.2406824378399874E-3</c:v>
                </c:pt>
                <c:pt idx="4">
                  <c:v>1.0149721903320651E-2</c:v>
                </c:pt>
                <c:pt idx="5">
                  <c:v>1.5050135523851146E-2</c:v>
                </c:pt>
                <c:pt idx="6">
                  <c:v>2.0978762930202923E-2</c:v>
                </c:pt>
                <c:pt idx="7">
                  <c:v>2.7981024024538607E-2</c:v>
                </c:pt>
                <c:pt idx="8">
                  <c:v>3.6111767932241016E-2</c:v>
                </c:pt>
                <c:pt idx="9">
                  <c:v>4.5436326096875805E-2</c:v>
                </c:pt>
                <c:pt idx="10">
                  <c:v>5.6031805097773321E-2</c:v>
                </c:pt>
                <c:pt idx="11">
                  <c:v>6.7988664131966317E-2</c:v>
                </c:pt>
                <c:pt idx="12">
                  <c:v>8.1412633661487821E-2</c:v>
                </c:pt>
                <c:pt idx="13">
                  <c:v>9.6427046070027292E-2</c:v>
                </c:pt>
                <c:pt idx="14">
                  <c:v>0.11317566700622338</c:v>
                </c:pt>
                <c:pt idx="15">
                  <c:v>0.13182613823889974</c:v>
                </c:pt>
                <c:pt idx="16">
                  <c:v>0.15257417021874703</c:v>
                </c:pt>
                <c:pt idx="17">
                  <c:v>0.17564865601082363</c:v>
                </c:pt>
                <c:pt idx="18">
                  <c:v>0.20131791842768321</c:v>
                </c:pt>
                <c:pt idx="19">
                  <c:v>0.22989734881129481</c:v>
                </c:pt>
                <c:pt idx="20">
                  <c:v>0.26175874677386279</c:v>
                </c:pt>
                <c:pt idx="21">
                  <c:v>0.29734171889440625</c:v>
                </c:pt>
                <c:pt idx="22">
                  <c:v>0.33716752587048926</c:v>
                </c:pt>
                <c:pt idx="23">
                  <c:v>0.38185574987982207</c:v>
                </c:pt>
                <c:pt idx="24">
                  <c:v>0.4321440215917321</c:v>
                </c:pt>
                <c:pt idx="25">
                  <c:v>0.48891067008148426</c:v>
                </c:pt>
                <c:pt idx="26">
                  <c:v>0.55319928820362751</c:v>
                </c:pt>
                <c:pt idx="27">
                  <c:v>0.62624236450510695</c:v>
                </c:pt>
                <c:pt idx="28">
                  <c:v>0.70947743818119835</c:v>
                </c:pt>
                <c:pt idx="29">
                  <c:v>0.80454211618310545</c:v>
                </c:pt>
                <c:pt idx="30">
                  <c:v>0.91322115987396457</c:v>
                </c:pt>
                <c:pt idx="31">
                  <c:v>1.0372960664446651</c:v>
                </c:pt>
                <c:pt idx="32">
                  <c:v>1.1782121374140366</c:v>
                </c:pt>
                <c:pt idx="33">
                  <c:v>1.3364349780829285</c:v>
                </c:pt>
                <c:pt idx="34">
                  <c:v>1.5103522672564342</c:v>
                </c:pt>
                <c:pt idx="35">
                  <c:v>1.6946933621753784</c:v>
                </c:pt>
                <c:pt idx="36">
                  <c:v>1.8788872930725196</c:v>
                </c:pt>
                <c:pt idx="37">
                  <c:v>2.0466553898913227</c:v>
                </c:pt>
                <c:pt idx="38">
                  <c:v>2.1787661726775815</c:v>
                </c:pt>
                <c:pt idx="39">
                  <c:v>2.2111254628172508</c:v>
                </c:pt>
                <c:pt idx="40">
                  <c:v>2.2733341619235317</c:v>
                </c:pt>
                <c:pt idx="41">
                  <c:v>2.2794758156576145</c:v>
                </c:pt>
                <c:pt idx="42">
                  <c:v>2.2390917769355321</c:v>
                </c:pt>
                <c:pt idx="43">
                  <c:v>2.1671764851446023</c:v>
                </c:pt>
                <c:pt idx="44">
                  <c:v>2.0782664827564985</c:v>
                </c:pt>
                <c:pt idx="45">
                  <c:v>1.9833491584035789</c:v>
                </c:pt>
                <c:pt idx="46">
                  <c:v>1.8894370266624958</c:v>
                </c:pt>
                <c:pt idx="47">
                  <c:v>1.8004036122547353</c:v>
                </c:pt>
                <c:pt idx="48">
                  <c:v>1.7180362951962087</c:v>
                </c:pt>
                <c:pt idx="49">
                  <c:v>1.6428800535467103</c:v>
                </c:pt>
                <c:pt idx="50">
                  <c:v>1.5748033751254678</c:v>
                </c:pt>
                <c:pt idx="51">
                  <c:v>1.5133428875947135</c:v>
                </c:pt>
                <c:pt idx="52">
                  <c:v>1.4579001918992971</c:v>
                </c:pt>
                <c:pt idx="53">
                  <c:v>1.4078482374057375</c:v>
                </c:pt>
                <c:pt idx="54">
                  <c:v>1.3625851213657625</c:v>
                </c:pt>
                <c:pt idx="55">
                  <c:v>1.3215584444011077</c:v>
                </c:pt>
                <c:pt idx="56">
                  <c:v>1.2842737446429706</c:v>
                </c:pt>
                <c:pt idx="57">
                  <c:v>1.2502946995621886</c:v>
                </c:pt>
                <c:pt idx="58">
                  <c:v>1.2192393728204127</c:v>
                </c:pt>
                <c:pt idx="59">
                  <c:v>1.1907748312749207</c:v>
                </c:pt>
                <c:pt idx="60">
                  <c:v>1.1646113567059417</c:v>
                </c:pt>
                <c:pt idx="61">
                  <c:v>1.140496864502047</c:v>
                </c:pt>
                <c:pt idx="62">
                  <c:v>1.1182118061628268</c:v>
                </c:pt>
                <c:pt idx="63">
                  <c:v>1.0975646529978911</c:v>
                </c:pt>
                <c:pt idx="64">
                  <c:v>1.0783879659759421</c:v>
                </c:pt>
                <c:pt idx="65">
                  <c:v>1.0605350123336386</c:v>
                </c:pt>
                <c:pt idx="66">
                  <c:v>1.0438768713069297</c:v>
                </c:pt>
                <c:pt idx="67">
                  <c:v>1.0282999668555644</c:v>
                </c:pt>
                <c:pt idx="68">
                  <c:v>1.0137039676399553</c:v>
                </c:pt>
                <c:pt idx="69">
                  <c:v>1</c:v>
                </c:pt>
                <c:pt idx="70">
                  <c:v>0.9248775837731108</c:v>
                </c:pt>
                <c:pt idx="71">
                  <c:v>0.87171013030791378</c:v>
                </c:pt>
                <c:pt idx="72">
                  <c:v>0.8317679840872253</c:v>
                </c:pt>
                <c:pt idx="73">
                  <c:v>0.80029976910742162</c:v>
                </c:pt>
                <c:pt idx="74">
                  <c:v>0.77452535688315916</c:v>
                </c:pt>
                <c:pt idx="75">
                  <c:v>0.75272386488392695</c:v>
                </c:pt>
                <c:pt idx="76">
                  <c:v>0.73378169196191756</c:v>
                </c:pt>
                <c:pt idx="77">
                  <c:v>0.71695212083513848</c:v>
                </c:pt>
                <c:pt idx="78">
                  <c:v>0.70171979637125559</c:v>
                </c:pt>
                <c:pt idx="79">
                  <c:v>0.68772053775691788</c:v>
                </c:pt>
                <c:pt idx="80">
                  <c:v>0.67469191662288797</c:v>
                </c:pt>
                <c:pt idx="81">
                  <c:v>0.6624417207487634</c:v>
                </c:pt>
                <c:pt idx="82">
                  <c:v>0.65082722151455918</c:v>
                </c:pt>
              </c:numCache>
            </c:numRef>
          </c:yVal>
          <c:smooth val="1"/>
          <c:extLst>
            <c:ext xmlns:c16="http://schemas.microsoft.com/office/drawing/2014/chart" uri="{C3380CC4-5D6E-409C-BE32-E72D297353CC}">
              <c16:uniqueId val="{00000002-477F-40DE-AE65-38EC41A12945}"/>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RTC!$C$50:$CG$50</c:f>
              <c:numCache>
                <c:formatCode>General</c:formatCode>
                <c:ptCount val="83"/>
                <c:pt idx="0">
                  <c:v>2.1818182479920704E-8</c:v>
                </c:pt>
                <c:pt idx="1">
                  <c:v>1.2885285829841006E-3</c:v>
                </c:pt>
                <c:pt idx="2">
                  <c:v>3.2950119481721194E-3</c:v>
                </c:pt>
                <c:pt idx="3">
                  <c:v>6.2440144033623097E-3</c:v>
                </c:pt>
                <c:pt idx="4">
                  <c:v>1.0158553191859945E-2</c:v>
                </c:pt>
                <c:pt idx="5">
                  <c:v>1.5069602622699301E-2</c:v>
                </c:pt>
                <c:pt idx="6">
                  <c:v>2.1016704876682134E-2</c:v>
                </c:pt>
                <c:pt idx="7">
                  <c:v>2.8048768388947723E-2</c:v>
                </c:pt>
                <c:pt idx="8">
                  <c:v>3.6225083729408088E-2</c:v>
                </c:pt>
                <c:pt idx="9">
                  <c:v>4.5616596356075428E-2</c:v>
                </c:pt>
                <c:pt idx="10">
                  <c:v>5.6307487501055131E-2</c:v>
                </c:pt>
                <c:pt idx="11">
                  <c:v>6.83971296301875E-2</c:v>
                </c:pt>
                <c:pt idx="12">
                  <c:v>8.2002502564154742E-2</c:v>
                </c:pt>
                <c:pt idx="13">
                  <c:v>9.7261182059277002E-2</c:v>
                </c:pt>
                <c:pt idx="14">
                  <c:v>0.11433504662530793</c:v>
                </c:pt>
                <c:pt idx="15">
                  <c:v>0.13341489367348136</c:v>
                </c:pt>
                <c:pt idx="16">
                  <c:v>0.15472621704054584</c:v>
                </c:pt>
                <c:pt idx="17">
                  <c:v>0.17853648058534624</c:v>
                </c:pt>
                <c:pt idx="18">
                  <c:v>0.20516433548851423</c:v>
                </c:pt>
                <c:pt idx="19">
                  <c:v>0.23499138428974772</c:v>
                </c:pt>
                <c:pt idx="20">
                  <c:v>0.26847730985236462</c:v>
                </c:pt>
                <c:pt idx="21">
                  <c:v>0.30617948669159406</c:v>
                </c:pt>
                <c:pt idx="22">
                  <c:v>0.34877860915110864</c:v>
                </c:pt>
                <c:pt idx="23">
                  <c:v>0.39711245078414564</c:v>
                </c:pt>
                <c:pt idx="24">
                  <c:v>0.45222066752110879</c:v>
                </c:pt>
                <c:pt idx="25">
                  <c:v>0.51540462938092035</c:v>
                </c:pt>
                <c:pt idx="26">
                  <c:v>0.58830762840615813</c:v>
                </c:pt>
                <c:pt idx="27">
                  <c:v>0.67302232488870162</c:v>
                </c:pt>
                <c:pt idx="28">
                  <c:v>0.77223333712321429</c:v>
                </c:pt>
                <c:pt idx="29">
                  <c:v>0.88940146434470002</c:v>
                </c:pt>
                <c:pt idx="30">
                  <c:v>1.0289864824494521</c:v>
                </c:pt>
                <c:pt idx="31">
                  <c:v>1.1966724314094623</c:v>
                </c:pt>
                <c:pt idx="32">
                  <c:v>1.3994632574174968</c:v>
                </c:pt>
                <c:pt idx="33">
                  <c:v>1.6452628496952006</c:v>
                </c:pt>
                <c:pt idx="34">
                  <c:v>1.9409529095430136</c:v>
                </c:pt>
                <c:pt idx="35">
                  <c:v>2.286856711332343</c:v>
                </c:pt>
                <c:pt idx="36">
                  <c:v>2.664689739148864</c:v>
                </c:pt>
                <c:pt idx="37">
                  <c:v>3.0210297534050943</c:v>
                </c:pt>
                <c:pt idx="38">
                  <c:v>3.2681466330811526</c:v>
                </c:pt>
                <c:pt idx="39">
                  <c:v>3.3110252196145522</c:v>
                </c:pt>
                <c:pt idx="40">
                  <c:v>3.3156909367168934</c:v>
                </c:pt>
                <c:pt idx="41">
                  <c:v>3.165485129035889</c:v>
                </c:pt>
                <c:pt idx="42">
                  <c:v>2.9379147301897302</c:v>
                </c:pt>
                <c:pt idx="43">
                  <c:v>2.6956469422014004</c:v>
                </c:pt>
                <c:pt idx="44">
                  <c:v>2.4705166769883413</c:v>
                </c:pt>
                <c:pt idx="45">
                  <c:v>2.2731978578150067</c:v>
                </c:pt>
                <c:pt idx="46">
                  <c:v>2.1043137440172504</c:v>
                </c:pt>
                <c:pt idx="47">
                  <c:v>1.9607997258777867</c:v>
                </c:pt>
                <c:pt idx="48">
                  <c:v>1.8387414801727384</c:v>
                </c:pt>
                <c:pt idx="49">
                  <c:v>1.7344475901781762</c:v>
                </c:pt>
                <c:pt idx="50">
                  <c:v>1.6447671953798582</c:v>
                </c:pt>
                <c:pt idx="51">
                  <c:v>1.5671176092543677</c:v>
                </c:pt>
                <c:pt idx="52">
                  <c:v>1.4994159312519777</c:v>
                </c:pt>
                <c:pt idx="53">
                  <c:v>1.4399901776491046</c:v>
                </c:pt>
                <c:pt idx="54">
                  <c:v>1.3874966034904137</c:v>
                </c:pt>
                <c:pt idx="55">
                  <c:v>1.3408506390314692</c:v>
                </c:pt>
                <c:pt idx="56">
                  <c:v>1.2991717638123261</c:v>
                </c:pt>
                <c:pt idx="57">
                  <c:v>1.2617403838170929</c:v>
                </c:pt>
                <c:pt idx="58">
                  <c:v>1.2279643637936826</c:v>
                </c:pt>
                <c:pt idx="59">
                  <c:v>1.1973530893088902</c:v>
                </c:pt>
                <c:pt idx="60">
                  <c:v>1.1694973196907215</c:v>
                </c:pt>
                <c:pt idx="61">
                  <c:v>1.1440534718277999</c:v>
                </c:pt>
                <c:pt idx="62">
                  <c:v>1.1207312935183062</c:v>
                </c:pt>
                <c:pt idx="63">
                  <c:v>1.0992841366401696</c:v>
                </c:pt>
                <c:pt idx="64">
                  <c:v>1.0795012330280616</c:v>
                </c:pt>
                <c:pt idx="65">
                  <c:v>1.0612015212514392</c:v>
                </c:pt>
                <c:pt idx="66">
                  <c:v>1.0442286814174895</c:v>
                </c:pt>
                <c:pt idx="67">
                  <c:v>1.028447116660097</c:v>
                </c:pt>
                <c:pt idx="68">
                  <c:v>1.0137386810967635</c:v>
                </c:pt>
                <c:pt idx="69">
                  <c:v>1</c:v>
                </c:pt>
                <c:pt idx="70">
                  <c:v>0.9259862501827153</c:v>
                </c:pt>
                <c:pt idx="71">
                  <c:v>0.87515050886117685</c:v>
                </c:pt>
                <c:pt idx="72">
                  <c:v>0.83806761170528898</c:v>
                </c:pt>
                <c:pt idx="73">
                  <c:v>0.80972746125639039</c:v>
                </c:pt>
                <c:pt idx="74">
                  <c:v>0.78723671009002483</c:v>
                </c:pt>
                <c:pt idx="75">
                  <c:v>0.76881622259455229</c:v>
                </c:pt>
                <c:pt idx="76">
                  <c:v>0.75331704608022088</c:v>
                </c:pt>
                <c:pt idx="77">
                  <c:v>0.73996753261833481</c:v>
                </c:pt>
                <c:pt idx="78">
                  <c:v>0.72823262046716475</c:v>
                </c:pt>
                <c:pt idx="79">
                  <c:v>0.71773138144407611</c:v>
                </c:pt>
                <c:pt idx="80">
                  <c:v>0.70818658508753285</c:v>
                </c:pt>
                <c:pt idx="81">
                  <c:v>0.69939270288926503</c:v>
                </c:pt>
                <c:pt idx="82">
                  <c:v>0.69119496620994025</c:v>
                </c:pt>
              </c:numCache>
            </c:numRef>
          </c:yVal>
          <c:smooth val="1"/>
          <c:extLst>
            <c:ext xmlns:c16="http://schemas.microsoft.com/office/drawing/2014/chart" uri="{C3380CC4-5D6E-409C-BE32-E72D297353CC}">
              <c16:uniqueId val="{00000003-477F-40DE-AE65-38EC41A12945}"/>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RTC!$C$67:$CG$67</c:f>
              <c:numCache>
                <c:formatCode>General</c:formatCode>
                <c:ptCount val="83"/>
                <c:pt idx="0">
                  <c:v>0.79284042553191492</c:v>
                </c:pt>
                <c:pt idx="1">
                  <c:v>0.79284042553191492</c:v>
                </c:pt>
                <c:pt idx="2">
                  <c:v>0.79284042553191492</c:v>
                </c:pt>
                <c:pt idx="3">
                  <c:v>0.79284042553191492</c:v>
                </c:pt>
                <c:pt idx="4">
                  <c:v>0.79284042553191492</c:v>
                </c:pt>
                <c:pt idx="5">
                  <c:v>0.79284042553191492</c:v>
                </c:pt>
                <c:pt idx="6">
                  <c:v>0.79284042553191492</c:v>
                </c:pt>
                <c:pt idx="7">
                  <c:v>0.79284042553191492</c:v>
                </c:pt>
                <c:pt idx="8">
                  <c:v>0.79284042553191492</c:v>
                </c:pt>
                <c:pt idx="9">
                  <c:v>0.79284042553191492</c:v>
                </c:pt>
                <c:pt idx="10">
                  <c:v>0.79284042553191492</c:v>
                </c:pt>
                <c:pt idx="11">
                  <c:v>0.79284042553191492</c:v>
                </c:pt>
                <c:pt idx="12">
                  <c:v>0.79284042553191492</c:v>
                </c:pt>
                <c:pt idx="13">
                  <c:v>0.79284042553191492</c:v>
                </c:pt>
                <c:pt idx="14">
                  <c:v>0.79284042553191492</c:v>
                </c:pt>
                <c:pt idx="15">
                  <c:v>0.79284042553191492</c:v>
                </c:pt>
                <c:pt idx="16">
                  <c:v>0.79284042553191492</c:v>
                </c:pt>
                <c:pt idx="17">
                  <c:v>0.79284042553191492</c:v>
                </c:pt>
                <c:pt idx="18">
                  <c:v>0.79284042553191492</c:v>
                </c:pt>
                <c:pt idx="19">
                  <c:v>0.79284042553191492</c:v>
                </c:pt>
                <c:pt idx="20">
                  <c:v>0.79284042553191492</c:v>
                </c:pt>
                <c:pt idx="21">
                  <c:v>0.79284042553191492</c:v>
                </c:pt>
                <c:pt idx="22">
                  <c:v>0.79284042553191492</c:v>
                </c:pt>
                <c:pt idx="23">
                  <c:v>0.79284042553191492</c:v>
                </c:pt>
                <c:pt idx="24">
                  <c:v>0.79284042553191492</c:v>
                </c:pt>
                <c:pt idx="25">
                  <c:v>0.79284042553191492</c:v>
                </c:pt>
                <c:pt idx="26">
                  <c:v>0.79284042553191492</c:v>
                </c:pt>
                <c:pt idx="27">
                  <c:v>0.79284042553191492</c:v>
                </c:pt>
                <c:pt idx="28">
                  <c:v>0.79284042553191492</c:v>
                </c:pt>
                <c:pt idx="29">
                  <c:v>0.79284042553191492</c:v>
                </c:pt>
                <c:pt idx="30">
                  <c:v>0.79284042553191492</c:v>
                </c:pt>
                <c:pt idx="31">
                  <c:v>0.79284042553191492</c:v>
                </c:pt>
                <c:pt idx="32">
                  <c:v>0.79284042553191492</c:v>
                </c:pt>
                <c:pt idx="33">
                  <c:v>0.79284042553191492</c:v>
                </c:pt>
                <c:pt idx="34">
                  <c:v>0.79284042553191492</c:v>
                </c:pt>
                <c:pt idx="35">
                  <c:v>0.79284042553191492</c:v>
                </c:pt>
                <c:pt idx="36">
                  <c:v>0.79284042553191492</c:v>
                </c:pt>
                <c:pt idx="37">
                  <c:v>0.79284042553191492</c:v>
                </c:pt>
                <c:pt idx="38">
                  <c:v>0.79284042553191492</c:v>
                </c:pt>
                <c:pt idx="39">
                  <c:v>0.79284042553191492</c:v>
                </c:pt>
                <c:pt idx="40">
                  <c:v>0.79284042553191492</c:v>
                </c:pt>
                <c:pt idx="41">
                  <c:v>0.79284042553191492</c:v>
                </c:pt>
                <c:pt idx="42">
                  <c:v>0.79284042553191492</c:v>
                </c:pt>
                <c:pt idx="43">
                  <c:v>0.79284042553191492</c:v>
                </c:pt>
                <c:pt idx="44">
                  <c:v>0.79284042553191492</c:v>
                </c:pt>
                <c:pt idx="45">
                  <c:v>0.79284042553191492</c:v>
                </c:pt>
                <c:pt idx="46">
                  <c:v>0.79284042553191492</c:v>
                </c:pt>
                <c:pt idx="47">
                  <c:v>0.79284042553191492</c:v>
                </c:pt>
                <c:pt idx="48">
                  <c:v>0.79284042553191492</c:v>
                </c:pt>
                <c:pt idx="49">
                  <c:v>0.79284042553191492</c:v>
                </c:pt>
                <c:pt idx="50">
                  <c:v>0.79284042553191492</c:v>
                </c:pt>
                <c:pt idx="51">
                  <c:v>0.79284042553191492</c:v>
                </c:pt>
                <c:pt idx="52">
                  <c:v>0.79284042553191492</c:v>
                </c:pt>
                <c:pt idx="53">
                  <c:v>0.79284042553191492</c:v>
                </c:pt>
                <c:pt idx="54">
                  <c:v>0.79284042553191492</c:v>
                </c:pt>
                <c:pt idx="55">
                  <c:v>0.79284042553191492</c:v>
                </c:pt>
                <c:pt idx="56">
                  <c:v>0.79284042553191492</c:v>
                </c:pt>
                <c:pt idx="57">
                  <c:v>0.79284042553191492</c:v>
                </c:pt>
                <c:pt idx="58">
                  <c:v>0.79284042553191492</c:v>
                </c:pt>
                <c:pt idx="59">
                  <c:v>0.79284042553191492</c:v>
                </c:pt>
                <c:pt idx="60">
                  <c:v>0.79284042553191492</c:v>
                </c:pt>
                <c:pt idx="61">
                  <c:v>0.79284042553191492</c:v>
                </c:pt>
                <c:pt idx="62">
                  <c:v>0.79284042553191492</c:v>
                </c:pt>
                <c:pt idx="63">
                  <c:v>0.79284042553191492</c:v>
                </c:pt>
                <c:pt idx="64">
                  <c:v>0.79284042553191492</c:v>
                </c:pt>
                <c:pt idx="65">
                  <c:v>0.79284042553191492</c:v>
                </c:pt>
                <c:pt idx="66">
                  <c:v>0.79284042553191492</c:v>
                </c:pt>
                <c:pt idx="67">
                  <c:v>0.79284042553191492</c:v>
                </c:pt>
                <c:pt idx="68">
                  <c:v>0.79284042553191492</c:v>
                </c:pt>
                <c:pt idx="69">
                  <c:v>0.79284042553191492</c:v>
                </c:pt>
                <c:pt idx="70">
                  <c:v>0.79284042553191492</c:v>
                </c:pt>
                <c:pt idx="71">
                  <c:v>0.79284042553191492</c:v>
                </c:pt>
                <c:pt idx="72">
                  <c:v>0.79284042553191492</c:v>
                </c:pt>
                <c:pt idx="73">
                  <c:v>0.79284042553191492</c:v>
                </c:pt>
                <c:pt idx="74">
                  <c:v>0.79284042553191492</c:v>
                </c:pt>
                <c:pt idx="75">
                  <c:v>0.79284042553191492</c:v>
                </c:pt>
                <c:pt idx="76">
                  <c:v>0.79284042553191492</c:v>
                </c:pt>
                <c:pt idx="77">
                  <c:v>0.79284042553191492</c:v>
                </c:pt>
                <c:pt idx="78">
                  <c:v>0.79284042553191492</c:v>
                </c:pt>
                <c:pt idx="79">
                  <c:v>0.79284042553191492</c:v>
                </c:pt>
                <c:pt idx="80">
                  <c:v>0.79284042553191492</c:v>
                </c:pt>
                <c:pt idx="81">
                  <c:v>0.79284042553191492</c:v>
                </c:pt>
                <c:pt idx="82">
                  <c:v>0.79284042553191492</c:v>
                </c:pt>
              </c:numCache>
            </c:numRef>
          </c:yVal>
          <c:smooth val="1"/>
          <c:extLst>
            <c:ext xmlns:c16="http://schemas.microsoft.com/office/drawing/2014/chart" uri="{C3380CC4-5D6E-409C-BE32-E72D297353CC}">
              <c16:uniqueId val="{00000004-477F-40DE-AE65-38EC41A12945}"/>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RTC!$C$69:$CG$69</c:f>
              <c:numCache>
                <c:formatCode>General</c:formatCode>
                <c:ptCount val="83"/>
                <c:pt idx="0">
                  <c:v>0.91549326621053717</c:v>
                </c:pt>
                <c:pt idx="1">
                  <c:v>0.91549326621053717</c:v>
                </c:pt>
                <c:pt idx="2">
                  <c:v>0.91549326621053717</c:v>
                </c:pt>
                <c:pt idx="3">
                  <c:v>0.91549326621053717</c:v>
                </c:pt>
                <c:pt idx="4">
                  <c:v>0.91549326621053717</c:v>
                </c:pt>
                <c:pt idx="5">
                  <c:v>0.91549326621053717</c:v>
                </c:pt>
                <c:pt idx="6">
                  <c:v>0.91549326621053717</c:v>
                </c:pt>
                <c:pt idx="7">
                  <c:v>0.91549326621053717</c:v>
                </c:pt>
                <c:pt idx="8">
                  <c:v>0.91549326621053717</c:v>
                </c:pt>
                <c:pt idx="9">
                  <c:v>0.91549326621053717</c:v>
                </c:pt>
                <c:pt idx="10">
                  <c:v>0.91549326621053717</c:v>
                </c:pt>
                <c:pt idx="11">
                  <c:v>0.91549326621053717</c:v>
                </c:pt>
                <c:pt idx="12">
                  <c:v>0.91549326621053717</c:v>
                </c:pt>
                <c:pt idx="13">
                  <c:v>0.91549326621053717</c:v>
                </c:pt>
                <c:pt idx="14">
                  <c:v>0.91549326621053717</c:v>
                </c:pt>
                <c:pt idx="15">
                  <c:v>0.91549326621053717</c:v>
                </c:pt>
                <c:pt idx="16">
                  <c:v>0.91549326621053717</c:v>
                </c:pt>
                <c:pt idx="17">
                  <c:v>0.91549326621053717</c:v>
                </c:pt>
                <c:pt idx="18">
                  <c:v>0.91549326621053717</c:v>
                </c:pt>
                <c:pt idx="19">
                  <c:v>0.91549326621053717</c:v>
                </c:pt>
                <c:pt idx="20">
                  <c:v>0.91549326621053717</c:v>
                </c:pt>
                <c:pt idx="21">
                  <c:v>0.91549326621053717</c:v>
                </c:pt>
                <c:pt idx="22">
                  <c:v>0.91549326621053717</c:v>
                </c:pt>
                <c:pt idx="23">
                  <c:v>0.91549326621053717</c:v>
                </c:pt>
                <c:pt idx="24">
                  <c:v>0.91549326621053717</c:v>
                </c:pt>
                <c:pt idx="25">
                  <c:v>0.91549326621053717</c:v>
                </c:pt>
                <c:pt idx="26">
                  <c:v>0.91549326621053717</c:v>
                </c:pt>
                <c:pt idx="27">
                  <c:v>0.91549326621053717</c:v>
                </c:pt>
                <c:pt idx="28">
                  <c:v>0.91549326621053717</c:v>
                </c:pt>
                <c:pt idx="29">
                  <c:v>0.91549326621053717</c:v>
                </c:pt>
                <c:pt idx="30">
                  <c:v>0.91549326621053717</c:v>
                </c:pt>
                <c:pt idx="31">
                  <c:v>0.91549326621053717</c:v>
                </c:pt>
                <c:pt idx="32">
                  <c:v>0.91549326621053717</c:v>
                </c:pt>
                <c:pt idx="33">
                  <c:v>0.91549326621053717</c:v>
                </c:pt>
                <c:pt idx="34">
                  <c:v>0.91549326621053717</c:v>
                </c:pt>
                <c:pt idx="35">
                  <c:v>0.91549326621053717</c:v>
                </c:pt>
                <c:pt idx="36">
                  <c:v>0.91549326621053717</c:v>
                </c:pt>
                <c:pt idx="37">
                  <c:v>0.91549326621053717</c:v>
                </c:pt>
                <c:pt idx="38">
                  <c:v>0.91549326621053717</c:v>
                </c:pt>
                <c:pt idx="39">
                  <c:v>0.91549326621053717</c:v>
                </c:pt>
                <c:pt idx="40">
                  <c:v>0.91549326621053717</c:v>
                </c:pt>
                <c:pt idx="41">
                  <c:v>0.91549326621053717</c:v>
                </c:pt>
                <c:pt idx="42">
                  <c:v>0.91549326621053717</c:v>
                </c:pt>
                <c:pt idx="43">
                  <c:v>0.91549326621053717</c:v>
                </c:pt>
                <c:pt idx="44">
                  <c:v>0.91549326621053717</c:v>
                </c:pt>
                <c:pt idx="45">
                  <c:v>0.91549326621053717</c:v>
                </c:pt>
                <c:pt idx="46">
                  <c:v>0.91549326621053717</c:v>
                </c:pt>
                <c:pt idx="47">
                  <c:v>0.91549326621053717</c:v>
                </c:pt>
                <c:pt idx="48">
                  <c:v>0.91549326621053717</c:v>
                </c:pt>
                <c:pt idx="49">
                  <c:v>0.91549326621053717</c:v>
                </c:pt>
                <c:pt idx="50">
                  <c:v>0.91549326621053717</c:v>
                </c:pt>
                <c:pt idx="51">
                  <c:v>0.91549326621053717</c:v>
                </c:pt>
                <c:pt idx="52">
                  <c:v>0.91549326621053717</c:v>
                </c:pt>
                <c:pt idx="53">
                  <c:v>0.91549326621053717</c:v>
                </c:pt>
                <c:pt idx="54">
                  <c:v>0.91549326621053717</c:v>
                </c:pt>
                <c:pt idx="55">
                  <c:v>0.91549326621053717</c:v>
                </c:pt>
                <c:pt idx="56">
                  <c:v>0.91549326621053717</c:v>
                </c:pt>
                <c:pt idx="57">
                  <c:v>0.91549326621053717</c:v>
                </c:pt>
                <c:pt idx="58">
                  <c:v>0.91549326621053717</c:v>
                </c:pt>
                <c:pt idx="59">
                  <c:v>0.91549326621053717</c:v>
                </c:pt>
                <c:pt idx="60">
                  <c:v>0.91549326621053717</c:v>
                </c:pt>
                <c:pt idx="61">
                  <c:v>0.91549326621053717</c:v>
                </c:pt>
                <c:pt idx="62">
                  <c:v>0.91549326621053717</c:v>
                </c:pt>
                <c:pt idx="63">
                  <c:v>0.91549326621053717</c:v>
                </c:pt>
                <c:pt idx="64">
                  <c:v>0.91549326621053717</c:v>
                </c:pt>
                <c:pt idx="65">
                  <c:v>0.91549326621053717</c:v>
                </c:pt>
                <c:pt idx="66">
                  <c:v>0.91549326621053717</c:v>
                </c:pt>
                <c:pt idx="67">
                  <c:v>0.91549326621053717</c:v>
                </c:pt>
                <c:pt idx="68">
                  <c:v>0.91549326621053717</c:v>
                </c:pt>
                <c:pt idx="69">
                  <c:v>0.91549326621053717</c:v>
                </c:pt>
                <c:pt idx="70">
                  <c:v>0.91549326621053717</c:v>
                </c:pt>
                <c:pt idx="71">
                  <c:v>0.91549326621053717</c:v>
                </c:pt>
                <c:pt idx="72">
                  <c:v>0.91549326621053717</c:v>
                </c:pt>
                <c:pt idx="73">
                  <c:v>0.91549326621053717</c:v>
                </c:pt>
                <c:pt idx="74">
                  <c:v>0.91549326621053717</c:v>
                </c:pt>
                <c:pt idx="75">
                  <c:v>0.91549326621053717</c:v>
                </c:pt>
                <c:pt idx="76">
                  <c:v>0.91549326621053717</c:v>
                </c:pt>
                <c:pt idx="77">
                  <c:v>0.91549326621053717</c:v>
                </c:pt>
                <c:pt idx="78">
                  <c:v>0.91549326621053717</c:v>
                </c:pt>
                <c:pt idx="79">
                  <c:v>0.91549326621053717</c:v>
                </c:pt>
                <c:pt idx="80">
                  <c:v>0.91549326621053717</c:v>
                </c:pt>
                <c:pt idx="81">
                  <c:v>0.91549326621053717</c:v>
                </c:pt>
                <c:pt idx="82">
                  <c:v>0.91549326621053717</c:v>
                </c:pt>
              </c:numCache>
            </c:numRef>
          </c:yVal>
          <c:smooth val="1"/>
          <c:extLst>
            <c:ext xmlns:c16="http://schemas.microsoft.com/office/drawing/2014/chart" uri="{C3380CC4-5D6E-409C-BE32-E72D297353CC}">
              <c16:uniqueId val="{00000005-477F-40DE-AE65-38EC41A12945}"/>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RTC!$C$70:$CG$70</c:f>
              <c:numCache>
                <c:formatCode>General</c:formatCode>
                <c:ptCount val="83"/>
                <c:pt idx="0">
                  <c:v>1.12124568258489</c:v>
                </c:pt>
                <c:pt idx="1">
                  <c:v>1.12124568258489</c:v>
                </c:pt>
                <c:pt idx="2">
                  <c:v>1.12124568258489</c:v>
                </c:pt>
                <c:pt idx="3">
                  <c:v>1.12124568258489</c:v>
                </c:pt>
                <c:pt idx="4">
                  <c:v>1.12124568258489</c:v>
                </c:pt>
                <c:pt idx="5">
                  <c:v>1.12124568258489</c:v>
                </c:pt>
                <c:pt idx="6">
                  <c:v>1.12124568258489</c:v>
                </c:pt>
                <c:pt idx="7">
                  <c:v>1.12124568258489</c:v>
                </c:pt>
                <c:pt idx="8">
                  <c:v>1.12124568258489</c:v>
                </c:pt>
                <c:pt idx="9">
                  <c:v>1.12124568258489</c:v>
                </c:pt>
                <c:pt idx="10">
                  <c:v>1.12124568258489</c:v>
                </c:pt>
                <c:pt idx="11">
                  <c:v>1.12124568258489</c:v>
                </c:pt>
                <c:pt idx="12">
                  <c:v>1.12124568258489</c:v>
                </c:pt>
                <c:pt idx="13">
                  <c:v>1.12124568258489</c:v>
                </c:pt>
                <c:pt idx="14">
                  <c:v>1.12124568258489</c:v>
                </c:pt>
                <c:pt idx="15">
                  <c:v>1.12124568258489</c:v>
                </c:pt>
                <c:pt idx="16">
                  <c:v>1.12124568258489</c:v>
                </c:pt>
                <c:pt idx="17">
                  <c:v>1.12124568258489</c:v>
                </c:pt>
                <c:pt idx="18">
                  <c:v>1.12124568258489</c:v>
                </c:pt>
                <c:pt idx="19">
                  <c:v>1.12124568258489</c:v>
                </c:pt>
                <c:pt idx="20">
                  <c:v>1.12124568258489</c:v>
                </c:pt>
                <c:pt idx="21">
                  <c:v>1.12124568258489</c:v>
                </c:pt>
                <c:pt idx="22">
                  <c:v>1.12124568258489</c:v>
                </c:pt>
                <c:pt idx="23">
                  <c:v>1.12124568258489</c:v>
                </c:pt>
                <c:pt idx="24">
                  <c:v>1.12124568258489</c:v>
                </c:pt>
                <c:pt idx="25">
                  <c:v>1.12124568258489</c:v>
                </c:pt>
                <c:pt idx="26">
                  <c:v>1.12124568258489</c:v>
                </c:pt>
                <c:pt idx="27">
                  <c:v>1.12124568258489</c:v>
                </c:pt>
                <c:pt idx="28">
                  <c:v>1.12124568258489</c:v>
                </c:pt>
                <c:pt idx="29">
                  <c:v>1.12124568258489</c:v>
                </c:pt>
                <c:pt idx="30">
                  <c:v>1.12124568258489</c:v>
                </c:pt>
                <c:pt idx="31">
                  <c:v>1.12124568258489</c:v>
                </c:pt>
                <c:pt idx="32">
                  <c:v>1.12124568258489</c:v>
                </c:pt>
                <c:pt idx="33">
                  <c:v>1.12124568258489</c:v>
                </c:pt>
                <c:pt idx="34">
                  <c:v>1.12124568258489</c:v>
                </c:pt>
                <c:pt idx="35">
                  <c:v>1.12124568258489</c:v>
                </c:pt>
                <c:pt idx="36">
                  <c:v>1.12124568258489</c:v>
                </c:pt>
                <c:pt idx="37">
                  <c:v>1.12124568258489</c:v>
                </c:pt>
                <c:pt idx="38">
                  <c:v>1.12124568258489</c:v>
                </c:pt>
                <c:pt idx="39">
                  <c:v>1.12124568258489</c:v>
                </c:pt>
                <c:pt idx="40">
                  <c:v>1.12124568258489</c:v>
                </c:pt>
                <c:pt idx="41">
                  <c:v>1.12124568258489</c:v>
                </c:pt>
                <c:pt idx="42">
                  <c:v>1.12124568258489</c:v>
                </c:pt>
                <c:pt idx="43">
                  <c:v>1.12124568258489</c:v>
                </c:pt>
                <c:pt idx="44">
                  <c:v>1.12124568258489</c:v>
                </c:pt>
                <c:pt idx="45">
                  <c:v>1.12124568258489</c:v>
                </c:pt>
                <c:pt idx="46">
                  <c:v>1.12124568258489</c:v>
                </c:pt>
                <c:pt idx="47">
                  <c:v>1.12124568258489</c:v>
                </c:pt>
                <c:pt idx="48">
                  <c:v>1.12124568258489</c:v>
                </c:pt>
                <c:pt idx="49">
                  <c:v>1.12124568258489</c:v>
                </c:pt>
                <c:pt idx="50">
                  <c:v>1.12124568258489</c:v>
                </c:pt>
                <c:pt idx="51">
                  <c:v>1.12124568258489</c:v>
                </c:pt>
                <c:pt idx="52">
                  <c:v>1.12124568258489</c:v>
                </c:pt>
                <c:pt idx="53">
                  <c:v>1.12124568258489</c:v>
                </c:pt>
                <c:pt idx="54">
                  <c:v>1.12124568258489</c:v>
                </c:pt>
                <c:pt idx="55">
                  <c:v>1.12124568258489</c:v>
                </c:pt>
                <c:pt idx="56">
                  <c:v>1.12124568258489</c:v>
                </c:pt>
                <c:pt idx="57">
                  <c:v>1.12124568258489</c:v>
                </c:pt>
                <c:pt idx="58">
                  <c:v>1.12124568258489</c:v>
                </c:pt>
                <c:pt idx="59">
                  <c:v>1.12124568258489</c:v>
                </c:pt>
                <c:pt idx="60">
                  <c:v>1.12124568258489</c:v>
                </c:pt>
                <c:pt idx="61">
                  <c:v>1.12124568258489</c:v>
                </c:pt>
                <c:pt idx="62">
                  <c:v>1.12124568258489</c:v>
                </c:pt>
                <c:pt idx="63">
                  <c:v>1.12124568258489</c:v>
                </c:pt>
                <c:pt idx="64">
                  <c:v>1.12124568258489</c:v>
                </c:pt>
                <c:pt idx="65">
                  <c:v>1.12124568258489</c:v>
                </c:pt>
                <c:pt idx="66">
                  <c:v>1.12124568258489</c:v>
                </c:pt>
                <c:pt idx="67">
                  <c:v>1.12124568258489</c:v>
                </c:pt>
                <c:pt idx="68">
                  <c:v>1.12124568258489</c:v>
                </c:pt>
                <c:pt idx="69">
                  <c:v>1.12124568258489</c:v>
                </c:pt>
                <c:pt idx="70">
                  <c:v>1.12124568258489</c:v>
                </c:pt>
                <c:pt idx="71">
                  <c:v>1.12124568258489</c:v>
                </c:pt>
                <c:pt idx="72">
                  <c:v>1.12124568258489</c:v>
                </c:pt>
                <c:pt idx="73">
                  <c:v>1.12124568258489</c:v>
                </c:pt>
                <c:pt idx="74">
                  <c:v>1.12124568258489</c:v>
                </c:pt>
                <c:pt idx="75">
                  <c:v>1.12124568258489</c:v>
                </c:pt>
                <c:pt idx="76">
                  <c:v>1.12124568258489</c:v>
                </c:pt>
                <c:pt idx="77">
                  <c:v>1.12124568258489</c:v>
                </c:pt>
                <c:pt idx="78">
                  <c:v>1.12124568258489</c:v>
                </c:pt>
                <c:pt idx="79">
                  <c:v>1.12124568258489</c:v>
                </c:pt>
                <c:pt idx="80">
                  <c:v>1.12124568258489</c:v>
                </c:pt>
                <c:pt idx="81">
                  <c:v>1.12124568258489</c:v>
                </c:pt>
                <c:pt idx="82">
                  <c:v>1.12124568258489</c:v>
                </c:pt>
              </c:numCache>
            </c:numRef>
          </c:yVal>
          <c:smooth val="1"/>
          <c:extLst>
            <c:ext xmlns:c16="http://schemas.microsoft.com/office/drawing/2014/chart" uri="{C3380CC4-5D6E-409C-BE32-E72D297353CC}">
              <c16:uniqueId val="{00000006-477F-40DE-AE65-38EC41A12945}"/>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1921.5837087114464</c:v>
                </c:pt>
                <c:pt idx="39">
                  <c:v>6.499999999999007</c:v>
                </c:pt>
                <c:pt idx="40">
                  <c:v>3.2529106029008803</c:v>
                </c:pt>
                <c:pt idx="41">
                  <c:v>2.4982667258847973</c:v>
                </c:pt>
                <c:pt idx="42">
                  <c:v>2.1257309304031207</c:v>
                </c:pt>
                <c:pt idx="43">
                  <c:v>1.8960339956097945</c:v>
                </c:pt>
                <c:pt idx="44">
                  <c:v>1.7376131616797115</c:v>
                </c:pt>
                <c:pt idx="45">
                  <c:v>1.6206354136476369</c:v>
                </c:pt>
                <c:pt idx="46">
                  <c:v>1.5301841113520063</c:v>
                </c:pt>
                <c:pt idx="47">
                  <c:v>1.4578754741100259</c:v>
                </c:pt>
                <c:pt idx="48">
                  <c:v>1.3985939180008431</c:v>
                </c:pt>
                <c:pt idx="49">
                  <c:v>1.3490213172523273</c:v>
                </c:pt>
                <c:pt idx="50">
                  <c:v>1.3069011244615849</c:v>
                </c:pt>
                <c:pt idx="51">
                  <c:v>1.2706396576782892</c:v>
                </c:pt>
                <c:pt idx="52">
                  <c:v>1.2390760932765092</c:v>
                </c:pt>
                <c:pt idx="53">
                  <c:v>1.2113428740117067</c:v>
                </c:pt>
                <c:pt idx="54">
                  <c:v>1.1867773590313537</c:v>
                </c:pt>
                <c:pt idx="55">
                  <c:v>1.1648638953701158</c:v>
                </c:pt>
                <c:pt idx="56">
                  <c:v>1.1451946731274369</c:v>
                </c:pt>
                <c:pt idx="57">
                  <c:v>1.1274425752841599</c:v>
                </c:pt>
                <c:pt idx="58">
                  <c:v>1.1113419135083229</c:v>
                </c:pt>
                <c:pt idx="59">
                  <c:v>1.0966744827478272</c:v>
                </c:pt>
                <c:pt idx="60">
                  <c:v>1.0832592849365161</c:v>
                </c:pt>
                <c:pt idx="61">
                  <c:v>1.0709448350980926</c:v>
                </c:pt>
                <c:pt idx="62">
                  <c:v>1.0596033179556184</c:v>
                </c:pt>
                <c:pt idx="63">
                  <c:v>1.0491260922331147</c:v>
                </c:pt>
                <c:pt idx="64">
                  <c:v>1.0394201909627108</c:v>
                </c:pt>
                <c:pt idx="65">
                  <c:v>1.0304055677788071</c:v>
                </c:pt>
                <c:pt idx="66">
                  <c:v>1.022012908801389</c:v>
                </c:pt>
                <c:pt idx="67">
                  <c:v>1.0141818781648655</c:v>
                </c:pt>
                <c:pt idx="68">
                  <c:v>1.0068596994765564</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477F-40DE-AE65-38EC41A12945}"/>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RTC!$C$31:$CG$31</c:f>
              <c:numCache>
                <c:formatCode>General</c:formatCode>
                <c:ptCount val="83"/>
                <c:pt idx="0">
                  <c:v>0.68571428571428572</c:v>
                </c:pt>
                <c:pt idx="1">
                  <c:v>0.68571428571428572</c:v>
                </c:pt>
                <c:pt idx="2">
                  <c:v>0.68571428571428572</c:v>
                </c:pt>
                <c:pt idx="3">
                  <c:v>0.68571428571428572</c:v>
                </c:pt>
                <c:pt idx="4">
                  <c:v>0.68571428571428572</c:v>
                </c:pt>
                <c:pt idx="5">
                  <c:v>0.68571428571428572</c:v>
                </c:pt>
                <c:pt idx="6">
                  <c:v>0.68571428571428572</c:v>
                </c:pt>
                <c:pt idx="7">
                  <c:v>0.68571428571428572</c:v>
                </c:pt>
                <c:pt idx="8">
                  <c:v>0.68571428571428572</c:v>
                </c:pt>
                <c:pt idx="9">
                  <c:v>0.68571428571428572</c:v>
                </c:pt>
                <c:pt idx="10">
                  <c:v>0.68571428571428572</c:v>
                </c:pt>
                <c:pt idx="11">
                  <c:v>0.68571428571428572</c:v>
                </c:pt>
                <c:pt idx="12">
                  <c:v>0.68571428571428572</c:v>
                </c:pt>
                <c:pt idx="13">
                  <c:v>0.68571428571428572</c:v>
                </c:pt>
                <c:pt idx="14">
                  <c:v>0.68571428571428572</c:v>
                </c:pt>
                <c:pt idx="15">
                  <c:v>0.68571428571428572</c:v>
                </c:pt>
                <c:pt idx="16">
                  <c:v>0.68571428571428572</c:v>
                </c:pt>
                <c:pt idx="17">
                  <c:v>0.68571428571428572</c:v>
                </c:pt>
                <c:pt idx="18">
                  <c:v>0.68571428571428572</c:v>
                </c:pt>
                <c:pt idx="19">
                  <c:v>0.68571428571428572</c:v>
                </c:pt>
                <c:pt idx="20">
                  <c:v>0.68571428571428572</c:v>
                </c:pt>
                <c:pt idx="21">
                  <c:v>0.68571428571428572</c:v>
                </c:pt>
                <c:pt idx="22">
                  <c:v>0.68571428571428572</c:v>
                </c:pt>
                <c:pt idx="23">
                  <c:v>0.68571428571428572</c:v>
                </c:pt>
                <c:pt idx="24">
                  <c:v>0.68571428571428572</c:v>
                </c:pt>
                <c:pt idx="25">
                  <c:v>0.68571428571428572</c:v>
                </c:pt>
                <c:pt idx="26">
                  <c:v>0.68571428571428572</c:v>
                </c:pt>
                <c:pt idx="27">
                  <c:v>0.68571428571428572</c:v>
                </c:pt>
                <c:pt idx="28">
                  <c:v>0.68571428571428572</c:v>
                </c:pt>
                <c:pt idx="29">
                  <c:v>0.68571428571428572</c:v>
                </c:pt>
                <c:pt idx="30">
                  <c:v>0.68571428571428572</c:v>
                </c:pt>
                <c:pt idx="31">
                  <c:v>0.68571428571428572</c:v>
                </c:pt>
                <c:pt idx="32">
                  <c:v>0.68571428571428572</c:v>
                </c:pt>
                <c:pt idx="33">
                  <c:v>0.68571428571428572</c:v>
                </c:pt>
                <c:pt idx="34">
                  <c:v>0.68571428571428572</c:v>
                </c:pt>
                <c:pt idx="35">
                  <c:v>0.68571428571428572</c:v>
                </c:pt>
                <c:pt idx="36">
                  <c:v>0.68571428571428572</c:v>
                </c:pt>
                <c:pt idx="37">
                  <c:v>0.68571428571428572</c:v>
                </c:pt>
                <c:pt idx="38">
                  <c:v>0.68571428571428572</c:v>
                </c:pt>
                <c:pt idx="39">
                  <c:v>0.68571428571428572</c:v>
                </c:pt>
                <c:pt idx="40">
                  <c:v>0.68571428571428572</c:v>
                </c:pt>
                <c:pt idx="41">
                  <c:v>0.68571428571428572</c:v>
                </c:pt>
                <c:pt idx="42">
                  <c:v>0.68571428571428572</c:v>
                </c:pt>
                <c:pt idx="43">
                  <c:v>0.68571428571428572</c:v>
                </c:pt>
                <c:pt idx="44">
                  <c:v>0.68571428571428572</c:v>
                </c:pt>
                <c:pt idx="45">
                  <c:v>0.68571428571428572</c:v>
                </c:pt>
                <c:pt idx="46">
                  <c:v>0.68571428571428572</c:v>
                </c:pt>
                <c:pt idx="47">
                  <c:v>0.68571428571428572</c:v>
                </c:pt>
                <c:pt idx="48">
                  <c:v>0.68571428571428572</c:v>
                </c:pt>
                <c:pt idx="49">
                  <c:v>0.68571428571428572</c:v>
                </c:pt>
                <c:pt idx="50">
                  <c:v>0.68571428571428572</c:v>
                </c:pt>
                <c:pt idx="51">
                  <c:v>0.68571428571428572</c:v>
                </c:pt>
                <c:pt idx="52">
                  <c:v>0.68571428571428572</c:v>
                </c:pt>
                <c:pt idx="53">
                  <c:v>0.68571428571428572</c:v>
                </c:pt>
                <c:pt idx="54">
                  <c:v>0.68571428571428572</c:v>
                </c:pt>
                <c:pt idx="55">
                  <c:v>0.68571428571428572</c:v>
                </c:pt>
                <c:pt idx="56">
                  <c:v>0.68571428571428572</c:v>
                </c:pt>
                <c:pt idx="57">
                  <c:v>0.68571428571428572</c:v>
                </c:pt>
                <c:pt idx="58">
                  <c:v>0.68571428571428572</c:v>
                </c:pt>
                <c:pt idx="59">
                  <c:v>0.68571428571428572</c:v>
                </c:pt>
                <c:pt idx="60">
                  <c:v>0.68571428571428572</c:v>
                </c:pt>
                <c:pt idx="61">
                  <c:v>0.68571428571428572</c:v>
                </c:pt>
                <c:pt idx="62">
                  <c:v>0.68571428571428572</c:v>
                </c:pt>
                <c:pt idx="63">
                  <c:v>0.68571428571428572</c:v>
                </c:pt>
                <c:pt idx="64">
                  <c:v>0.68571428571428572</c:v>
                </c:pt>
                <c:pt idx="65">
                  <c:v>0.68571428571428572</c:v>
                </c:pt>
                <c:pt idx="66">
                  <c:v>0.68571428571428572</c:v>
                </c:pt>
                <c:pt idx="67">
                  <c:v>0.68571428571428572</c:v>
                </c:pt>
                <c:pt idx="68">
                  <c:v>0.68571428571428572</c:v>
                </c:pt>
                <c:pt idx="69">
                  <c:v>0.68571428571428572</c:v>
                </c:pt>
                <c:pt idx="70">
                  <c:v>0.68571428571428572</c:v>
                </c:pt>
                <c:pt idx="71">
                  <c:v>0.68571428571428572</c:v>
                </c:pt>
                <c:pt idx="72">
                  <c:v>0.68571428571428572</c:v>
                </c:pt>
                <c:pt idx="73">
                  <c:v>0.68571428571428572</c:v>
                </c:pt>
                <c:pt idx="74">
                  <c:v>0.68571428571428572</c:v>
                </c:pt>
                <c:pt idx="75">
                  <c:v>0.68571428571428572</c:v>
                </c:pt>
                <c:pt idx="76">
                  <c:v>0.68571428571428572</c:v>
                </c:pt>
                <c:pt idx="77">
                  <c:v>0.68571428571428572</c:v>
                </c:pt>
                <c:pt idx="78">
                  <c:v>0.68571428571428572</c:v>
                </c:pt>
                <c:pt idx="79">
                  <c:v>0.68571428571428572</c:v>
                </c:pt>
                <c:pt idx="80">
                  <c:v>0.68571428571428572</c:v>
                </c:pt>
                <c:pt idx="81">
                  <c:v>0.68571428571428572</c:v>
                </c:pt>
                <c:pt idx="82">
                  <c:v>0.68571428571428572</c:v>
                </c:pt>
              </c:numCache>
            </c:numRef>
          </c:yVal>
          <c:smooth val="1"/>
          <c:extLst>
            <c:ext xmlns:c16="http://schemas.microsoft.com/office/drawing/2014/chart" uri="{C3380CC4-5D6E-409C-BE32-E72D297353CC}">
              <c16:uniqueId val="{00000008-477F-40DE-AE65-38EC41A12945}"/>
            </c:ext>
          </c:extLst>
        </c:ser>
        <c:dLbls>
          <c:showLegendKey val="0"/>
          <c:showVal val="0"/>
          <c:showCatName val="0"/>
          <c:showSerName val="0"/>
          <c:showPercent val="0"/>
          <c:showBubbleSize val="0"/>
        </c:dLbls>
        <c:axId val="23431477"/>
        <c:axId val="52755416"/>
      </c:scatterChart>
      <c:valAx>
        <c:axId val="23431477"/>
        <c:scaling>
          <c:orientation val="minMax"/>
          <c:max val="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2755416"/>
        <c:crosses val="autoZero"/>
        <c:crossBetween val="midCat"/>
      </c:valAx>
      <c:valAx>
        <c:axId val="52755416"/>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3431477"/>
        <c:crosses val="autoZero"/>
        <c:crossBetween val="midCat"/>
      </c:valAx>
      <c:spPr>
        <a:noFill/>
        <a:ln w="0">
          <a:noFill/>
        </a:ln>
      </c:spPr>
    </c:plotArea>
    <c:legend>
      <c:legendPos val="r"/>
      <c:layout>
        <c:manualLayout>
          <c:xMode val="edge"/>
          <c:yMode val="edge"/>
          <c:x val="0.63048927034525304"/>
          <c:y val="0.169142867158386"/>
          <c:w val="0.289676105277133"/>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ZOOM: Voltage Gain curve vs Minimum Required Gain for PFC regulation@Vin_max</a:t>
            </a:r>
          </a:p>
        </c:rich>
      </c:tx>
      <c:layout>
        <c:manualLayout>
          <c:xMode val="edge"/>
          <c:yMode val="edge"/>
          <c:x val="0.16144301470588199"/>
          <c:y val="2.3303406390282499E-2"/>
        </c:manualLayout>
      </c:layout>
      <c:overlay val="0"/>
      <c:spPr>
        <a:noFill/>
        <a:ln w="0">
          <a:noFill/>
        </a:ln>
      </c:spPr>
    </c:title>
    <c:autoTitleDeleted val="0"/>
    <c:plotArea>
      <c:layout>
        <c:manualLayout>
          <c:layoutTarget val="inner"/>
          <c:xMode val="edge"/>
          <c:yMode val="edge"/>
          <c:x val="0.125367647058824"/>
          <c:y val="0.141800897808292"/>
          <c:w val="0.82624080882353002"/>
          <c:h val="0.73679693688935799"/>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RTC!$C$28:$CG$28</c:f>
              <c:numCache>
                <c:formatCode>General</c:formatCode>
                <c:ptCount val="83"/>
                <c:pt idx="0">
                  <c:v>2.1818182512396718E-8</c:v>
                </c:pt>
                <c:pt idx="1">
                  <c:v>1.2886419367458453E-3</c:v>
                </c:pt>
                <c:pt idx="2">
                  <c:v>3.2957540508757933E-3</c:v>
                </c:pt>
                <c:pt idx="3">
                  <c:v>6.2466838217803949E-3</c:v>
                </c:pt>
                <c:pt idx="4">
                  <c:v>1.0165634844491057E-2</c:v>
                </c:pt>
                <c:pt idx="5">
                  <c:v>1.5085230808885637E-2</c:v>
                </c:pt>
                <c:pt idx="6">
                  <c:v>2.104720710419164E-2</c:v>
                </c:pt>
                <c:pt idx="7">
                  <c:v>2.8103319587713758E-2</c:v>
                </c:pt>
                <c:pt idx="8">
                  <c:v>3.6316508449383139E-2</c:v>
                </c:pt>
                <c:pt idx="9">
                  <c:v>4.5762367743434479E-2</c:v>
                </c:pt>
                <c:pt idx="10">
                  <c:v>5.6530987448607108E-2</c:v>
                </c:pt>
                <c:pt idx="11">
                  <c:v>6.8729256295102084E-2</c:v>
                </c:pt>
                <c:pt idx="12">
                  <c:v>8.2483742085161724E-2</c:v>
                </c:pt>
                <c:pt idx="13">
                  <c:v>9.7944304735298124E-2</c:v>
                </c:pt>
                <c:pt idx="14">
                  <c:v>0.11528864999952876</c:v>
                </c:pt>
                <c:pt idx="15">
                  <c:v>0.1347281050187448</c:v>
                </c:pt>
                <c:pt idx="16">
                  <c:v>0.15651499980883612</c:v>
                </c:pt>
                <c:pt idx="17">
                  <c:v>0.18095218575415503</c:v>
                </c:pt>
                <c:pt idx="18">
                  <c:v>0.20840543512238516</c:v>
                </c:pt>
                <c:pt idx="19">
                  <c:v>0.23931977930378859</c:v>
                </c:pt>
                <c:pt idx="20">
                  <c:v>0.27424131386312434</c:v>
                </c:pt>
                <c:pt idx="21">
                  <c:v>0.31384671772931005</c:v>
                </c:pt>
                <c:pt idx="22">
                  <c:v>0.3589838574142431</c:v>
                </c:pt>
                <c:pt idx="23">
                  <c:v>0.41072864448862639</c:v>
                </c:pt>
                <c:pt idx="24">
                  <c:v>0.47046626668653735</c:v>
                </c:pt>
                <c:pt idx="25">
                  <c:v>0.54000990781304037</c:v>
                </c:pt>
                <c:pt idx="26">
                  <c:v>0.62177881033586746</c:v>
                </c:pt>
                <c:pt idx="27">
                  <c:v>0.71907341857608231</c:v>
                </c:pt>
                <c:pt idx="28">
                  <c:v>0.83651551018079373</c:v>
                </c:pt>
                <c:pt idx="29">
                  <c:v>0.98078153994784389</c:v>
                </c:pt>
                <c:pt idx="30">
                  <c:v>1.1618855338834528</c:v>
                </c:pt>
                <c:pt idx="31">
                  <c:v>1.3955605407023011</c:v>
                </c:pt>
                <c:pt idx="32">
                  <c:v>1.70801881699095</c:v>
                </c:pt>
                <c:pt idx="33">
                  <c:v>2.1464163817304032</c:v>
                </c:pt>
                <c:pt idx="34">
                  <c:v>2.8049873938594398</c:v>
                </c:pt>
                <c:pt idx="35">
                  <c:v>3.9033273688464369</c:v>
                </c:pt>
                <c:pt idx="36">
                  <c:v>6.098718634915044</c:v>
                </c:pt>
                <c:pt idx="37">
                  <c:v>12.659566924581251</c:v>
                </c:pt>
                <c:pt idx="38">
                  <c:v>1921.5837087114464</c:v>
                </c:pt>
                <c:pt idx="39">
                  <c:v>42.249999999987104</c:v>
                </c:pt>
                <c:pt idx="40">
                  <c:v>10.581427390464974</c:v>
                </c:pt>
                <c:pt idx="41">
                  <c:v>6.2413366336631526</c:v>
                </c:pt>
                <c:pt idx="42">
                  <c:v>4.5187319884725161</c:v>
                </c:pt>
                <c:pt idx="43">
                  <c:v>3.5949449125080415</c:v>
                </c:pt>
                <c:pt idx="44">
                  <c:v>3.0192994996425648</c:v>
                </c:pt>
                <c:pt idx="45">
                  <c:v>2.6264591439688467</c:v>
                </c:pt>
                <c:pt idx="46">
                  <c:v>2.3414634146341284</c:v>
                </c:pt>
                <c:pt idx="47">
                  <c:v>2.1254008980115326</c:v>
                </c:pt>
                <c:pt idx="48">
                  <c:v>1.9560649474689491</c:v>
                </c:pt>
                <c:pt idx="49">
                  <c:v>1.8198585144012047</c:v>
                </c:pt>
                <c:pt idx="50">
                  <c:v>1.7079905491189553</c:v>
                </c:pt>
                <c:pt idx="51">
                  <c:v>1.6145251396647997</c:v>
                </c:pt>
                <c:pt idx="52">
                  <c:v>1.5353095649293769</c:v>
                </c:pt>
                <c:pt idx="53">
                  <c:v>1.4673515584189416</c:v>
                </c:pt>
                <c:pt idx="54">
                  <c:v>1.4084404999094342</c:v>
                </c:pt>
                <c:pt idx="55">
                  <c:v>1.35690789473684</c:v>
                </c:pt>
                <c:pt idx="56">
                  <c:v>1.3114708393594574</c:v>
                </c:pt>
                <c:pt idx="57">
                  <c:v>1.2711267605633787</c:v>
                </c:pt>
                <c:pt idx="58">
                  <c:v>1.2350808487203404</c:v>
                </c:pt>
                <c:pt idx="59">
                  <c:v>1.2026949211102145</c:v>
                </c:pt>
                <c:pt idx="60">
                  <c:v>1.1734506784011727</c:v>
                </c:pt>
                <c:pt idx="61">
                  <c:v>1.1469228398232809</c:v>
                </c:pt>
                <c:pt idx="62">
                  <c:v>1.1227591914225556</c:v>
                </c:pt>
                <c:pt idx="63">
                  <c:v>1.1006655574043258</c:v>
                </c:pt>
                <c:pt idx="64">
                  <c:v>1.080394333380958</c:v>
                </c:pt>
                <c:pt idx="65">
                  <c:v>1.0617356341095658</c:v>
                </c:pt>
                <c:pt idx="66">
                  <c:v>1.0445103857566764</c:v>
                </c:pt>
                <c:pt idx="67">
                  <c:v>1.0285648819980142</c:v>
                </c:pt>
                <c:pt idx="68">
                  <c:v>1.0137664544300213</c:v>
                </c:pt>
                <c:pt idx="69">
                  <c:v>1</c:v>
                </c:pt>
                <c:pt idx="70">
                  <c:v>0.92687605964801134</c:v>
                </c:pt>
                <c:pt idx="71">
                  <c:v>0.87793233473094412</c:v>
                </c:pt>
                <c:pt idx="72">
                  <c:v>0.8432116897802775</c:v>
                </c:pt>
                <c:pt idx="73">
                  <c:v>0.81751431221486071</c:v>
                </c:pt>
                <c:pt idx="74">
                  <c:v>0.79786908756308172</c:v>
                </c:pt>
                <c:pt idx="75">
                  <c:v>0.78246071684854068</c:v>
                </c:pt>
                <c:pt idx="76">
                  <c:v>0.7701209595806876</c:v>
                </c:pt>
                <c:pt idx="77">
                  <c:v>0.76006613168945525</c:v>
                </c:pt>
                <c:pt idx="78">
                  <c:v>0.75175235378607119</c:v>
                </c:pt>
                <c:pt idx="79">
                  <c:v>0.74479131918510189</c:v>
                </c:pt>
                <c:pt idx="80">
                  <c:v>0.73889904941593587</c:v>
                </c:pt>
                <c:pt idx="81">
                  <c:v>0.73386352963092394</c:v>
                </c:pt>
                <c:pt idx="82">
                  <c:v>0.72952360451323239</c:v>
                </c:pt>
              </c:numCache>
            </c:numRef>
          </c:yVal>
          <c:smooth val="1"/>
          <c:extLst>
            <c:ext xmlns:c16="http://schemas.microsoft.com/office/drawing/2014/chart" uri="{C3380CC4-5D6E-409C-BE32-E72D297353CC}">
              <c16:uniqueId val="{00000000-D8BB-4DE4-8C45-BB2903F290C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RTC!$C$47:$CG$47</c:f>
              <c:numCache>
                <c:formatCode>General</c:formatCode>
                <c:ptCount val="83"/>
                <c:pt idx="0">
                  <c:v>2.1818182382492675E-8</c:v>
                </c:pt>
                <c:pt idx="1">
                  <c:v>1.2881887010930794E-3</c:v>
                </c:pt>
                <c:pt idx="2">
                  <c:v>3.2927886442313385E-3</c:v>
                </c:pt>
                <c:pt idx="3">
                  <c:v>6.2360266346062031E-3</c:v>
                </c:pt>
                <c:pt idx="4">
                  <c:v>1.0137396704165301E-2</c:v>
                </c:pt>
                <c:pt idx="5">
                  <c:v>1.5023007895528954E-2</c:v>
                </c:pt>
                <c:pt idx="6">
                  <c:v>2.0925987778792478E-2</c:v>
                </c:pt>
                <c:pt idx="7">
                  <c:v>2.7887001276361342E-2</c:v>
                </c:pt>
                <c:pt idx="8">
                  <c:v>3.5954897539339017E-2</c:v>
                </c:pt>
                <c:pt idx="9">
                  <c:v>4.5187500817546217E-2</c:v>
                </c:pt>
                <c:pt idx="10">
                  <c:v>5.5652564835327163E-2</c:v>
                </c:pt>
                <c:pt idx="11">
                  <c:v>6.7428914152122668E-2</c:v>
                </c:pt>
                <c:pt idx="12">
                  <c:v>8.0607800331455051E-2</c:v>
                </c:pt>
                <c:pt idx="13">
                  <c:v>9.5294505365001059E-2</c:v>
                </c:pt>
                <c:pt idx="14">
                  <c:v>0.11161022945863958</c:v>
                </c:pt>
                <c:pt idx="15">
                  <c:v>0.12969430450041747</c:v>
                </c:pt>
                <c:pt idx="16">
                  <c:v>0.14970677740192706</c:v>
                </c:pt>
                <c:pt idx="17">
                  <c:v>0.17183140745740369</c:v>
                </c:pt>
                <c:pt idx="18">
                  <c:v>0.19627911619524036</c:v>
                </c:pt>
                <c:pt idx="19">
                  <c:v>0.22329191235764032</c:v>
                </c:pt>
                <c:pt idx="20">
                  <c:v>0.25314728109657647</c:v>
                </c:pt>
                <c:pt idx="21">
                  <c:v>0.28616296286546417</c:v>
                </c:pt>
                <c:pt idx="22">
                  <c:v>0.32270193381356715</c:v>
                </c:pt>
                <c:pt idx="23">
                  <c:v>0.36317720380577329</c:v>
                </c:pt>
                <c:pt idx="24">
                  <c:v>0.40805572039200749</c:v>
                </c:pt>
                <c:pt idx="25">
                  <c:v>0.45786013065995684</c:v>
                </c:pt>
                <c:pt idx="26">
                  <c:v>0.51316629609248432</c:v>
                </c:pt>
                <c:pt idx="27">
                  <c:v>0.57459312657902117</c:v>
                </c:pt>
                <c:pt idx="28">
                  <c:v>0.64277932160959372</c:v>
                </c:pt>
                <c:pt idx="29">
                  <c:v>0.71833884691119299</c:v>
                </c:pt>
                <c:pt idx="30">
                  <c:v>0.80178354597124124</c:v>
                </c:pt>
                <c:pt idx="31">
                  <c:v>0.89339801137383779</c:v>
                </c:pt>
                <c:pt idx="32">
                  <c:v>0.99305115057053139</c:v>
                </c:pt>
                <c:pt idx="33">
                  <c:v>1.0999361156437204</c:v>
                </c:pt>
                <c:pt idx="34">
                  <c:v>1.2122544795938535</c:v>
                </c:pt>
                <c:pt idx="35">
                  <c:v>1.3269116345880969</c:v>
                </c:pt>
                <c:pt idx="36">
                  <c:v>1.4393666612797296</c:v>
                </c:pt>
                <c:pt idx="37">
                  <c:v>1.5438437181055409</c:v>
                </c:pt>
                <c:pt idx="38">
                  <c:v>1.634075089047597</c:v>
                </c:pt>
                <c:pt idx="39">
                  <c:v>1.6593385553953328</c:v>
                </c:pt>
                <c:pt idx="40">
                  <c:v>1.7224809596753172</c:v>
                </c:pt>
                <c:pt idx="41">
                  <c:v>1.7617858065342098</c:v>
                </c:pt>
                <c:pt idx="42">
                  <c:v>1.7775007606476596</c:v>
                </c:pt>
                <c:pt idx="43">
                  <c:v>1.7723770936820213</c:v>
                </c:pt>
                <c:pt idx="44">
                  <c:v>1.7506688032071991</c:v>
                </c:pt>
                <c:pt idx="45">
                  <c:v>1.7170352094878036</c:v>
                </c:pt>
                <c:pt idx="46">
                  <c:v>1.6757354437264311</c:v>
                </c:pt>
                <c:pt idx="47">
                  <c:v>1.6302254633798372</c:v>
                </c:pt>
                <c:pt idx="48">
                  <c:v>1.5830741957458498</c:v>
                </c:pt>
                <c:pt idx="49">
                  <c:v>1.5360596375513149</c:v>
                </c:pt>
                <c:pt idx="50">
                  <c:v>1.4903324554146884</c:v>
                </c:pt>
                <c:pt idx="51">
                  <c:v>1.446581713956461</c:v>
                </c:pt>
                <c:pt idx="52">
                  <c:v>1.4051745142564538</c:v>
                </c:pt>
                <c:pt idx="53">
                  <c:v>1.3662628198799427</c:v>
                </c:pt>
                <c:pt idx="54">
                  <c:v>1.329860503810347</c:v>
                </c:pt>
                <c:pt idx="55">
                  <c:v>1.2958967576600455</c:v>
                </c:pt>
                <c:pt idx="56">
                  <c:v>1.2642520414530216</c:v>
                </c:pt>
                <c:pt idx="57">
                  <c:v>1.2347816882910965</c:v>
                </c:pt>
                <c:pt idx="58">
                  <c:v>1.2073310266874606</c:v>
                </c:pt>
                <c:pt idx="59">
                  <c:v>1.1817447922027622</c:v>
                </c:pt>
                <c:pt idx="60">
                  <c:v>1.1578727557635651</c:v>
                </c:pt>
                <c:pt idx="61">
                  <c:v>1.1355728820271946</c:v>
                </c:pt>
                <c:pt idx="62">
                  <c:v>1.1147129003379874</c:v>
                </c:pt>
                <c:pt idx="63">
                  <c:v>1.0951708751382412</c:v>
                </c:pt>
                <c:pt idx="64">
                  <c:v>1.0768351626045636</c:v>
                </c:pt>
                <c:pt idx="65">
                  <c:v>1.0596040061373857</c:v>
                </c:pt>
                <c:pt idx="66">
                  <c:v>1.0433849339971508</c:v>
                </c:pt>
                <c:pt idx="67">
                  <c:v>1.0280940632015909</c:v>
                </c:pt>
                <c:pt idx="68">
                  <c:v>1.0136553747908899</c:v>
                </c:pt>
                <c:pt idx="69">
                  <c:v>1</c:v>
                </c:pt>
                <c:pt idx="70">
                  <c:v>0.92333211953700123</c:v>
                </c:pt>
                <c:pt idx="71">
                  <c:v>0.86696105834124759</c:v>
                </c:pt>
                <c:pt idx="72">
                  <c:v>0.82318248090522994</c:v>
                </c:pt>
                <c:pt idx="73">
                  <c:v>0.78763759103387965</c:v>
                </c:pt>
                <c:pt idx="74">
                  <c:v>0.75772129315258452</c:v>
                </c:pt>
                <c:pt idx="75">
                  <c:v>0.73180269010084442</c:v>
                </c:pt>
                <c:pt idx="76">
                  <c:v>0.70882081816335396</c:v>
                </c:pt>
                <c:pt idx="77">
                  <c:v>0.68806311613752202</c:v>
                </c:pt>
                <c:pt idx="78">
                  <c:v>0.66903798029635431</c:v>
                </c:pt>
                <c:pt idx="79">
                  <c:v>0.65139830863734394</c:v>
                </c:pt>
                <c:pt idx="80">
                  <c:v>0.63489396113171548</c:v>
                </c:pt>
                <c:pt idx="81">
                  <c:v>0.61934128252039466</c:v>
                </c:pt>
                <c:pt idx="82">
                  <c:v>0.60460304808045218</c:v>
                </c:pt>
              </c:numCache>
            </c:numRef>
          </c:yVal>
          <c:smooth val="1"/>
          <c:extLst>
            <c:ext xmlns:c16="http://schemas.microsoft.com/office/drawing/2014/chart" uri="{C3380CC4-5D6E-409C-BE32-E72D297353CC}">
              <c16:uniqueId val="{00000001-D8BB-4DE4-8C45-BB2903F290C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RTC!$C$49:$CG$49</c:f>
              <c:numCache>
                <c:formatCode>General</c:formatCode>
                <c:ptCount val="83"/>
                <c:pt idx="0">
                  <c:v>2.1818182439325691E-8</c:v>
                </c:pt>
                <c:pt idx="1">
                  <c:v>1.288386932838223E-3</c:v>
                </c:pt>
                <c:pt idx="2">
                  <c:v>3.294085024357045E-3</c:v>
                </c:pt>
                <c:pt idx="3">
                  <c:v>6.2406824378399874E-3</c:v>
                </c:pt>
                <c:pt idx="4">
                  <c:v>1.0149721903320651E-2</c:v>
                </c:pt>
                <c:pt idx="5">
                  <c:v>1.5050135523851146E-2</c:v>
                </c:pt>
                <c:pt idx="6">
                  <c:v>2.0978762930202923E-2</c:v>
                </c:pt>
                <c:pt idx="7">
                  <c:v>2.7981024024538607E-2</c:v>
                </c:pt>
                <c:pt idx="8">
                  <c:v>3.6111767932241016E-2</c:v>
                </c:pt>
                <c:pt idx="9">
                  <c:v>4.5436326096875805E-2</c:v>
                </c:pt>
                <c:pt idx="10">
                  <c:v>5.6031805097773321E-2</c:v>
                </c:pt>
                <c:pt idx="11">
                  <c:v>6.7988664131966317E-2</c:v>
                </c:pt>
                <c:pt idx="12">
                  <c:v>8.1412633661487821E-2</c:v>
                </c:pt>
                <c:pt idx="13">
                  <c:v>9.6427046070027292E-2</c:v>
                </c:pt>
                <c:pt idx="14">
                  <c:v>0.11317566700622338</c:v>
                </c:pt>
                <c:pt idx="15">
                  <c:v>0.13182613823889974</c:v>
                </c:pt>
                <c:pt idx="16">
                  <c:v>0.15257417021874703</c:v>
                </c:pt>
                <c:pt idx="17">
                  <c:v>0.17564865601082363</c:v>
                </c:pt>
                <c:pt idx="18">
                  <c:v>0.20131791842768321</c:v>
                </c:pt>
                <c:pt idx="19">
                  <c:v>0.22989734881129481</c:v>
                </c:pt>
                <c:pt idx="20">
                  <c:v>0.26175874677386279</c:v>
                </c:pt>
                <c:pt idx="21">
                  <c:v>0.29734171889440625</c:v>
                </c:pt>
                <c:pt idx="22">
                  <c:v>0.33716752587048926</c:v>
                </c:pt>
                <c:pt idx="23">
                  <c:v>0.38185574987982207</c:v>
                </c:pt>
                <c:pt idx="24">
                  <c:v>0.4321440215917321</c:v>
                </c:pt>
                <c:pt idx="25">
                  <c:v>0.48891067008148426</c:v>
                </c:pt>
                <c:pt idx="26">
                  <c:v>0.55319928820362751</c:v>
                </c:pt>
                <c:pt idx="27">
                  <c:v>0.62624236450510695</c:v>
                </c:pt>
                <c:pt idx="28">
                  <c:v>0.70947743818119835</c:v>
                </c:pt>
                <c:pt idx="29">
                  <c:v>0.80454211618310545</c:v>
                </c:pt>
                <c:pt idx="30">
                  <c:v>0.91322115987396457</c:v>
                </c:pt>
                <c:pt idx="31">
                  <c:v>1.0372960664446651</c:v>
                </c:pt>
                <c:pt idx="32">
                  <c:v>1.1782121374140366</c:v>
                </c:pt>
                <c:pt idx="33">
                  <c:v>1.3364349780829285</c:v>
                </c:pt>
                <c:pt idx="34">
                  <c:v>1.5103522672564342</c:v>
                </c:pt>
                <c:pt idx="35">
                  <c:v>1.6946933621753784</c:v>
                </c:pt>
                <c:pt idx="36">
                  <c:v>1.8788872930725196</c:v>
                </c:pt>
                <c:pt idx="37">
                  <c:v>2.0466553898913227</c:v>
                </c:pt>
                <c:pt idx="38">
                  <c:v>2.1787661726775815</c:v>
                </c:pt>
                <c:pt idx="39">
                  <c:v>2.2111254628172508</c:v>
                </c:pt>
                <c:pt idx="40">
                  <c:v>2.2733341619235317</c:v>
                </c:pt>
                <c:pt idx="41">
                  <c:v>2.2794758156576145</c:v>
                </c:pt>
                <c:pt idx="42">
                  <c:v>2.2390917769355321</c:v>
                </c:pt>
                <c:pt idx="43">
                  <c:v>2.1671764851446023</c:v>
                </c:pt>
                <c:pt idx="44">
                  <c:v>2.0782664827564985</c:v>
                </c:pt>
                <c:pt idx="45">
                  <c:v>1.9833491584035789</c:v>
                </c:pt>
                <c:pt idx="46">
                  <c:v>1.8894370266624958</c:v>
                </c:pt>
                <c:pt idx="47">
                  <c:v>1.8004036122547353</c:v>
                </c:pt>
                <c:pt idx="48">
                  <c:v>1.7180362951962087</c:v>
                </c:pt>
                <c:pt idx="49">
                  <c:v>1.6428800535467103</c:v>
                </c:pt>
                <c:pt idx="50">
                  <c:v>1.5748033751254678</c:v>
                </c:pt>
                <c:pt idx="51">
                  <c:v>1.5133428875947135</c:v>
                </c:pt>
                <c:pt idx="52">
                  <c:v>1.4579001918992971</c:v>
                </c:pt>
                <c:pt idx="53">
                  <c:v>1.4078482374057375</c:v>
                </c:pt>
                <c:pt idx="54">
                  <c:v>1.3625851213657625</c:v>
                </c:pt>
                <c:pt idx="55">
                  <c:v>1.3215584444011077</c:v>
                </c:pt>
                <c:pt idx="56">
                  <c:v>1.2842737446429706</c:v>
                </c:pt>
                <c:pt idx="57">
                  <c:v>1.2502946995621886</c:v>
                </c:pt>
                <c:pt idx="58">
                  <c:v>1.2192393728204127</c:v>
                </c:pt>
                <c:pt idx="59">
                  <c:v>1.1907748312749207</c:v>
                </c:pt>
                <c:pt idx="60">
                  <c:v>1.1646113567059417</c:v>
                </c:pt>
                <c:pt idx="61">
                  <c:v>1.140496864502047</c:v>
                </c:pt>
                <c:pt idx="62">
                  <c:v>1.1182118061628268</c:v>
                </c:pt>
                <c:pt idx="63">
                  <c:v>1.0975646529978911</c:v>
                </c:pt>
                <c:pt idx="64">
                  <c:v>1.0783879659759421</c:v>
                </c:pt>
                <c:pt idx="65">
                  <c:v>1.0605350123336386</c:v>
                </c:pt>
                <c:pt idx="66">
                  <c:v>1.0438768713069297</c:v>
                </c:pt>
                <c:pt idx="67">
                  <c:v>1.0282999668555644</c:v>
                </c:pt>
                <c:pt idx="68">
                  <c:v>1.0137039676399553</c:v>
                </c:pt>
                <c:pt idx="69">
                  <c:v>1</c:v>
                </c:pt>
                <c:pt idx="70">
                  <c:v>0.9248775837731108</c:v>
                </c:pt>
                <c:pt idx="71">
                  <c:v>0.87171013030791378</c:v>
                </c:pt>
                <c:pt idx="72">
                  <c:v>0.8317679840872253</c:v>
                </c:pt>
                <c:pt idx="73">
                  <c:v>0.80029976910742162</c:v>
                </c:pt>
                <c:pt idx="74">
                  <c:v>0.77452535688315916</c:v>
                </c:pt>
                <c:pt idx="75">
                  <c:v>0.75272386488392695</c:v>
                </c:pt>
                <c:pt idx="76">
                  <c:v>0.73378169196191756</c:v>
                </c:pt>
                <c:pt idx="77">
                  <c:v>0.71695212083513848</c:v>
                </c:pt>
                <c:pt idx="78">
                  <c:v>0.70171979637125559</c:v>
                </c:pt>
                <c:pt idx="79">
                  <c:v>0.68772053775691788</c:v>
                </c:pt>
                <c:pt idx="80">
                  <c:v>0.67469191662288797</c:v>
                </c:pt>
                <c:pt idx="81">
                  <c:v>0.6624417207487634</c:v>
                </c:pt>
                <c:pt idx="82">
                  <c:v>0.65082722151455918</c:v>
                </c:pt>
              </c:numCache>
            </c:numRef>
          </c:yVal>
          <c:smooth val="1"/>
          <c:extLst>
            <c:ext xmlns:c16="http://schemas.microsoft.com/office/drawing/2014/chart" uri="{C3380CC4-5D6E-409C-BE32-E72D297353CC}">
              <c16:uniqueId val="{00000002-D8BB-4DE4-8C45-BB2903F290C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RTC!$C$50:$CG$50</c:f>
              <c:numCache>
                <c:formatCode>General</c:formatCode>
                <c:ptCount val="83"/>
                <c:pt idx="0">
                  <c:v>2.1818182479920704E-8</c:v>
                </c:pt>
                <c:pt idx="1">
                  <c:v>1.2885285829841006E-3</c:v>
                </c:pt>
                <c:pt idx="2">
                  <c:v>3.2950119481721194E-3</c:v>
                </c:pt>
                <c:pt idx="3">
                  <c:v>6.2440144033623097E-3</c:v>
                </c:pt>
                <c:pt idx="4">
                  <c:v>1.0158553191859945E-2</c:v>
                </c:pt>
                <c:pt idx="5">
                  <c:v>1.5069602622699301E-2</c:v>
                </c:pt>
                <c:pt idx="6">
                  <c:v>2.1016704876682134E-2</c:v>
                </c:pt>
                <c:pt idx="7">
                  <c:v>2.8048768388947723E-2</c:v>
                </c:pt>
                <c:pt idx="8">
                  <c:v>3.6225083729408088E-2</c:v>
                </c:pt>
                <c:pt idx="9">
                  <c:v>4.5616596356075428E-2</c:v>
                </c:pt>
                <c:pt idx="10">
                  <c:v>5.6307487501055131E-2</c:v>
                </c:pt>
                <c:pt idx="11">
                  <c:v>6.83971296301875E-2</c:v>
                </c:pt>
                <c:pt idx="12">
                  <c:v>8.2002502564154742E-2</c:v>
                </c:pt>
                <c:pt idx="13">
                  <c:v>9.7261182059277002E-2</c:v>
                </c:pt>
                <c:pt idx="14">
                  <c:v>0.11433504662530793</c:v>
                </c:pt>
                <c:pt idx="15">
                  <c:v>0.13341489367348136</c:v>
                </c:pt>
                <c:pt idx="16">
                  <c:v>0.15472621704054584</c:v>
                </c:pt>
                <c:pt idx="17">
                  <c:v>0.17853648058534624</c:v>
                </c:pt>
                <c:pt idx="18">
                  <c:v>0.20516433548851423</c:v>
                </c:pt>
                <c:pt idx="19">
                  <c:v>0.23499138428974772</c:v>
                </c:pt>
                <c:pt idx="20">
                  <c:v>0.26847730985236462</c:v>
                </c:pt>
                <c:pt idx="21">
                  <c:v>0.30617948669159406</c:v>
                </c:pt>
                <c:pt idx="22">
                  <c:v>0.34877860915110864</c:v>
                </c:pt>
                <c:pt idx="23">
                  <c:v>0.39711245078414564</c:v>
                </c:pt>
                <c:pt idx="24">
                  <c:v>0.45222066752110879</c:v>
                </c:pt>
                <c:pt idx="25">
                  <c:v>0.51540462938092035</c:v>
                </c:pt>
                <c:pt idx="26">
                  <c:v>0.58830762840615813</c:v>
                </c:pt>
                <c:pt idx="27">
                  <c:v>0.67302232488870162</c:v>
                </c:pt>
                <c:pt idx="28">
                  <c:v>0.77223333712321429</c:v>
                </c:pt>
                <c:pt idx="29">
                  <c:v>0.88940146434470002</c:v>
                </c:pt>
                <c:pt idx="30">
                  <c:v>1.0289864824494521</c:v>
                </c:pt>
                <c:pt idx="31">
                  <c:v>1.1966724314094623</c:v>
                </c:pt>
                <c:pt idx="32">
                  <c:v>1.3994632574174968</c:v>
                </c:pt>
                <c:pt idx="33">
                  <c:v>1.6452628496952006</c:v>
                </c:pt>
                <c:pt idx="34">
                  <c:v>1.9409529095430136</c:v>
                </c:pt>
                <c:pt idx="35">
                  <c:v>2.286856711332343</c:v>
                </c:pt>
                <c:pt idx="36">
                  <c:v>2.664689739148864</c:v>
                </c:pt>
                <c:pt idx="37">
                  <c:v>3.0210297534050943</c:v>
                </c:pt>
                <c:pt idx="38">
                  <c:v>3.2681466330811526</c:v>
                </c:pt>
                <c:pt idx="39">
                  <c:v>3.3110252196145522</c:v>
                </c:pt>
                <c:pt idx="40">
                  <c:v>3.3156909367168934</c:v>
                </c:pt>
                <c:pt idx="41">
                  <c:v>3.165485129035889</c:v>
                </c:pt>
                <c:pt idx="42">
                  <c:v>2.9379147301897302</c:v>
                </c:pt>
                <c:pt idx="43">
                  <c:v>2.6956469422014004</c:v>
                </c:pt>
                <c:pt idx="44">
                  <c:v>2.4705166769883413</c:v>
                </c:pt>
                <c:pt idx="45">
                  <c:v>2.2731978578150067</c:v>
                </c:pt>
                <c:pt idx="46">
                  <c:v>2.1043137440172504</c:v>
                </c:pt>
                <c:pt idx="47">
                  <c:v>1.9607997258777867</c:v>
                </c:pt>
                <c:pt idx="48">
                  <c:v>1.8387414801727384</c:v>
                </c:pt>
                <c:pt idx="49">
                  <c:v>1.7344475901781762</c:v>
                </c:pt>
                <c:pt idx="50">
                  <c:v>1.6447671953798582</c:v>
                </c:pt>
                <c:pt idx="51">
                  <c:v>1.5671176092543677</c:v>
                </c:pt>
                <c:pt idx="52">
                  <c:v>1.4994159312519777</c:v>
                </c:pt>
                <c:pt idx="53">
                  <c:v>1.4399901776491046</c:v>
                </c:pt>
                <c:pt idx="54">
                  <c:v>1.3874966034904137</c:v>
                </c:pt>
                <c:pt idx="55">
                  <c:v>1.3408506390314692</c:v>
                </c:pt>
                <c:pt idx="56">
                  <c:v>1.2991717638123261</c:v>
                </c:pt>
                <c:pt idx="57">
                  <c:v>1.2617403838170929</c:v>
                </c:pt>
                <c:pt idx="58">
                  <c:v>1.2279643637936826</c:v>
                </c:pt>
                <c:pt idx="59">
                  <c:v>1.1973530893088902</c:v>
                </c:pt>
                <c:pt idx="60">
                  <c:v>1.1694973196907215</c:v>
                </c:pt>
                <c:pt idx="61">
                  <c:v>1.1440534718277999</c:v>
                </c:pt>
                <c:pt idx="62">
                  <c:v>1.1207312935183062</c:v>
                </c:pt>
                <c:pt idx="63">
                  <c:v>1.0992841366401696</c:v>
                </c:pt>
                <c:pt idx="64">
                  <c:v>1.0795012330280616</c:v>
                </c:pt>
                <c:pt idx="65">
                  <c:v>1.0612015212514392</c:v>
                </c:pt>
                <c:pt idx="66">
                  <c:v>1.0442286814174895</c:v>
                </c:pt>
                <c:pt idx="67">
                  <c:v>1.028447116660097</c:v>
                </c:pt>
                <c:pt idx="68">
                  <c:v>1.0137386810967635</c:v>
                </c:pt>
                <c:pt idx="69">
                  <c:v>1</c:v>
                </c:pt>
                <c:pt idx="70">
                  <c:v>0.9259862501827153</c:v>
                </c:pt>
                <c:pt idx="71">
                  <c:v>0.87515050886117685</c:v>
                </c:pt>
                <c:pt idx="72">
                  <c:v>0.83806761170528898</c:v>
                </c:pt>
                <c:pt idx="73">
                  <c:v>0.80972746125639039</c:v>
                </c:pt>
                <c:pt idx="74">
                  <c:v>0.78723671009002483</c:v>
                </c:pt>
                <c:pt idx="75">
                  <c:v>0.76881622259455229</c:v>
                </c:pt>
                <c:pt idx="76">
                  <c:v>0.75331704608022088</c:v>
                </c:pt>
                <c:pt idx="77">
                  <c:v>0.73996753261833481</c:v>
                </c:pt>
                <c:pt idx="78">
                  <c:v>0.72823262046716475</c:v>
                </c:pt>
                <c:pt idx="79">
                  <c:v>0.71773138144407611</c:v>
                </c:pt>
                <c:pt idx="80">
                  <c:v>0.70818658508753285</c:v>
                </c:pt>
                <c:pt idx="81">
                  <c:v>0.69939270288926503</c:v>
                </c:pt>
                <c:pt idx="82">
                  <c:v>0.69119496620994025</c:v>
                </c:pt>
              </c:numCache>
            </c:numRef>
          </c:yVal>
          <c:smooth val="1"/>
          <c:extLst>
            <c:ext xmlns:c16="http://schemas.microsoft.com/office/drawing/2014/chart" uri="{C3380CC4-5D6E-409C-BE32-E72D297353CC}">
              <c16:uniqueId val="{00000003-D8BB-4DE4-8C45-BB2903F290CD}"/>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RTC!$C$67:$CG$67</c:f>
              <c:numCache>
                <c:formatCode>General</c:formatCode>
                <c:ptCount val="83"/>
                <c:pt idx="0">
                  <c:v>0.79284042553191492</c:v>
                </c:pt>
                <c:pt idx="1">
                  <c:v>0.79284042553191492</c:v>
                </c:pt>
                <c:pt idx="2">
                  <c:v>0.79284042553191492</c:v>
                </c:pt>
                <c:pt idx="3">
                  <c:v>0.79284042553191492</c:v>
                </c:pt>
                <c:pt idx="4">
                  <c:v>0.79284042553191492</c:v>
                </c:pt>
                <c:pt idx="5">
                  <c:v>0.79284042553191492</c:v>
                </c:pt>
                <c:pt idx="6">
                  <c:v>0.79284042553191492</c:v>
                </c:pt>
                <c:pt idx="7">
                  <c:v>0.79284042553191492</c:v>
                </c:pt>
                <c:pt idx="8">
                  <c:v>0.79284042553191492</c:v>
                </c:pt>
                <c:pt idx="9">
                  <c:v>0.79284042553191492</c:v>
                </c:pt>
                <c:pt idx="10">
                  <c:v>0.79284042553191492</c:v>
                </c:pt>
                <c:pt idx="11">
                  <c:v>0.79284042553191492</c:v>
                </c:pt>
                <c:pt idx="12">
                  <c:v>0.79284042553191492</c:v>
                </c:pt>
                <c:pt idx="13">
                  <c:v>0.79284042553191492</c:v>
                </c:pt>
                <c:pt idx="14">
                  <c:v>0.79284042553191492</c:v>
                </c:pt>
                <c:pt idx="15">
                  <c:v>0.79284042553191492</c:v>
                </c:pt>
                <c:pt idx="16">
                  <c:v>0.79284042553191492</c:v>
                </c:pt>
                <c:pt idx="17">
                  <c:v>0.79284042553191492</c:v>
                </c:pt>
                <c:pt idx="18">
                  <c:v>0.79284042553191492</c:v>
                </c:pt>
                <c:pt idx="19">
                  <c:v>0.79284042553191492</c:v>
                </c:pt>
                <c:pt idx="20">
                  <c:v>0.79284042553191492</c:v>
                </c:pt>
                <c:pt idx="21">
                  <c:v>0.79284042553191492</c:v>
                </c:pt>
                <c:pt idx="22">
                  <c:v>0.79284042553191492</c:v>
                </c:pt>
                <c:pt idx="23">
                  <c:v>0.79284042553191492</c:v>
                </c:pt>
                <c:pt idx="24">
                  <c:v>0.79284042553191492</c:v>
                </c:pt>
                <c:pt idx="25">
                  <c:v>0.79284042553191492</c:v>
                </c:pt>
                <c:pt idx="26">
                  <c:v>0.79284042553191492</c:v>
                </c:pt>
                <c:pt idx="27">
                  <c:v>0.79284042553191492</c:v>
                </c:pt>
                <c:pt idx="28">
                  <c:v>0.79284042553191492</c:v>
                </c:pt>
                <c:pt idx="29">
                  <c:v>0.79284042553191492</c:v>
                </c:pt>
                <c:pt idx="30">
                  <c:v>0.79284042553191492</c:v>
                </c:pt>
                <c:pt idx="31">
                  <c:v>0.79284042553191492</c:v>
                </c:pt>
                <c:pt idx="32">
                  <c:v>0.79284042553191492</c:v>
                </c:pt>
                <c:pt idx="33">
                  <c:v>0.79284042553191492</c:v>
                </c:pt>
                <c:pt idx="34">
                  <c:v>0.79284042553191492</c:v>
                </c:pt>
                <c:pt idx="35">
                  <c:v>0.79284042553191492</c:v>
                </c:pt>
                <c:pt idx="36">
                  <c:v>0.79284042553191492</c:v>
                </c:pt>
                <c:pt idx="37">
                  <c:v>0.79284042553191492</c:v>
                </c:pt>
                <c:pt idx="38">
                  <c:v>0.79284042553191492</c:v>
                </c:pt>
                <c:pt idx="39">
                  <c:v>0.79284042553191492</c:v>
                </c:pt>
                <c:pt idx="40">
                  <c:v>0.79284042553191492</c:v>
                </c:pt>
                <c:pt idx="41">
                  <c:v>0.79284042553191492</c:v>
                </c:pt>
                <c:pt idx="42">
                  <c:v>0.79284042553191492</c:v>
                </c:pt>
                <c:pt idx="43">
                  <c:v>0.79284042553191492</c:v>
                </c:pt>
                <c:pt idx="44">
                  <c:v>0.79284042553191492</c:v>
                </c:pt>
                <c:pt idx="45">
                  <c:v>0.79284042553191492</c:v>
                </c:pt>
                <c:pt idx="46">
                  <c:v>0.79284042553191492</c:v>
                </c:pt>
                <c:pt idx="47">
                  <c:v>0.79284042553191492</c:v>
                </c:pt>
                <c:pt idx="48">
                  <c:v>0.79284042553191492</c:v>
                </c:pt>
                <c:pt idx="49">
                  <c:v>0.79284042553191492</c:v>
                </c:pt>
                <c:pt idx="50">
                  <c:v>0.79284042553191492</c:v>
                </c:pt>
                <c:pt idx="51">
                  <c:v>0.79284042553191492</c:v>
                </c:pt>
                <c:pt idx="52">
                  <c:v>0.79284042553191492</c:v>
                </c:pt>
                <c:pt idx="53">
                  <c:v>0.79284042553191492</c:v>
                </c:pt>
                <c:pt idx="54">
                  <c:v>0.79284042553191492</c:v>
                </c:pt>
                <c:pt idx="55">
                  <c:v>0.79284042553191492</c:v>
                </c:pt>
                <c:pt idx="56">
                  <c:v>0.79284042553191492</c:v>
                </c:pt>
                <c:pt idx="57">
                  <c:v>0.79284042553191492</c:v>
                </c:pt>
                <c:pt idx="58">
                  <c:v>0.79284042553191492</c:v>
                </c:pt>
                <c:pt idx="59">
                  <c:v>0.79284042553191492</c:v>
                </c:pt>
                <c:pt idx="60">
                  <c:v>0.79284042553191492</c:v>
                </c:pt>
                <c:pt idx="61">
                  <c:v>0.79284042553191492</c:v>
                </c:pt>
                <c:pt idx="62">
                  <c:v>0.79284042553191492</c:v>
                </c:pt>
                <c:pt idx="63">
                  <c:v>0.79284042553191492</c:v>
                </c:pt>
                <c:pt idx="64">
                  <c:v>0.79284042553191492</c:v>
                </c:pt>
                <c:pt idx="65">
                  <c:v>0.79284042553191492</c:v>
                </c:pt>
                <c:pt idx="66">
                  <c:v>0.79284042553191492</c:v>
                </c:pt>
                <c:pt idx="67">
                  <c:v>0.79284042553191492</c:v>
                </c:pt>
                <c:pt idx="68">
                  <c:v>0.79284042553191492</c:v>
                </c:pt>
                <c:pt idx="69">
                  <c:v>0.79284042553191492</c:v>
                </c:pt>
                <c:pt idx="70">
                  <c:v>0.79284042553191492</c:v>
                </c:pt>
                <c:pt idx="71">
                  <c:v>0.79284042553191492</c:v>
                </c:pt>
                <c:pt idx="72">
                  <c:v>0.79284042553191492</c:v>
                </c:pt>
                <c:pt idx="73">
                  <c:v>0.79284042553191492</c:v>
                </c:pt>
                <c:pt idx="74">
                  <c:v>0.79284042553191492</c:v>
                </c:pt>
                <c:pt idx="75">
                  <c:v>0.79284042553191492</c:v>
                </c:pt>
                <c:pt idx="76">
                  <c:v>0.79284042553191492</c:v>
                </c:pt>
                <c:pt idx="77">
                  <c:v>0.79284042553191492</c:v>
                </c:pt>
                <c:pt idx="78">
                  <c:v>0.79284042553191492</c:v>
                </c:pt>
                <c:pt idx="79">
                  <c:v>0.79284042553191492</c:v>
                </c:pt>
                <c:pt idx="80">
                  <c:v>0.79284042553191492</c:v>
                </c:pt>
                <c:pt idx="81">
                  <c:v>0.79284042553191492</c:v>
                </c:pt>
                <c:pt idx="82">
                  <c:v>0.79284042553191492</c:v>
                </c:pt>
              </c:numCache>
            </c:numRef>
          </c:yVal>
          <c:smooth val="1"/>
          <c:extLst>
            <c:ext xmlns:c16="http://schemas.microsoft.com/office/drawing/2014/chart" uri="{C3380CC4-5D6E-409C-BE32-E72D297353CC}">
              <c16:uniqueId val="{00000004-D8BB-4DE4-8C45-BB2903F290CD}"/>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RTC!$C$69:$CG$69</c:f>
              <c:numCache>
                <c:formatCode>General</c:formatCode>
                <c:ptCount val="83"/>
                <c:pt idx="0">
                  <c:v>0.91549326621053717</c:v>
                </c:pt>
                <c:pt idx="1">
                  <c:v>0.91549326621053717</c:v>
                </c:pt>
                <c:pt idx="2">
                  <c:v>0.91549326621053717</c:v>
                </c:pt>
                <c:pt idx="3">
                  <c:v>0.91549326621053717</c:v>
                </c:pt>
                <c:pt idx="4">
                  <c:v>0.91549326621053717</c:v>
                </c:pt>
                <c:pt idx="5">
                  <c:v>0.91549326621053717</c:v>
                </c:pt>
                <c:pt idx="6">
                  <c:v>0.91549326621053717</c:v>
                </c:pt>
                <c:pt idx="7">
                  <c:v>0.91549326621053717</c:v>
                </c:pt>
                <c:pt idx="8">
                  <c:v>0.91549326621053717</c:v>
                </c:pt>
                <c:pt idx="9">
                  <c:v>0.91549326621053717</c:v>
                </c:pt>
                <c:pt idx="10">
                  <c:v>0.91549326621053717</c:v>
                </c:pt>
                <c:pt idx="11">
                  <c:v>0.91549326621053717</c:v>
                </c:pt>
                <c:pt idx="12">
                  <c:v>0.91549326621053717</c:v>
                </c:pt>
                <c:pt idx="13">
                  <c:v>0.91549326621053717</c:v>
                </c:pt>
                <c:pt idx="14">
                  <c:v>0.91549326621053717</c:v>
                </c:pt>
                <c:pt idx="15">
                  <c:v>0.91549326621053717</c:v>
                </c:pt>
                <c:pt idx="16">
                  <c:v>0.91549326621053717</c:v>
                </c:pt>
                <c:pt idx="17">
                  <c:v>0.91549326621053717</c:v>
                </c:pt>
                <c:pt idx="18">
                  <c:v>0.91549326621053717</c:v>
                </c:pt>
                <c:pt idx="19">
                  <c:v>0.91549326621053717</c:v>
                </c:pt>
                <c:pt idx="20">
                  <c:v>0.91549326621053717</c:v>
                </c:pt>
                <c:pt idx="21">
                  <c:v>0.91549326621053717</c:v>
                </c:pt>
                <c:pt idx="22">
                  <c:v>0.91549326621053717</c:v>
                </c:pt>
                <c:pt idx="23">
                  <c:v>0.91549326621053717</c:v>
                </c:pt>
                <c:pt idx="24">
                  <c:v>0.91549326621053717</c:v>
                </c:pt>
                <c:pt idx="25">
                  <c:v>0.91549326621053717</c:v>
                </c:pt>
                <c:pt idx="26">
                  <c:v>0.91549326621053717</c:v>
                </c:pt>
                <c:pt idx="27">
                  <c:v>0.91549326621053717</c:v>
                </c:pt>
                <c:pt idx="28">
                  <c:v>0.91549326621053717</c:v>
                </c:pt>
                <c:pt idx="29">
                  <c:v>0.91549326621053717</c:v>
                </c:pt>
                <c:pt idx="30">
                  <c:v>0.91549326621053717</c:v>
                </c:pt>
                <c:pt idx="31">
                  <c:v>0.91549326621053717</c:v>
                </c:pt>
                <c:pt idx="32">
                  <c:v>0.91549326621053717</c:v>
                </c:pt>
                <c:pt idx="33">
                  <c:v>0.91549326621053717</c:v>
                </c:pt>
                <c:pt idx="34">
                  <c:v>0.91549326621053717</c:v>
                </c:pt>
                <c:pt idx="35">
                  <c:v>0.91549326621053717</c:v>
                </c:pt>
                <c:pt idx="36">
                  <c:v>0.91549326621053717</c:v>
                </c:pt>
                <c:pt idx="37">
                  <c:v>0.91549326621053717</c:v>
                </c:pt>
                <c:pt idx="38">
                  <c:v>0.91549326621053717</c:v>
                </c:pt>
                <c:pt idx="39">
                  <c:v>0.91549326621053717</c:v>
                </c:pt>
                <c:pt idx="40">
                  <c:v>0.91549326621053717</c:v>
                </c:pt>
                <c:pt idx="41">
                  <c:v>0.91549326621053717</c:v>
                </c:pt>
                <c:pt idx="42">
                  <c:v>0.91549326621053717</c:v>
                </c:pt>
                <c:pt idx="43">
                  <c:v>0.91549326621053717</c:v>
                </c:pt>
                <c:pt idx="44">
                  <c:v>0.91549326621053717</c:v>
                </c:pt>
                <c:pt idx="45">
                  <c:v>0.91549326621053717</c:v>
                </c:pt>
                <c:pt idx="46">
                  <c:v>0.91549326621053717</c:v>
                </c:pt>
                <c:pt idx="47">
                  <c:v>0.91549326621053717</c:v>
                </c:pt>
                <c:pt idx="48">
                  <c:v>0.91549326621053717</c:v>
                </c:pt>
                <c:pt idx="49">
                  <c:v>0.91549326621053717</c:v>
                </c:pt>
                <c:pt idx="50">
                  <c:v>0.91549326621053717</c:v>
                </c:pt>
                <c:pt idx="51">
                  <c:v>0.91549326621053717</c:v>
                </c:pt>
                <c:pt idx="52">
                  <c:v>0.91549326621053717</c:v>
                </c:pt>
                <c:pt idx="53">
                  <c:v>0.91549326621053717</c:v>
                </c:pt>
                <c:pt idx="54">
                  <c:v>0.91549326621053717</c:v>
                </c:pt>
                <c:pt idx="55">
                  <c:v>0.91549326621053717</c:v>
                </c:pt>
                <c:pt idx="56">
                  <c:v>0.91549326621053717</c:v>
                </c:pt>
                <c:pt idx="57">
                  <c:v>0.91549326621053717</c:v>
                </c:pt>
                <c:pt idx="58">
                  <c:v>0.91549326621053717</c:v>
                </c:pt>
                <c:pt idx="59">
                  <c:v>0.91549326621053717</c:v>
                </c:pt>
                <c:pt idx="60">
                  <c:v>0.91549326621053717</c:v>
                </c:pt>
                <c:pt idx="61">
                  <c:v>0.91549326621053717</c:v>
                </c:pt>
                <c:pt idx="62">
                  <c:v>0.91549326621053717</c:v>
                </c:pt>
                <c:pt idx="63">
                  <c:v>0.91549326621053717</c:v>
                </c:pt>
                <c:pt idx="64">
                  <c:v>0.91549326621053717</c:v>
                </c:pt>
                <c:pt idx="65">
                  <c:v>0.91549326621053717</c:v>
                </c:pt>
                <c:pt idx="66">
                  <c:v>0.91549326621053717</c:v>
                </c:pt>
                <c:pt idx="67">
                  <c:v>0.91549326621053717</c:v>
                </c:pt>
                <c:pt idx="68">
                  <c:v>0.91549326621053717</c:v>
                </c:pt>
                <c:pt idx="69">
                  <c:v>0.91549326621053717</c:v>
                </c:pt>
                <c:pt idx="70">
                  <c:v>0.91549326621053717</c:v>
                </c:pt>
                <c:pt idx="71">
                  <c:v>0.91549326621053717</c:v>
                </c:pt>
                <c:pt idx="72">
                  <c:v>0.91549326621053717</c:v>
                </c:pt>
                <c:pt idx="73">
                  <c:v>0.91549326621053717</c:v>
                </c:pt>
                <c:pt idx="74">
                  <c:v>0.91549326621053717</c:v>
                </c:pt>
                <c:pt idx="75">
                  <c:v>0.91549326621053717</c:v>
                </c:pt>
                <c:pt idx="76">
                  <c:v>0.91549326621053717</c:v>
                </c:pt>
                <c:pt idx="77">
                  <c:v>0.91549326621053717</c:v>
                </c:pt>
                <c:pt idx="78">
                  <c:v>0.91549326621053717</c:v>
                </c:pt>
                <c:pt idx="79">
                  <c:v>0.91549326621053717</c:v>
                </c:pt>
                <c:pt idx="80">
                  <c:v>0.91549326621053717</c:v>
                </c:pt>
                <c:pt idx="81">
                  <c:v>0.91549326621053717</c:v>
                </c:pt>
                <c:pt idx="82">
                  <c:v>0.91549326621053717</c:v>
                </c:pt>
              </c:numCache>
            </c:numRef>
          </c:yVal>
          <c:smooth val="1"/>
          <c:extLst>
            <c:ext xmlns:c16="http://schemas.microsoft.com/office/drawing/2014/chart" uri="{C3380CC4-5D6E-409C-BE32-E72D297353CC}">
              <c16:uniqueId val="{00000005-D8BB-4DE4-8C45-BB2903F290CD}"/>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RTC!$C$70:$CG$70</c:f>
              <c:numCache>
                <c:formatCode>General</c:formatCode>
                <c:ptCount val="83"/>
                <c:pt idx="0">
                  <c:v>1.12124568258489</c:v>
                </c:pt>
                <c:pt idx="1">
                  <c:v>1.12124568258489</c:v>
                </c:pt>
                <c:pt idx="2">
                  <c:v>1.12124568258489</c:v>
                </c:pt>
                <c:pt idx="3">
                  <c:v>1.12124568258489</c:v>
                </c:pt>
                <c:pt idx="4">
                  <c:v>1.12124568258489</c:v>
                </c:pt>
                <c:pt idx="5">
                  <c:v>1.12124568258489</c:v>
                </c:pt>
                <c:pt idx="6">
                  <c:v>1.12124568258489</c:v>
                </c:pt>
                <c:pt idx="7">
                  <c:v>1.12124568258489</c:v>
                </c:pt>
                <c:pt idx="8">
                  <c:v>1.12124568258489</c:v>
                </c:pt>
                <c:pt idx="9">
                  <c:v>1.12124568258489</c:v>
                </c:pt>
                <c:pt idx="10">
                  <c:v>1.12124568258489</c:v>
                </c:pt>
                <c:pt idx="11">
                  <c:v>1.12124568258489</c:v>
                </c:pt>
                <c:pt idx="12">
                  <c:v>1.12124568258489</c:v>
                </c:pt>
                <c:pt idx="13">
                  <c:v>1.12124568258489</c:v>
                </c:pt>
                <c:pt idx="14">
                  <c:v>1.12124568258489</c:v>
                </c:pt>
                <c:pt idx="15">
                  <c:v>1.12124568258489</c:v>
                </c:pt>
                <c:pt idx="16">
                  <c:v>1.12124568258489</c:v>
                </c:pt>
                <c:pt idx="17">
                  <c:v>1.12124568258489</c:v>
                </c:pt>
                <c:pt idx="18">
                  <c:v>1.12124568258489</c:v>
                </c:pt>
                <c:pt idx="19">
                  <c:v>1.12124568258489</c:v>
                </c:pt>
                <c:pt idx="20">
                  <c:v>1.12124568258489</c:v>
                </c:pt>
                <c:pt idx="21">
                  <c:v>1.12124568258489</c:v>
                </c:pt>
                <c:pt idx="22">
                  <c:v>1.12124568258489</c:v>
                </c:pt>
                <c:pt idx="23">
                  <c:v>1.12124568258489</c:v>
                </c:pt>
                <c:pt idx="24">
                  <c:v>1.12124568258489</c:v>
                </c:pt>
                <c:pt idx="25">
                  <c:v>1.12124568258489</c:v>
                </c:pt>
                <c:pt idx="26">
                  <c:v>1.12124568258489</c:v>
                </c:pt>
                <c:pt idx="27">
                  <c:v>1.12124568258489</c:v>
                </c:pt>
                <c:pt idx="28">
                  <c:v>1.12124568258489</c:v>
                </c:pt>
                <c:pt idx="29">
                  <c:v>1.12124568258489</c:v>
                </c:pt>
                <c:pt idx="30">
                  <c:v>1.12124568258489</c:v>
                </c:pt>
                <c:pt idx="31">
                  <c:v>1.12124568258489</c:v>
                </c:pt>
                <c:pt idx="32">
                  <c:v>1.12124568258489</c:v>
                </c:pt>
                <c:pt idx="33">
                  <c:v>1.12124568258489</c:v>
                </c:pt>
                <c:pt idx="34">
                  <c:v>1.12124568258489</c:v>
                </c:pt>
                <c:pt idx="35">
                  <c:v>1.12124568258489</c:v>
                </c:pt>
                <c:pt idx="36">
                  <c:v>1.12124568258489</c:v>
                </c:pt>
                <c:pt idx="37">
                  <c:v>1.12124568258489</c:v>
                </c:pt>
                <c:pt idx="38">
                  <c:v>1.12124568258489</c:v>
                </c:pt>
                <c:pt idx="39">
                  <c:v>1.12124568258489</c:v>
                </c:pt>
                <c:pt idx="40">
                  <c:v>1.12124568258489</c:v>
                </c:pt>
                <c:pt idx="41">
                  <c:v>1.12124568258489</c:v>
                </c:pt>
                <c:pt idx="42">
                  <c:v>1.12124568258489</c:v>
                </c:pt>
                <c:pt idx="43">
                  <c:v>1.12124568258489</c:v>
                </c:pt>
                <c:pt idx="44">
                  <c:v>1.12124568258489</c:v>
                </c:pt>
                <c:pt idx="45">
                  <c:v>1.12124568258489</c:v>
                </c:pt>
                <c:pt idx="46">
                  <c:v>1.12124568258489</c:v>
                </c:pt>
                <c:pt idx="47">
                  <c:v>1.12124568258489</c:v>
                </c:pt>
                <c:pt idx="48">
                  <c:v>1.12124568258489</c:v>
                </c:pt>
                <c:pt idx="49">
                  <c:v>1.12124568258489</c:v>
                </c:pt>
                <c:pt idx="50">
                  <c:v>1.12124568258489</c:v>
                </c:pt>
                <c:pt idx="51">
                  <c:v>1.12124568258489</c:v>
                </c:pt>
                <c:pt idx="52">
                  <c:v>1.12124568258489</c:v>
                </c:pt>
                <c:pt idx="53">
                  <c:v>1.12124568258489</c:v>
                </c:pt>
                <c:pt idx="54">
                  <c:v>1.12124568258489</c:v>
                </c:pt>
                <c:pt idx="55">
                  <c:v>1.12124568258489</c:v>
                </c:pt>
                <c:pt idx="56">
                  <c:v>1.12124568258489</c:v>
                </c:pt>
                <c:pt idx="57">
                  <c:v>1.12124568258489</c:v>
                </c:pt>
                <c:pt idx="58">
                  <c:v>1.12124568258489</c:v>
                </c:pt>
                <c:pt idx="59">
                  <c:v>1.12124568258489</c:v>
                </c:pt>
                <c:pt idx="60">
                  <c:v>1.12124568258489</c:v>
                </c:pt>
                <c:pt idx="61">
                  <c:v>1.12124568258489</c:v>
                </c:pt>
                <c:pt idx="62">
                  <c:v>1.12124568258489</c:v>
                </c:pt>
                <c:pt idx="63">
                  <c:v>1.12124568258489</c:v>
                </c:pt>
                <c:pt idx="64">
                  <c:v>1.12124568258489</c:v>
                </c:pt>
                <c:pt idx="65">
                  <c:v>1.12124568258489</c:v>
                </c:pt>
                <c:pt idx="66">
                  <c:v>1.12124568258489</c:v>
                </c:pt>
                <c:pt idx="67">
                  <c:v>1.12124568258489</c:v>
                </c:pt>
                <c:pt idx="68">
                  <c:v>1.12124568258489</c:v>
                </c:pt>
                <c:pt idx="69">
                  <c:v>1.12124568258489</c:v>
                </c:pt>
                <c:pt idx="70">
                  <c:v>1.12124568258489</c:v>
                </c:pt>
                <c:pt idx="71">
                  <c:v>1.12124568258489</c:v>
                </c:pt>
                <c:pt idx="72">
                  <c:v>1.12124568258489</c:v>
                </c:pt>
                <c:pt idx="73">
                  <c:v>1.12124568258489</c:v>
                </c:pt>
                <c:pt idx="74">
                  <c:v>1.12124568258489</c:v>
                </c:pt>
                <c:pt idx="75">
                  <c:v>1.12124568258489</c:v>
                </c:pt>
                <c:pt idx="76">
                  <c:v>1.12124568258489</c:v>
                </c:pt>
                <c:pt idx="77">
                  <c:v>1.12124568258489</c:v>
                </c:pt>
                <c:pt idx="78">
                  <c:v>1.12124568258489</c:v>
                </c:pt>
                <c:pt idx="79">
                  <c:v>1.12124568258489</c:v>
                </c:pt>
                <c:pt idx="80">
                  <c:v>1.12124568258489</c:v>
                </c:pt>
                <c:pt idx="81">
                  <c:v>1.12124568258489</c:v>
                </c:pt>
                <c:pt idx="82">
                  <c:v>1.12124568258489</c:v>
                </c:pt>
              </c:numCache>
            </c:numRef>
          </c:yVal>
          <c:smooth val="1"/>
          <c:extLst>
            <c:ext xmlns:c16="http://schemas.microsoft.com/office/drawing/2014/chart" uri="{C3380CC4-5D6E-409C-BE32-E72D297353CC}">
              <c16:uniqueId val="{00000006-D8BB-4DE4-8C45-BB2903F290C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1921.5837087114464</c:v>
                </c:pt>
                <c:pt idx="39">
                  <c:v>6.499999999999007</c:v>
                </c:pt>
                <c:pt idx="40">
                  <c:v>3.2529106029008803</c:v>
                </c:pt>
                <c:pt idx="41">
                  <c:v>2.4982667258847973</c:v>
                </c:pt>
                <c:pt idx="42">
                  <c:v>2.1257309304031207</c:v>
                </c:pt>
                <c:pt idx="43">
                  <c:v>1.8960339956097945</c:v>
                </c:pt>
                <c:pt idx="44">
                  <c:v>1.7376131616797115</c:v>
                </c:pt>
                <c:pt idx="45">
                  <c:v>1.6206354136476369</c:v>
                </c:pt>
                <c:pt idx="46">
                  <c:v>1.5301841113520063</c:v>
                </c:pt>
                <c:pt idx="47">
                  <c:v>1.4578754741100259</c:v>
                </c:pt>
                <c:pt idx="48">
                  <c:v>1.3985939180008431</c:v>
                </c:pt>
                <c:pt idx="49">
                  <c:v>1.3490213172523273</c:v>
                </c:pt>
                <c:pt idx="50">
                  <c:v>1.3069011244615849</c:v>
                </c:pt>
                <c:pt idx="51">
                  <c:v>1.2706396576782892</c:v>
                </c:pt>
                <c:pt idx="52">
                  <c:v>1.2390760932765092</c:v>
                </c:pt>
                <c:pt idx="53">
                  <c:v>1.2113428740117067</c:v>
                </c:pt>
                <c:pt idx="54">
                  <c:v>1.1867773590313537</c:v>
                </c:pt>
                <c:pt idx="55">
                  <c:v>1.1648638953701158</c:v>
                </c:pt>
                <c:pt idx="56">
                  <c:v>1.1451946731274369</c:v>
                </c:pt>
                <c:pt idx="57">
                  <c:v>1.1274425752841599</c:v>
                </c:pt>
                <c:pt idx="58">
                  <c:v>1.1113419135083229</c:v>
                </c:pt>
                <c:pt idx="59">
                  <c:v>1.0966744827478272</c:v>
                </c:pt>
                <c:pt idx="60">
                  <c:v>1.0832592849365161</c:v>
                </c:pt>
                <c:pt idx="61">
                  <c:v>1.0709448350980926</c:v>
                </c:pt>
                <c:pt idx="62">
                  <c:v>1.0596033179556184</c:v>
                </c:pt>
                <c:pt idx="63">
                  <c:v>1.0491260922331147</c:v>
                </c:pt>
                <c:pt idx="64">
                  <c:v>1.0394201909627108</c:v>
                </c:pt>
                <c:pt idx="65">
                  <c:v>1.0304055677788071</c:v>
                </c:pt>
                <c:pt idx="66">
                  <c:v>1.022012908801389</c:v>
                </c:pt>
                <c:pt idx="67">
                  <c:v>1.0141818781648655</c:v>
                </c:pt>
                <c:pt idx="68">
                  <c:v>1.0068596994765564</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D8BB-4DE4-8C45-BB2903F290C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RTC!$C$31:$CG$31</c:f>
              <c:numCache>
                <c:formatCode>General</c:formatCode>
                <c:ptCount val="83"/>
                <c:pt idx="0">
                  <c:v>0.68571428571428572</c:v>
                </c:pt>
                <c:pt idx="1">
                  <c:v>0.68571428571428572</c:v>
                </c:pt>
                <c:pt idx="2">
                  <c:v>0.68571428571428572</c:v>
                </c:pt>
                <c:pt idx="3">
                  <c:v>0.68571428571428572</c:v>
                </c:pt>
                <c:pt idx="4">
                  <c:v>0.68571428571428572</c:v>
                </c:pt>
                <c:pt idx="5">
                  <c:v>0.68571428571428572</c:v>
                </c:pt>
                <c:pt idx="6">
                  <c:v>0.68571428571428572</c:v>
                </c:pt>
                <c:pt idx="7">
                  <c:v>0.68571428571428572</c:v>
                </c:pt>
                <c:pt idx="8">
                  <c:v>0.68571428571428572</c:v>
                </c:pt>
                <c:pt idx="9">
                  <c:v>0.68571428571428572</c:v>
                </c:pt>
                <c:pt idx="10">
                  <c:v>0.68571428571428572</c:v>
                </c:pt>
                <c:pt idx="11">
                  <c:v>0.68571428571428572</c:v>
                </c:pt>
                <c:pt idx="12">
                  <c:v>0.68571428571428572</c:v>
                </c:pt>
                <c:pt idx="13">
                  <c:v>0.68571428571428572</c:v>
                </c:pt>
                <c:pt idx="14">
                  <c:v>0.68571428571428572</c:v>
                </c:pt>
                <c:pt idx="15">
                  <c:v>0.68571428571428572</c:v>
                </c:pt>
                <c:pt idx="16">
                  <c:v>0.68571428571428572</c:v>
                </c:pt>
                <c:pt idx="17">
                  <c:v>0.68571428571428572</c:v>
                </c:pt>
                <c:pt idx="18">
                  <c:v>0.68571428571428572</c:v>
                </c:pt>
                <c:pt idx="19">
                  <c:v>0.68571428571428572</c:v>
                </c:pt>
                <c:pt idx="20">
                  <c:v>0.68571428571428572</c:v>
                </c:pt>
                <c:pt idx="21">
                  <c:v>0.68571428571428572</c:v>
                </c:pt>
                <c:pt idx="22">
                  <c:v>0.68571428571428572</c:v>
                </c:pt>
                <c:pt idx="23">
                  <c:v>0.68571428571428572</c:v>
                </c:pt>
                <c:pt idx="24">
                  <c:v>0.68571428571428572</c:v>
                </c:pt>
                <c:pt idx="25">
                  <c:v>0.68571428571428572</c:v>
                </c:pt>
                <c:pt idx="26">
                  <c:v>0.68571428571428572</c:v>
                </c:pt>
                <c:pt idx="27">
                  <c:v>0.68571428571428572</c:v>
                </c:pt>
                <c:pt idx="28">
                  <c:v>0.68571428571428572</c:v>
                </c:pt>
                <c:pt idx="29">
                  <c:v>0.68571428571428572</c:v>
                </c:pt>
                <c:pt idx="30">
                  <c:v>0.68571428571428572</c:v>
                </c:pt>
                <c:pt idx="31">
                  <c:v>0.68571428571428572</c:v>
                </c:pt>
                <c:pt idx="32">
                  <c:v>0.68571428571428572</c:v>
                </c:pt>
                <c:pt idx="33">
                  <c:v>0.68571428571428572</c:v>
                </c:pt>
                <c:pt idx="34">
                  <c:v>0.68571428571428572</c:v>
                </c:pt>
                <c:pt idx="35">
                  <c:v>0.68571428571428572</c:v>
                </c:pt>
                <c:pt idx="36">
                  <c:v>0.68571428571428572</c:v>
                </c:pt>
                <c:pt idx="37">
                  <c:v>0.68571428571428572</c:v>
                </c:pt>
                <c:pt idx="38">
                  <c:v>0.68571428571428572</c:v>
                </c:pt>
                <c:pt idx="39">
                  <c:v>0.68571428571428572</c:v>
                </c:pt>
                <c:pt idx="40">
                  <c:v>0.68571428571428572</c:v>
                </c:pt>
                <c:pt idx="41">
                  <c:v>0.68571428571428572</c:v>
                </c:pt>
                <c:pt idx="42">
                  <c:v>0.68571428571428572</c:v>
                </c:pt>
                <c:pt idx="43">
                  <c:v>0.68571428571428572</c:v>
                </c:pt>
                <c:pt idx="44">
                  <c:v>0.68571428571428572</c:v>
                </c:pt>
                <c:pt idx="45">
                  <c:v>0.68571428571428572</c:v>
                </c:pt>
                <c:pt idx="46">
                  <c:v>0.68571428571428572</c:v>
                </c:pt>
                <c:pt idx="47">
                  <c:v>0.68571428571428572</c:v>
                </c:pt>
                <c:pt idx="48">
                  <c:v>0.68571428571428572</c:v>
                </c:pt>
                <c:pt idx="49">
                  <c:v>0.68571428571428572</c:v>
                </c:pt>
                <c:pt idx="50">
                  <c:v>0.68571428571428572</c:v>
                </c:pt>
                <c:pt idx="51">
                  <c:v>0.68571428571428572</c:v>
                </c:pt>
                <c:pt idx="52">
                  <c:v>0.68571428571428572</c:v>
                </c:pt>
                <c:pt idx="53">
                  <c:v>0.68571428571428572</c:v>
                </c:pt>
                <c:pt idx="54">
                  <c:v>0.68571428571428572</c:v>
                </c:pt>
                <c:pt idx="55">
                  <c:v>0.68571428571428572</c:v>
                </c:pt>
                <c:pt idx="56">
                  <c:v>0.68571428571428572</c:v>
                </c:pt>
                <c:pt idx="57">
                  <c:v>0.68571428571428572</c:v>
                </c:pt>
                <c:pt idx="58">
                  <c:v>0.68571428571428572</c:v>
                </c:pt>
                <c:pt idx="59">
                  <c:v>0.68571428571428572</c:v>
                </c:pt>
                <c:pt idx="60">
                  <c:v>0.68571428571428572</c:v>
                </c:pt>
                <c:pt idx="61">
                  <c:v>0.68571428571428572</c:v>
                </c:pt>
                <c:pt idx="62">
                  <c:v>0.68571428571428572</c:v>
                </c:pt>
                <c:pt idx="63">
                  <c:v>0.68571428571428572</c:v>
                </c:pt>
                <c:pt idx="64">
                  <c:v>0.68571428571428572</c:v>
                </c:pt>
                <c:pt idx="65">
                  <c:v>0.68571428571428572</c:v>
                </c:pt>
                <c:pt idx="66">
                  <c:v>0.68571428571428572</c:v>
                </c:pt>
                <c:pt idx="67">
                  <c:v>0.68571428571428572</c:v>
                </c:pt>
                <c:pt idx="68">
                  <c:v>0.68571428571428572</c:v>
                </c:pt>
                <c:pt idx="69">
                  <c:v>0.68571428571428572</c:v>
                </c:pt>
                <c:pt idx="70">
                  <c:v>0.68571428571428572</c:v>
                </c:pt>
                <c:pt idx="71">
                  <c:v>0.68571428571428572</c:v>
                </c:pt>
                <c:pt idx="72">
                  <c:v>0.68571428571428572</c:v>
                </c:pt>
                <c:pt idx="73">
                  <c:v>0.68571428571428572</c:v>
                </c:pt>
                <c:pt idx="74">
                  <c:v>0.68571428571428572</c:v>
                </c:pt>
                <c:pt idx="75">
                  <c:v>0.68571428571428572</c:v>
                </c:pt>
                <c:pt idx="76">
                  <c:v>0.68571428571428572</c:v>
                </c:pt>
                <c:pt idx="77">
                  <c:v>0.68571428571428572</c:v>
                </c:pt>
                <c:pt idx="78">
                  <c:v>0.68571428571428572</c:v>
                </c:pt>
                <c:pt idx="79">
                  <c:v>0.68571428571428572</c:v>
                </c:pt>
                <c:pt idx="80">
                  <c:v>0.68571428571428572</c:v>
                </c:pt>
                <c:pt idx="81">
                  <c:v>0.68571428571428572</c:v>
                </c:pt>
                <c:pt idx="82">
                  <c:v>0.68571428571428572</c:v>
                </c:pt>
              </c:numCache>
            </c:numRef>
          </c:yVal>
          <c:smooth val="1"/>
          <c:extLst>
            <c:ext xmlns:c16="http://schemas.microsoft.com/office/drawing/2014/chart" uri="{C3380CC4-5D6E-409C-BE32-E72D297353CC}">
              <c16:uniqueId val="{00000008-D8BB-4DE4-8C45-BB2903F290CD}"/>
            </c:ext>
          </c:extLst>
        </c:ser>
        <c:dLbls>
          <c:showLegendKey val="0"/>
          <c:showVal val="0"/>
          <c:showCatName val="0"/>
          <c:showSerName val="0"/>
          <c:showPercent val="0"/>
          <c:showBubbleSize val="0"/>
        </c:dLbls>
        <c:axId val="24394893"/>
        <c:axId val="28282611"/>
      </c:scatterChart>
      <c:valAx>
        <c:axId val="24394893"/>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8282611"/>
        <c:crosses val="autoZero"/>
        <c:crossBetween val="midCat"/>
      </c:valAx>
      <c:valAx>
        <c:axId val="28282611"/>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4394893"/>
        <c:crosses val="autoZero"/>
        <c:crossBetween val="midCat"/>
      </c:valAx>
      <c:spPr>
        <a:noFill/>
        <a:ln w="0">
          <a:noFill/>
        </a:ln>
      </c:spPr>
    </c:plotArea>
    <c:legend>
      <c:legendPos val="r"/>
      <c:layout>
        <c:manualLayout>
          <c:xMode val="edge"/>
          <c:yMode val="edge"/>
          <c:x val="0.63048927034525304"/>
          <c:y val="0.169142867158386"/>
          <c:w val="0.289676105277133"/>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Output Power on Half Cycle  vs Load </a:t>
            </a:r>
          </a:p>
        </c:rich>
      </c:tx>
      <c:layout>
        <c:manualLayout>
          <c:xMode val="edge"/>
          <c:yMode val="edge"/>
          <c:x val="0.31289922338127801"/>
          <c:y val="4.3690267212795002E-2"/>
        </c:manualLayout>
      </c:layout>
      <c:overlay val="0"/>
      <c:spPr>
        <a:noFill/>
        <a:ln w="0">
          <a:noFill/>
        </a:ln>
      </c:spPr>
    </c:title>
    <c:autoTitleDeleted val="0"/>
    <c:plotArea>
      <c:layout>
        <c:manualLayout>
          <c:layoutTarget val="inner"/>
          <c:xMode val="edge"/>
          <c:yMode val="edge"/>
          <c:x val="0.125361885942742"/>
          <c:y val="0.121513555685586"/>
          <c:w val="0.77818114976333796"/>
          <c:h val="0.73311228138612605"/>
        </c:manualLayout>
      </c:layout>
      <c:scatterChart>
        <c:scatterStyle val="lineMarker"/>
        <c:varyColors val="0"/>
        <c:ser>
          <c:idx val="0"/>
          <c:order val="0"/>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0-A566-4EAB-9696-5C2D9BD0EAED}"/>
            </c:ext>
          </c:extLst>
        </c:ser>
        <c:ser>
          <c:idx val="1"/>
          <c:order val="1"/>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1-A566-4EAB-9696-5C2D9BD0EAED}"/>
            </c:ext>
          </c:extLst>
        </c:ser>
        <c:ser>
          <c:idx val="2"/>
          <c:order val="2"/>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2-A566-4EAB-9696-5C2D9BD0EAED}"/>
            </c:ext>
          </c:extLst>
        </c:ser>
        <c:ser>
          <c:idx val="3"/>
          <c:order val="3"/>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3-A566-4EAB-9696-5C2D9BD0EAED}"/>
            </c:ext>
          </c:extLst>
        </c:ser>
        <c:dLbls>
          <c:showLegendKey val="0"/>
          <c:showVal val="0"/>
          <c:showCatName val="0"/>
          <c:showSerName val="0"/>
          <c:showPercent val="0"/>
          <c:showBubbleSize val="0"/>
        </c:dLbls>
        <c:axId val="67409469"/>
        <c:axId val="47438478"/>
      </c:scatterChart>
      <c:valAx>
        <c:axId val="67409469"/>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7438478"/>
        <c:crosses val="autoZero"/>
        <c:crossBetween val="midCat"/>
      </c:valAx>
      <c:valAx>
        <c:axId val="47438478"/>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Output Power [W]</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7409469"/>
        <c:crosses val="autoZero"/>
        <c:crossBetween val="midCat"/>
      </c:valAx>
      <c:spPr>
        <a:noFill/>
        <a:ln w="0">
          <a:noFill/>
        </a:ln>
      </c:spPr>
    </c:plotArea>
    <c:legend>
      <c:legendPos val="r"/>
      <c:layout>
        <c:manualLayout>
          <c:xMode val="edge"/>
          <c:yMode val="edge"/>
          <c:x val="0.70716853657541501"/>
          <c:y val="0.136386143947412"/>
          <c:w val="0.17542997021745299"/>
          <c:h val="0.27092879944548098"/>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2B96-4C25-9015-EA87FA17B2C6}"/>
            </c:ext>
          </c:extLst>
        </c:ser>
        <c:ser>
          <c:idx val="1"/>
          <c:order val="1"/>
          <c:tx>
            <c:strRef>
              <c:f>RTC!$BG$205</c:f>
              <c:strCache>
                <c:ptCount val="1"/>
                <c:pt idx="0">
                  <c:v>Lower fres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85.071895494482334</c:v>
                </c:pt>
                <c:pt idx="1">
                  <c:v>85.071895494482334</c:v>
                </c:pt>
                <c:pt idx="2">
                  <c:v>85.071895494482334</c:v>
                </c:pt>
                <c:pt idx="3">
                  <c:v>85.071895494482334</c:v>
                </c:pt>
                <c:pt idx="4">
                  <c:v>85.071895494482334</c:v>
                </c:pt>
                <c:pt idx="5">
                  <c:v>85.071895494482334</c:v>
                </c:pt>
                <c:pt idx="6">
                  <c:v>85.071895494482334</c:v>
                </c:pt>
                <c:pt idx="7">
                  <c:v>85.071895494482334</c:v>
                </c:pt>
                <c:pt idx="8">
                  <c:v>85.071895494482334</c:v>
                </c:pt>
                <c:pt idx="9">
                  <c:v>85.071895494482334</c:v>
                </c:pt>
                <c:pt idx="10">
                  <c:v>85.071895494482334</c:v>
                </c:pt>
                <c:pt idx="11">
                  <c:v>85.071895494482334</c:v>
                </c:pt>
                <c:pt idx="12">
                  <c:v>85.071895494482334</c:v>
                </c:pt>
              </c:numCache>
            </c:numRef>
          </c:yVal>
          <c:smooth val="1"/>
          <c:extLst>
            <c:ext xmlns:c16="http://schemas.microsoft.com/office/drawing/2014/chart" uri="{C3380CC4-5D6E-409C-BE32-E72D297353CC}">
              <c16:uniqueId val="{00000001-2B96-4C25-9015-EA87FA17B2C6}"/>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85.071895494482334</c:v>
                </c:pt>
                <c:pt idx="1">
                  <c:v>90.3794202858966</c:v>
                </c:pt>
                <c:pt idx="2">
                  <c:v>95.715550449476737</c:v>
                </c:pt>
                <c:pt idx="3">
                  <c:v>100.52167813387345</c:v>
                </c:pt>
                <c:pt idx="4">
                  <c:v>104.5199567275929</c:v>
                </c:pt>
                <c:pt idx="5">
                  <c:v>107.38597802274474</c:v>
                </c:pt>
                <c:pt idx="6">
                  <c:v>108.48073501066828</c:v>
                </c:pt>
                <c:pt idx="7">
                  <c:v>107.38597802274474</c:v>
                </c:pt>
                <c:pt idx="8">
                  <c:v>104.5199567275929</c:v>
                </c:pt>
                <c:pt idx="9">
                  <c:v>100.52167813387345</c:v>
                </c:pt>
                <c:pt idx="10">
                  <c:v>95.715550449476737</c:v>
                </c:pt>
                <c:pt idx="11">
                  <c:v>90.3794202858966</c:v>
                </c:pt>
                <c:pt idx="12" formatCode="0.00">
                  <c:v>85.071895494482334</c:v>
                </c:pt>
              </c:numCache>
            </c:numRef>
          </c:yVal>
          <c:smooth val="1"/>
          <c:extLst>
            <c:ext xmlns:c16="http://schemas.microsoft.com/office/drawing/2014/chart" uri="{C3380CC4-5D6E-409C-BE32-E72D297353CC}">
              <c16:uniqueId val="{00000002-2B96-4C25-9015-EA87FA17B2C6}"/>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85.071895494482334</c:v>
                </c:pt>
                <c:pt idx="1">
                  <c:v>96.499031332976642</c:v>
                </c:pt>
                <c:pt idx="2">
                  <c:v>112.61281329582202</c:v>
                </c:pt>
                <c:pt idx="3">
                  <c:v>136.30295600670789</c:v>
                </c:pt>
                <c:pt idx="4">
                  <c:v>169.10768602606672</c:v>
                </c:pt>
                <c:pt idx="5">
                  <c:v>198.80408668385192</c:v>
                </c:pt>
                <c:pt idx="6">
                  <c:v>209.49207052165292</c:v>
                </c:pt>
                <c:pt idx="7">
                  <c:v>198.80408668385192</c:v>
                </c:pt>
                <c:pt idx="8">
                  <c:v>169.10768602606672</c:v>
                </c:pt>
                <c:pt idx="9">
                  <c:v>136.30295600670789</c:v>
                </c:pt>
                <c:pt idx="10">
                  <c:v>112.61281329582202</c:v>
                </c:pt>
                <c:pt idx="11">
                  <c:v>96.499031332976642</c:v>
                </c:pt>
                <c:pt idx="12" formatCode="0.00">
                  <c:v>85.071895494482334</c:v>
                </c:pt>
              </c:numCache>
            </c:numRef>
          </c:yVal>
          <c:smooth val="1"/>
          <c:extLst>
            <c:ext xmlns:c16="http://schemas.microsoft.com/office/drawing/2014/chart" uri="{C3380CC4-5D6E-409C-BE32-E72D297353CC}">
              <c16:uniqueId val="{00000003-2B96-4C25-9015-EA87FA17B2C6}"/>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85.071895494482334</c:v>
                </c:pt>
                <c:pt idx="1">
                  <c:v>92.255250939154891</c:v>
                </c:pt>
                <c:pt idx="2">
                  <c:v>100.51056516584286</c:v>
                </c:pt>
                <c:pt idx="3">
                  <c:v>109.6647071786537</c:v>
                </c:pt>
                <c:pt idx="4">
                  <c:v>119.29396947335819</c:v>
                </c:pt>
                <c:pt idx="5">
                  <c:v>127.43083315822061</c:v>
                </c:pt>
                <c:pt idx="6">
                  <c:v>130.71975083013285</c:v>
                </c:pt>
                <c:pt idx="7">
                  <c:v>127.43083315822061</c:v>
                </c:pt>
                <c:pt idx="8">
                  <c:v>119.29396947335819</c:v>
                </c:pt>
                <c:pt idx="9">
                  <c:v>109.6647071786537</c:v>
                </c:pt>
                <c:pt idx="10">
                  <c:v>100.51056516584286</c:v>
                </c:pt>
                <c:pt idx="11">
                  <c:v>92.255250939154891</c:v>
                </c:pt>
                <c:pt idx="12" formatCode="0.00">
                  <c:v>85.071895494482334</c:v>
                </c:pt>
              </c:numCache>
            </c:numRef>
          </c:yVal>
          <c:smooth val="1"/>
          <c:extLst>
            <c:ext xmlns:c16="http://schemas.microsoft.com/office/drawing/2014/chart" uri="{C3380CC4-5D6E-409C-BE32-E72D297353CC}">
              <c16:uniqueId val="{00000004-2B96-4C25-9015-EA87FA17B2C6}"/>
            </c:ext>
          </c:extLst>
        </c:ser>
        <c:dLbls>
          <c:showLegendKey val="0"/>
          <c:showVal val="0"/>
          <c:showCatName val="0"/>
          <c:showSerName val="0"/>
          <c:showPercent val="0"/>
          <c:showBubbleSize val="0"/>
        </c:dLbls>
        <c:axId val="77512917"/>
        <c:axId val="93287111"/>
      </c:scatterChart>
      <c:scatterChart>
        <c:scatterStyle val="lineMarker"/>
        <c:varyColors val="0"/>
        <c:ser>
          <c:idx val="5"/>
          <c:order val="5"/>
          <c:tx>
            <c:strRef>
              <c:f>CC!$B$15</c:f>
              <c:strCache>
                <c:ptCount val="1"/>
                <c:pt idx="0">
                  <c:v>Iout.inst</c:v>
                </c:pt>
              </c:strCache>
            </c:strRef>
          </c:tx>
          <c:spPr>
            <a:ln w="19080" cap="rnd">
              <a:solidFill>
                <a:srgbClr val="0D3A4E"/>
              </a:solidFill>
              <a:prstDash val="sysDot"/>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CC!$C$4:$AM$4</c:f>
              <c:numCache>
                <c:formatCode>General</c:formatCode>
                <c:ptCount val="37"/>
                <c:pt idx="0">
                  <c:v>0</c:v>
                </c:pt>
                <c:pt idx="1">
                  <c:v>0.10134169850289655</c:v>
                </c:pt>
                <c:pt idx="2">
                  <c:v>0.2026833970057931</c:v>
                </c:pt>
                <c:pt idx="3">
                  <c:v>0.30402509550868967</c:v>
                </c:pt>
                <c:pt idx="4">
                  <c:v>0.40536679401158621</c:v>
                </c:pt>
                <c:pt idx="5">
                  <c:v>0.5067084925144828</c:v>
                </c:pt>
                <c:pt idx="6">
                  <c:v>0.60805019101737934</c:v>
                </c:pt>
                <c:pt idx="7">
                  <c:v>0.70939188952027588</c:v>
                </c:pt>
                <c:pt idx="8">
                  <c:v>0.78539816339744828</c:v>
                </c:pt>
                <c:pt idx="9">
                  <c:v>0.81073358802317241</c:v>
                </c:pt>
                <c:pt idx="10">
                  <c:v>0.91207528652606895</c:v>
                </c:pt>
                <c:pt idx="11">
                  <c:v>1.0134169850289656</c:v>
                </c:pt>
                <c:pt idx="12">
                  <c:v>1.0471975511965976</c:v>
                </c:pt>
                <c:pt idx="13">
                  <c:v>1.1147586835318619</c:v>
                </c:pt>
                <c:pt idx="14">
                  <c:v>1.2161003820347587</c:v>
                </c:pt>
                <c:pt idx="15">
                  <c:v>1.3174420805376552</c:v>
                </c:pt>
                <c:pt idx="16">
                  <c:v>1.4187837790405518</c:v>
                </c:pt>
                <c:pt idx="17">
                  <c:v>1.5201254775434481</c:v>
                </c:pt>
                <c:pt idx="18">
                  <c:v>1.5707963267948966</c:v>
                </c:pt>
                <c:pt idx="19">
                  <c:v>1.6214671760463448</c:v>
                </c:pt>
                <c:pt idx="20">
                  <c:v>1.7228088745492416</c:v>
                </c:pt>
                <c:pt idx="21">
                  <c:v>1.8241505730521379</c:v>
                </c:pt>
                <c:pt idx="22">
                  <c:v>1.9254922715550344</c:v>
                </c:pt>
                <c:pt idx="23">
                  <c:v>2.0268339700579312</c:v>
                </c:pt>
                <c:pt idx="24">
                  <c:v>2.0943951023931953</c:v>
                </c:pt>
                <c:pt idx="25">
                  <c:v>2.1281756685608277</c:v>
                </c:pt>
                <c:pt idx="26">
                  <c:v>2.2295173670637238</c:v>
                </c:pt>
                <c:pt idx="27">
                  <c:v>2.3308590655666204</c:v>
                </c:pt>
                <c:pt idx="28">
                  <c:v>2.3561944901923448</c:v>
                </c:pt>
                <c:pt idx="29">
                  <c:v>2.4322007640695174</c:v>
                </c:pt>
                <c:pt idx="30">
                  <c:v>2.5335424625724139</c:v>
                </c:pt>
                <c:pt idx="31">
                  <c:v>2.6348841610753104</c:v>
                </c:pt>
                <c:pt idx="32">
                  <c:v>2.736225859578207</c:v>
                </c:pt>
                <c:pt idx="33">
                  <c:v>2.8375675580811035</c:v>
                </c:pt>
                <c:pt idx="34">
                  <c:v>2.938909256584</c:v>
                </c:pt>
                <c:pt idx="35">
                  <c:v>3.0402509550868961</c:v>
                </c:pt>
                <c:pt idx="36">
                  <c:v>3.1415926535897931</c:v>
                </c:pt>
              </c:numCache>
            </c:numRef>
          </c:xVal>
          <c:yVal>
            <c:numRef>
              <c:f>CC!$C$15:$AM$15</c:f>
              <c:numCache>
                <c:formatCode>General</c:formatCode>
                <c:ptCount val="37"/>
                <c:pt idx="0">
                  <c:v>0</c:v>
                </c:pt>
                <c:pt idx="1">
                  <c:v>0.53836254505939463</c:v>
                </c:pt>
                <c:pt idx="2">
                  <c:v>2.1314095543879343</c:v>
                </c:pt>
                <c:pt idx="3">
                  <c:v>4.7139214962486324</c:v>
                </c:pt>
                <c:pt idx="4">
                  <c:v>8.1801700283094423</c:v>
                </c:pt>
                <c:pt idx="5">
                  <c:v>12.388246528400886</c:v>
                </c:pt>
                <c:pt idx="6">
                  <c:v>17.16587185018123</c:v>
                </c:pt>
                <c:pt idx="7">
                  <c:v>22.317449451629631</c:v>
                </c:pt>
                <c:pt idx="8">
                  <c:v>26.299999999999997</c:v>
                </c:pt>
                <c:pt idx="9">
                  <c:v>27.632073140458136</c:v>
                </c:pt>
                <c:pt idx="10">
                  <c:v>32.892161598404343</c:v>
                </c:pt>
                <c:pt idx="11">
                  <c:v>37.882366185965779</c:v>
                </c:pt>
                <c:pt idx="12">
                  <c:v>39.449999999999996</c:v>
                </c:pt>
                <c:pt idx="13">
                  <c:v>42.398387341003527</c:v>
                </c:pt>
                <c:pt idx="14">
                  <c:v>46.255338626820404</c:v>
                </c:pt>
                <c:pt idx="15">
                  <c:v>49.295316004602512</c:v>
                </c:pt>
                <c:pt idx="16">
                  <c:v>51.393862443321289</c:v>
                </c:pt>
                <c:pt idx="17">
                  <c:v>52.465063205206846</c:v>
                </c:pt>
                <c:pt idx="18">
                  <c:v>52.6</c:v>
                </c:pt>
                <c:pt idx="19">
                  <c:v>52.465063205206846</c:v>
                </c:pt>
                <c:pt idx="20">
                  <c:v>51.393862443321289</c:v>
                </c:pt>
                <c:pt idx="21">
                  <c:v>49.295316004602512</c:v>
                </c:pt>
                <c:pt idx="22">
                  <c:v>46.255338626820404</c:v>
                </c:pt>
                <c:pt idx="23">
                  <c:v>42.398387341003527</c:v>
                </c:pt>
                <c:pt idx="24">
                  <c:v>39.450000000000003</c:v>
                </c:pt>
                <c:pt idx="25">
                  <c:v>37.882366185965779</c:v>
                </c:pt>
                <c:pt idx="26">
                  <c:v>32.892161598404371</c:v>
                </c:pt>
                <c:pt idx="27">
                  <c:v>27.632073140458161</c:v>
                </c:pt>
                <c:pt idx="28">
                  <c:v>26.300000000000004</c:v>
                </c:pt>
                <c:pt idx="29">
                  <c:v>22.317449451629635</c:v>
                </c:pt>
                <c:pt idx="30">
                  <c:v>17.16587185018123</c:v>
                </c:pt>
                <c:pt idx="31">
                  <c:v>12.388246528400886</c:v>
                </c:pt>
                <c:pt idx="32">
                  <c:v>8.1801700283094441</c:v>
                </c:pt>
                <c:pt idx="33">
                  <c:v>4.7139214962486351</c:v>
                </c:pt>
                <c:pt idx="34">
                  <c:v>2.1314095543879361</c:v>
                </c:pt>
                <c:pt idx="35">
                  <c:v>0.53836254505940062</c:v>
                </c:pt>
                <c:pt idx="36">
                  <c:v>7.8952007543317891E-31</c:v>
                </c:pt>
              </c:numCache>
            </c:numRef>
          </c:yVal>
          <c:smooth val="1"/>
          <c:extLst>
            <c:ext xmlns:c16="http://schemas.microsoft.com/office/drawing/2014/chart" uri="{C3380CC4-5D6E-409C-BE32-E72D297353CC}">
              <c16:uniqueId val="{00000005-2B96-4C25-9015-EA87FA17B2C6}"/>
            </c:ext>
          </c:extLst>
        </c:ser>
        <c:dLbls>
          <c:showLegendKey val="0"/>
          <c:showVal val="0"/>
          <c:showCatName val="0"/>
          <c:showSerName val="0"/>
          <c:showPercent val="0"/>
          <c:showBubbleSize val="0"/>
        </c:dLbls>
        <c:axId val="37774851"/>
        <c:axId val="85884305"/>
      </c:scatterChart>
      <c:valAx>
        <c:axId val="77512917"/>
        <c:scaling>
          <c:orientation val="minMax"/>
          <c:max val="3.14"/>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287111"/>
        <c:crosses val="autoZero"/>
        <c:crossBetween val="midCat"/>
        <c:majorUnit val="0.4"/>
      </c:valAx>
      <c:valAx>
        <c:axId val="93287111"/>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77512917"/>
        <c:crosses val="autoZero"/>
        <c:crossBetween val="midCat"/>
        <c:majorUnit val="10"/>
      </c:valAx>
      <c:valAx>
        <c:axId val="37774851"/>
        <c:scaling>
          <c:orientation val="minMax"/>
        </c:scaling>
        <c:delete val="1"/>
        <c:axPos val="b"/>
        <c:numFmt formatCode="General" sourceLinked="1"/>
        <c:majorTickMark val="out"/>
        <c:minorTickMark val="none"/>
        <c:tickLblPos val="nextTo"/>
        <c:crossAx val="85884305"/>
        <c:crosses val="autoZero"/>
        <c:crossBetween val="midCat"/>
      </c:valAx>
      <c:valAx>
        <c:axId val="85884305"/>
        <c:scaling>
          <c:orientation val="minMax"/>
        </c:scaling>
        <c:delete val="0"/>
        <c:axPos val="r"/>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Iout.inst [A]</a:t>
                </a:r>
              </a:p>
            </c:rich>
          </c:tx>
          <c:overlay val="0"/>
          <c:spPr>
            <a:noFill/>
            <a:ln w="0">
              <a:noFill/>
            </a:ln>
          </c:spPr>
        </c:title>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7774851"/>
        <c:crosses val="max"/>
        <c:crossBetween val="midCat"/>
      </c:valAx>
      <c:spPr>
        <a:noFill/>
        <a:ln w="0">
          <a:noFill/>
        </a:ln>
      </c:spPr>
    </c:plotArea>
    <c:legend>
      <c:legendPos val="r"/>
      <c:layout>
        <c:manualLayout>
          <c:xMode val="edge"/>
          <c:yMode val="edge"/>
          <c:x val="0.72870908800499901"/>
          <c:y val="0.132447527321951"/>
          <c:w val="0.167203804796553"/>
          <c:h val="0.25312318408085599"/>
        </c:manualLayout>
      </c:layout>
      <c:overlay val="1"/>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Gcto_OC
</a:t>
            </a:r>
          </a:p>
        </c:rich>
      </c:tx>
      <c:layout>
        <c:manualLayout>
          <c:xMode val="edge"/>
          <c:yMode val="edge"/>
          <c:x val="0.29039572818374698"/>
          <c:y val="1.04484109708315E-3"/>
        </c:manualLayout>
      </c:layout>
      <c:overlay val="0"/>
      <c:spPr>
        <a:noFill/>
        <a:ln w="25560">
          <a:noFill/>
        </a:ln>
      </c:spPr>
    </c:title>
    <c:autoTitleDeleted val="0"/>
    <c:plotArea>
      <c:layout>
        <c:manualLayout>
          <c:layoutTarget val="inner"/>
          <c:xMode val="edge"/>
          <c:yMode val="edge"/>
          <c:x val="9.5311242776680599E-2"/>
          <c:y val="0.19355681323465401"/>
          <c:w val="0.86518908638724301"/>
          <c:h val="0.69159773617762299"/>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'CompensationNet&amp;Check'!$I$126:$AS$126</c:f>
              <c:numCache>
                <c:formatCode>0.00E+00</c:formatCode>
                <c:ptCount val="37"/>
                <c:pt idx="0">
                  <c:v>46.31921290423022</c:v>
                </c:pt>
                <c:pt idx="1">
                  <c:v>40.298612990950595</c:v>
                </c:pt>
                <c:pt idx="2">
                  <c:v>36.776787809836968</c:v>
                </c:pt>
                <c:pt idx="3">
                  <c:v>34.27801307767097</c:v>
                </c:pt>
                <c:pt idx="4">
                  <c:v>32.339812817509838</c:v>
                </c:pt>
                <c:pt idx="5">
                  <c:v>30.756187896557343</c:v>
                </c:pt>
                <c:pt idx="6">
                  <c:v>29.417252103945074</c:v>
                </c:pt>
                <c:pt idx="7">
                  <c:v>28.257413164391345</c:v>
                </c:pt>
                <c:pt idx="8">
                  <c:v>27.234362715443719</c:v>
                </c:pt>
                <c:pt idx="9">
                  <c:v>26.319212904230213</c:v>
                </c:pt>
                <c:pt idx="10">
                  <c:v>20.298612990950588</c:v>
                </c:pt>
                <c:pt idx="11">
                  <c:v>16.776787809836968</c:v>
                </c:pt>
                <c:pt idx="12">
                  <c:v>14.278013077670966</c:v>
                </c:pt>
                <c:pt idx="13">
                  <c:v>12.339812817509838</c:v>
                </c:pt>
                <c:pt idx="14">
                  <c:v>10.756187896557341</c:v>
                </c:pt>
                <c:pt idx="15">
                  <c:v>9.4172521039450778</c:v>
                </c:pt>
                <c:pt idx="16">
                  <c:v>8.2574131643913411</c:v>
                </c:pt>
                <c:pt idx="17">
                  <c:v>7.2343627154437158</c:v>
                </c:pt>
                <c:pt idx="18">
                  <c:v>6.3192129042302136</c:v>
                </c:pt>
                <c:pt idx="19">
                  <c:v>0.2986129909505898</c:v>
                </c:pt>
                <c:pt idx="20">
                  <c:v>-3.223212190163034</c:v>
                </c:pt>
                <c:pt idx="21">
                  <c:v>-5.7219869223290338</c:v>
                </c:pt>
                <c:pt idx="22">
                  <c:v>-7.6601871824901622</c:v>
                </c:pt>
                <c:pt idx="23">
                  <c:v>-9.2438121034426572</c:v>
                </c:pt>
                <c:pt idx="24">
                  <c:v>-10.582747896054922</c:v>
                </c:pt>
                <c:pt idx="25">
                  <c:v>-11.742586835608657</c:v>
                </c:pt>
                <c:pt idx="26">
                  <c:v>-12.765637284556284</c:v>
                </c:pt>
                <c:pt idx="27">
                  <c:v>-13.680787095769787</c:v>
                </c:pt>
                <c:pt idx="28">
                  <c:v>-19.701387009049412</c:v>
                </c:pt>
                <c:pt idx="29">
                  <c:v>-23.223212190163032</c:v>
                </c:pt>
                <c:pt idx="30">
                  <c:v>-25.721986922329037</c:v>
                </c:pt>
                <c:pt idx="31">
                  <c:v>-27.660187182490162</c:v>
                </c:pt>
                <c:pt idx="32">
                  <c:v>-29.243812103442657</c:v>
                </c:pt>
                <c:pt idx="33">
                  <c:v>-30.582747896054919</c:v>
                </c:pt>
                <c:pt idx="34">
                  <c:v>-31.742586835608655</c:v>
                </c:pt>
                <c:pt idx="35">
                  <c:v>-32.765637284556284</c:v>
                </c:pt>
                <c:pt idx="36">
                  <c:v>-33.680787095769787</c:v>
                </c:pt>
              </c:numCache>
            </c:numRef>
          </c:yVal>
          <c:smooth val="0"/>
          <c:extLst>
            <c:ext xmlns:c16="http://schemas.microsoft.com/office/drawing/2014/chart" uri="{C3380CC4-5D6E-409C-BE32-E72D297353CC}">
              <c16:uniqueId val="{00000000-91DC-4D51-8FAA-8D9E54E389B2}"/>
            </c:ext>
          </c:extLst>
        </c:ser>
        <c:dLbls>
          <c:showLegendKey val="0"/>
          <c:showVal val="0"/>
          <c:showCatName val="0"/>
          <c:showSerName val="0"/>
          <c:showPercent val="0"/>
          <c:showBubbleSize val="0"/>
        </c:dLbls>
        <c:axId val="45276332"/>
        <c:axId val="66937171"/>
      </c:scatterChart>
      <c:valAx>
        <c:axId val="45276332"/>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39660426643501"/>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66937171"/>
        <c:crosses val="autoZero"/>
        <c:crossBetween val="midCat"/>
      </c:valAx>
      <c:valAx>
        <c:axId val="66937171"/>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743578580758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45276332"/>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EA</a:t>
            </a:r>
          </a:p>
        </c:rich>
      </c:tx>
      <c:layout>
        <c:manualLayout>
          <c:xMode val="edge"/>
          <c:yMode val="edge"/>
          <c:x val="0.36581064697454002"/>
          <c:y val="4.8375890220601001E-2"/>
        </c:manualLayout>
      </c:layout>
      <c:overlay val="0"/>
      <c:spPr>
        <a:noFill/>
        <a:ln w="25560">
          <a:noFill/>
        </a:ln>
      </c:spPr>
    </c:title>
    <c:autoTitleDeleted val="0"/>
    <c:plotArea>
      <c:layout>
        <c:manualLayout>
          <c:layoutTarget val="inner"/>
          <c:xMode val="edge"/>
          <c:yMode val="edge"/>
          <c:x val="0.106249311142952"/>
          <c:y val="0.161281917665451"/>
          <c:w val="0.85914251074616999"/>
          <c:h val="0.75421226333159597"/>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'CompensationNet&amp;Check'!$I$134:$AS$134</c:f>
              <c:numCache>
                <c:formatCode>0.0</c:formatCode>
                <c:ptCount val="37"/>
                <c:pt idx="0">
                  <c:v>-89.179321986667972</c:v>
                </c:pt>
                <c:pt idx="1">
                  <c:v>-88.359160731090057</c:v>
                </c:pt>
                <c:pt idx="2">
                  <c:v>-87.540031294882496</c:v>
                </c:pt>
                <c:pt idx="3">
                  <c:v>-86.722445361251872</c:v>
                </c:pt>
                <c:pt idx="4">
                  <c:v>-85.906909580243621</c:v>
                </c:pt>
                <c:pt idx="5">
                  <c:v>-85.093923954749428</c:v>
                </c:pt>
                <c:pt idx="6">
                  <c:v>-84.283980279897506</c:v>
                </c:pt>
                <c:pt idx="7">
                  <c:v>-83.477560647657043</c:v>
                </c:pt>
                <c:pt idx="8">
                  <c:v>-82.675136027531238</c:v>
                </c:pt>
                <c:pt idx="9">
                  <c:v>-81.877164933117029</c:v>
                </c:pt>
                <c:pt idx="10">
                  <c:v>-74.232205945209941</c:v>
                </c:pt>
                <c:pt idx="11">
                  <c:v>-67.410882144690675</c:v>
                </c:pt>
                <c:pt idx="12">
                  <c:v>-61.574374203974791</c:v>
                </c:pt>
                <c:pt idx="13">
                  <c:v>-56.729210134442646</c:v>
                </c:pt>
                <c:pt idx="14">
                  <c:v>-52.789992251233052</c:v>
                </c:pt>
                <c:pt idx="15">
                  <c:v>-49.633917526690617</c:v>
                </c:pt>
                <c:pt idx="16">
                  <c:v>-47.134209565346751</c:v>
                </c:pt>
                <c:pt idx="17">
                  <c:v>-45.175938680408969</c:v>
                </c:pt>
                <c:pt idx="18">
                  <c:v>-43.661265677362508</c:v>
                </c:pt>
                <c:pt idx="19">
                  <c:v>-40.870521493484233</c:v>
                </c:pt>
                <c:pt idx="20">
                  <c:v>-45.476823779817813</c:v>
                </c:pt>
                <c:pt idx="21">
                  <c:v>-51.08287923363747</c:v>
                </c:pt>
                <c:pt idx="22">
                  <c:v>-56.323419698428403</c:v>
                </c:pt>
                <c:pt idx="23">
                  <c:v>-60.915444983658425</c:v>
                </c:pt>
                <c:pt idx="24">
                  <c:v>-64.872180714176736</c:v>
                </c:pt>
                <c:pt idx="25">
                  <c:v>-68.282713753187465</c:v>
                </c:pt>
                <c:pt idx="26">
                  <c:v>-71.243784714899007</c:v>
                </c:pt>
                <c:pt idx="27">
                  <c:v>-73.840137029860443</c:v>
                </c:pt>
                <c:pt idx="28">
                  <c:v>-89.730675821426743</c:v>
                </c:pt>
                <c:pt idx="29">
                  <c:v>-98.895500170183055</c:v>
                </c:pt>
                <c:pt idx="30">
                  <c:v>-105.92932259822499</c:v>
                </c:pt>
                <c:pt idx="31">
                  <c:v>-111.86265233238059</c:v>
                </c:pt>
                <c:pt idx="32">
                  <c:v>-117.0446979152406</c:v>
                </c:pt>
                <c:pt idx="33">
                  <c:v>-121.63384678975552</c:v>
                </c:pt>
                <c:pt idx="34">
                  <c:v>-125.72282784492459</c:v>
                </c:pt>
                <c:pt idx="35">
                  <c:v>-129.37800559152959</c:v>
                </c:pt>
                <c:pt idx="36">
                  <c:v>-132.65303591329919</c:v>
                </c:pt>
              </c:numCache>
            </c:numRef>
          </c:yVal>
          <c:smooth val="1"/>
          <c:extLst>
            <c:ext xmlns:c16="http://schemas.microsoft.com/office/drawing/2014/chart" uri="{C3380CC4-5D6E-409C-BE32-E72D297353CC}">
              <c16:uniqueId val="{00000000-E40C-4C65-AE16-85E45D3CBB0F}"/>
            </c:ext>
          </c:extLst>
        </c:ser>
        <c:dLbls>
          <c:showLegendKey val="0"/>
          <c:showVal val="0"/>
          <c:showCatName val="0"/>
          <c:showSerName val="0"/>
          <c:showPercent val="0"/>
          <c:showBubbleSize val="0"/>
        </c:dLbls>
        <c:axId val="42393519"/>
        <c:axId val="79705744"/>
      </c:scatterChart>
      <c:valAx>
        <c:axId val="42393519"/>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78478374153195"/>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79705744"/>
        <c:crosses val="autoZero"/>
        <c:crossBetween val="midCat"/>
      </c:valAx>
      <c:valAx>
        <c:axId val="79705744"/>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0802501302797"/>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42393519"/>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Loop-Gain Transfer Function H_OL_OC
</a:t>
            </a:r>
          </a:p>
        </c:rich>
      </c:tx>
      <c:layout>
        <c:manualLayout>
          <c:xMode val="edge"/>
          <c:yMode val="edge"/>
          <c:x val="0.24862848365152501"/>
          <c:y val="1.04040228888504E-3"/>
        </c:manualLayout>
      </c:layout>
      <c:overlay val="0"/>
      <c:spPr>
        <a:noFill/>
        <a:ln w="25560">
          <a:noFill/>
        </a:ln>
      </c:spPr>
    </c:title>
    <c:autoTitleDeleted val="0"/>
    <c:plotArea>
      <c:layout>
        <c:manualLayout>
          <c:layoutTarget val="inner"/>
          <c:xMode val="edge"/>
          <c:yMode val="edge"/>
          <c:x val="0.102187111403701"/>
          <c:y val="0.193514825732617"/>
          <c:w val="0.85831321776022196"/>
          <c:h val="0.69160742153632704"/>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'CompensationNet&amp;Check'!$I$138:$AS$138</c:f>
              <c:numCache>
                <c:formatCode>0.00</c:formatCode>
                <c:ptCount val="37"/>
                <c:pt idx="0">
                  <c:v>80.603644696615504</c:v>
                </c:pt>
                <c:pt idx="1">
                  <c:v>68.565947351042581</c:v>
                </c:pt>
                <c:pt idx="2">
                  <c:v>61.528127978933227</c:v>
                </c:pt>
                <c:pt idx="3">
                  <c:v>56.538728333643327</c:v>
                </c:pt>
                <c:pt idx="4">
                  <c:v>52.67278298272457</c:v>
                </c:pt>
                <c:pt idx="5">
                  <c:v>49.518276456386175</c:v>
                </c:pt>
                <c:pt idx="6">
                  <c:v>46.855415495137322</c:v>
                </c:pt>
                <c:pt idx="7">
                  <c:v>44.552991187518771</c:v>
                </c:pt>
                <c:pt idx="8">
                  <c:v>42.526359052124228</c:v>
                </c:pt>
                <c:pt idx="9">
                  <c:v>40.717712374383417</c:v>
                </c:pt>
                <c:pt idx="10">
                  <c:v>29.004371826574015</c:v>
                </c:pt>
                <c:pt idx="11">
                  <c:v>22.455835585337912</c:v>
                </c:pt>
                <c:pt idx="12">
                  <c:v>18.065417231311223</c:v>
                </c:pt>
                <c:pt idx="13">
                  <c:v>14.858066020170364</c:v>
                </c:pt>
                <c:pt idx="14">
                  <c:v>12.383670928004609</c:v>
                </c:pt>
                <c:pt idx="15">
                  <c:v>10.396709475094649</c:v>
                </c:pt>
                <c:pt idx="16">
                  <c:v>8.7501214709880095</c:v>
                </c:pt>
                <c:pt idx="17">
                  <c:v>7.3503490832069796</c:v>
                </c:pt>
                <c:pt idx="18">
                  <c:v>6.1351926212013543</c:v>
                </c:pt>
                <c:pt idx="19">
                  <c:v>-1.383816487638895</c:v>
                </c:pt>
                <c:pt idx="20">
                  <c:v>-5.8676528858409549</c:v>
                </c:pt>
                <c:pt idx="21">
                  <c:v>-9.3179633832821764</c:v>
                </c:pt>
                <c:pt idx="22">
                  <c:v>-12.209322146267121</c:v>
                </c:pt>
                <c:pt idx="23">
                  <c:v>-14.722998010171226</c:v>
                </c:pt>
                <c:pt idx="24">
                  <c:v>-16.951833327398763</c:v>
                </c:pt>
                <c:pt idx="25">
                  <c:v>-18.95371591321749</c:v>
                </c:pt>
                <c:pt idx="26">
                  <c:v>-20.76924193451617</c:v>
                </c:pt>
                <c:pt idx="27">
                  <c:v>-22.428809213421385</c:v>
                </c:pt>
                <c:pt idx="28">
                  <c:v>-33.967643127024246</c:v>
                </c:pt>
                <c:pt idx="29">
                  <c:v>-41.087711150227769</c:v>
                </c:pt>
                <c:pt idx="30">
                  <c:v>-46.310218638701542</c:v>
                </c:pt>
                <c:pt idx="31">
                  <c:v>-50.490165649655296</c:v>
                </c:pt>
                <c:pt idx="32">
                  <c:v>-54.012426658784385</c:v>
                </c:pt>
                <c:pt idx="33">
                  <c:v>-57.080086538249077</c:v>
                </c:pt>
                <c:pt idx="34">
                  <c:v>-59.812097325872855</c:v>
                </c:pt>
                <c:pt idx="35">
                  <c:v>-62.283712461995734</c:v>
                </c:pt>
                <c:pt idx="36">
                  <c:v>-64.545558151711333</c:v>
                </c:pt>
              </c:numCache>
            </c:numRef>
          </c:yVal>
          <c:smooth val="0"/>
          <c:extLst>
            <c:ext xmlns:c16="http://schemas.microsoft.com/office/drawing/2014/chart" uri="{C3380CC4-5D6E-409C-BE32-E72D297353CC}">
              <c16:uniqueId val="{00000000-6643-422C-9E45-739DF03B072A}"/>
            </c:ext>
          </c:extLst>
        </c:ser>
        <c:dLbls>
          <c:showLegendKey val="0"/>
          <c:showVal val="0"/>
          <c:showCatName val="0"/>
          <c:showSerName val="0"/>
          <c:showPercent val="0"/>
          <c:showBubbleSize val="0"/>
        </c:dLbls>
        <c:axId val="9504636"/>
        <c:axId val="54741063"/>
      </c:scatterChart>
      <c:valAx>
        <c:axId val="9504636"/>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40246228541702"/>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54741063"/>
        <c:crosses val="autoZero"/>
        <c:crossBetween val="midCat"/>
      </c:valAx>
      <c:valAx>
        <c:axId val="54741063"/>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708860759494"/>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9504636"/>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H_OL_OC</a:t>
            </a:r>
          </a:p>
        </c:rich>
      </c:tx>
      <c:layout>
        <c:manualLayout>
          <c:xMode val="edge"/>
          <c:yMode val="edge"/>
          <c:x val="0.38138800102869302"/>
          <c:y val="4.8382901239920201E-2"/>
        </c:manualLayout>
      </c:layout>
      <c:overlay val="0"/>
      <c:spPr>
        <a:noFill/>
        <a:ln w="25560">
          <a:noFill/>
        </a:ln>
      </c:spPr>
    </c:title>
    <c:autoTitleDeleted val="0"/>
    <c:plotArea>
      <c:layout>
        <c:manualLayout>
          <c:layoutTarget val="inner"/>
          <c:xMode val="edge"/>
          <c:yMode val="edge"/>
          <c:x val="0.107976046144237"/>
          <c:y val="0.16127633746640099"/>
          <c:w val="0.85745251478746498"/>
          <c:h val="0.75418364692621198"/>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'CompensationNet&amp;Check'!$I$139:$AS$139</c:f>
              <c:numCache>
                <c:formatCode>0.0</c:formatCode>
                <c:ptCount val="37"/>
                <c:pt idx="0">
                  <c:v>-179.17932198666799</c:v>
                </c:pt>
                <c:pt idx="1">
                  <c:v>-178.35916073109004</c:v>
                </c:pt>
                <c:pt idx="2">
                  <c:v>-177.54003129488251</c:v>
                </c:pt>
                <c:pt idx="3">
                  <c:v>-176.72244536125186</c:v>
                </c:pt>
                <c:pt idx="4">
                  <c:v>-175.90690958024362</c:v>
                </c:pt>
                <c:pt idx="5">
                  <c:v>-175.09392395474941</c:v>
                </c:pt>
                <c:pt idx="6">
                  <c:v>-174.28398027989749</c:v>
                </c:pt>
                <c:pt idx="7">
                  <c:v>-173.47756064765704</c:v>
                </c:pt>
                <c:pt idx="8">
                  <c:v>-172.67513602753124</c:v>
                </c:pt>
                <c:pt idx="9">
                  <c:v>-171.87716493311703</c:v>
                </c:pt>
                <c:pt idx="10">
                  <c:v>-164.23220594520993</c:v>
                </c:pt>
                <c:pt idx="11">
                  <c:v>-157.41088214469067</c:v>
                </c:pt>
                <c:pt idx="12">
                  <c:v>-151.5743742039748</c:v>
                </c:pt>
                <c:pt idx="13">
                  <c:v>-146.72921013444267</c:v>
                </c:pt>
                <c:pt idx="14">
                  <c:v>-142.78999225123306</c:v>
                </c:pt>
                <c:pt idx="15">
                  <c:v>-139.63391752669062</c:v>
                </c:pt>
                <c:pt idx="16">
                  <c:v>-137.13420956534674</c:v>
                </c:pt>
                <c:pt idx="17">
                  <c:v>-135.17593868040896</c:v>
                </c:pt>
                <c:pt idx="18">
                  <c:v>-133.66126567736251</c:v>
                </c:pt>
                <c:pt idx="19">
                  <c:v>-130.87052149348426</c:v>
                </c:pt>
                <c:pt idx="20">
                  <c:v>-135.47682377981783</c:v>
                </c:pt>
                <c:pt idx="21">
                  <c:v>-141.08287923363747</c:v>
                </c:pt>
                <c:pt idx="22">
                  <c:v>-146.32341969842841</c:v>
                </c:pt>
                <c:pt idx="23">
                  <c:v>-150.9154449836584</c:v>
                </c:pt>
                <c:pt idx="24">
                  <c:v>-154.87218071417675</c:v>
                </c:pt>
                <c:pt idx="25">
                  <c:v>-158.28271375318747</c:v>
                </c:pt>
                <c:pt idx="26">
                  <c:v>-161.24378471489899</c:v>
                </c:pt>
                <c:pt idx="27">
                  <c:v>-163.84013702986044</c:v>
                </c:pt>
                <c:pt idx="28">
                  <c:v>-179.73067582142676</c:v>
                </c:pt>
                <c:pt idx="29">
                  <c:v>-188.89550017018306</c:v>
                </c:pt>
                <c:pt idx="30">
                  <c:v>-195.92932259822499</c:v>
                </c:pt>
                <c:pt idx="31">
                  <c:v>-201.86265233238058</c:v>
                </c:pt>
                <c:pt idx="32">
                  <c:v>-207.04469791524059</c:v>
                </c:pt>
                <c:pt idx="33">
                  <c:v>-211.63384678975552</c:v>
                </c:pt>
                <c:pt idx="34">
                  <c:v>-215.72282784492461</c:v>
                </c:pt>
                <c:pt idx="35">
                  <c:v>-219.37800559152959</c:v>
                </c:pt>
                <c:pt idx="36">
                  <c:v>-222.65303591329922</c:v>
                </c:pt>
              </c:numCache>
            </c:numRef>
          </c:yVal>
          <c:smooth val="1"/>
          <c:extLst>
            <c:ext xmlns:c16="http://schemas.microsoft.com/office/drawing/2014/chart" uri="{C3380CC4-5D6E-409C-BE32-E72D297353CC}">
              <c16:uniqueId val="{00000000-C201-4706-B33C-56C517AFF698}"/>
            </c:ext>
          </c:extLst>
        </c:ser>
        <c:dLbls>
          <c:showLegendKey val="0"/>
          <c:showVal val="0"/>
          <c:showCatName val="0"/>
          <c:showSerName val="0"/>
          <c:showPercent val="0"/>
          <c:showBubbleSize val="0"/>
        </c:dLbls>
        <c:axId val="66286171"/>
        <c:axId val="17485310"/>
      </c:scatterChart>
      <c:valAx>
        <c:axId val="66286171"/>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81869418191298"/>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17485310"/>
        <c:crosses val="autoZero"/>
        <c:crossBetween val="midCat"/>
      </c:valAx>
      <c:valAx>
        <c:axId val="17485310"/>
        <c:scaling>
          <c:orientation val="minMax"/>
          <c:max val="-100"/>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4923263678101"/>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66286171"/>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Error Amplifier Transfer Function
</a:t>
            </a:r>
          </a:p>
        </c:rich>
      </c:tx>
      <c:layout>
        <c:manualLayout>
          <c:xMode val="edge"/>
          <c:yMode val="edge"/>
          <c:x val="0.26245336844415201"/>
          <c:y val="9.5535869376411301E-4"/>
        </c:manualLayout>
      </c:layout>
      <c:overlay val="0"/>
      <c:spPr>
        <a:noFill/>
        <a:ln w="25560">
          <a:noFill/>
        </a:ln>
      </c:spPr>
    </c:title>
    <c:autoTitleDeleted val="0"/>
    <c:plotArea>
      <c:layout>
        <c:manualLayout>
          <c:layoutTarget val="inner"/>
          <c:xMode val="edge"/>
          <c:yMode val="edge"/>
          <c:x val="9.6993636164143096E-2"/>
          <c:y val="0.193503560882404"/>
          <c:w val="0.863543266769073"/>
          <c:h val="0.69159284349487604"/>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'CompensationNet&amp;Check'!$I$133:$AT$133</c:f>
              <c:numCache>
                <c:formatCode>0.000E+00</c:formatCode>
                <c:ptCount val="38"/>
                <c:pt idx="0">
                  <c:v>34.284431792385284</c:v>
                </c:pt>
                <c:pt idx="1">
                  <c:v>28.267334360091986</c:v>
                </c:pt>
                <c:pt idx="2">
                  <c:v>24.751340169096267</c:v>
                </c:pt>
                <c:pt idx="3">
                  <c:v>22.260715255972364</c:v>
                </c:pt>
                <c:pt idx="4">
                  <c:v>20.332970165214725</c:v>
                </c:pt>
                <c:pt idx="5">
                  <c:v>18.76208855982884</c:v>
                </c:pt>
                <c:pt idx="6">
                  <c:v>17.438163391192244</c:v>
                </c:pt>
                <c:pt idx="7">
                  <c:v>16.295578023127426</c:v>
                </c:pt>
                <c:pt idx="8">
                  <c:v>15.291996336680509</c:v>
                </c:pt>
                <c:pt idx="9">
                  <c:v>14.398499470153203</c:v>
                </c:pt>
                <c:pt idx="10">
                  <c:v>8.7057588356234241</c:v>
                </c:pt>
                <c:pt idx="11">
                  <c:v>5.6790477755009459</c:v>
                </c:pt>
                <c:pt idx="12">
                  <c:v>3.7874041536402552</c:v>
                </c:pt>
                <c:pt idx="13">
                  <c:v>2.5182532026605258</c:v>
                </c:pt>
                <c:pt idx="14">
                  <c:v>1.6274830314472668</c:v>
                </c:pt>
                <c:pt idx="15">
                  <c:v>0.97945737114957332</c:v>
                </c:pt>
                <c:pt idx="16">
                  <c:v>0.49270830659666831</c:v>
                </c:pt>
                <c:pt idx="17">
                  <c:v>0.11598636776326458</c:v>
                </c:pt>
                <c:pt idx="18">
                  <c:v>-0.18402028302885892</c:v>
                </c:pt>
                <c:pt idx="19">
                  <c:v>-1.6824294785894853</c:v>
                </c:pt>
                <c:pt idx="20">
                  <c:v>-2.6444406956779214</c:v>
                </c:pt>
                <c:pt idx="21">
                  <c:v>-3.5959764609531435</c:v>
                </c:pt>
                <c:pt idx="22">
                  <c:v>-4.5491349637769591</c:v>
                </c:pt>
                <c:pt idx="23">
                  <c:v>-5.4791859067285689</c:v>
                </c:pt>
                <c:pt idx="24">
                  <c:v>-6.3690854313438425</c:v>
                </c:pt>
                <c:pt idx="25">
                  <c:v>-7.2111290776088328</c:v>
                </c:pt>
                <c:pt idx="26">
                  <c:v>-8.0036046499598843</c:v>
                </c:pt>
                <c:pt idx="27">
                  <c:v>-8.7480221176515993</c:v>
                </c:pt>
                <c:pt idx="28">
                  <c:v>-14.266256117974841</c:v>
                </c:pt>
                <c:pt idx="29">
                  <c:v>-17.864498960064736</c:v>
                </c:pt>
                <c:pt idx="30">
                  <c:v>-20.588231716372512</c:v>
                </c:pt>
                <c:pt idx="31">
                  <c:v>-22.829978467165134</c:v>
                </c:pt>
                <c:pt idx="32">
                  <c:v>-24.768614555341728</c:v>
                </c:pt>
                <c:pt idx="33">
                  <c:v>-26.497338642194155</c:v>
                </c:pt>
                <c:pt idx="34">
                  <c:v>-28.0695104902642</c:v>
                </c:pt>
                <c:pt idx="35">
                  <c:v>-29.518075177439457</c:v>
                </c:pt>
                <c:pt idx="36">
                  <c:v>-30.864771055941546</c:v>
                </c:pt>
                <c:pt idx="37" formatCode="0.00E+00">
                  <c:v>-1.4231483668519282</c:v>
                </c:pt>
              </c:numCache>
            </c:numRef>
          </c:yVal>
          <c:smooth val="0"/>
          <c:extLst>
            <c:ext xmlns:c16="http://schemas.microsoft.com/office/drawing/2014/chart" uri="{C3380CC4-5D6E-409C-BE32-E72D297353CC}">
              <c16:uniqueId val="{00000000-A099-4380-AE71-EB2CFBC45D85}"/>
            </c:ext>
          </c:extLst>
        </c:ser>
        <c:dLbls>
          <c:showLegendKey val="0"/>
          <c:showVal val="0"/>
          <c:showCatName val="0"/>
          <c:showSerName val="0"/>
          <c:showPercent val="0"/>
          <c:showBubbleSize val="0"/>
        </c:dLbls>
        <c:axId val="59836526"/>
        <c:axId val="1788088"/>
      </c:scatterChart>
      <c:valAx>
        <c:axId val="59836526"/>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46743095362195"/>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1788088"/>
        <c:crosses val="autoZero"/>
        <c:crossBetween val="midCat"/>
      </c:valAx>
      <c:valAx>
        <c:axId val="1788088"/>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685773840542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59836526"/>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Gcto_OC</a:t>
            </a:r>
          </a:p>
        </c:rich>
      </c:tx>
      <c:layout>
        <c:manualLayout>
          <c:xMode val="edge"/>
          <c:yMode val="edge"/>
          <c:x val="0.353282633454572"/>
          <c:y val="4.84109708315194E-2"/>
        </c:manualLayout>
      </c:layout>
      <c:overlay val="0"/>
      <c:spPr>
        <a:noFill/>
        <a:ln w="25560">
          <a:noFill/>
        </a:ln>
      </c:spPr>
    </c:title>
    <c:autoTitleDeleted val="0"/>
    <c:plotArea>
      <c:layout>
        <c:manualLayout>
          <c:layoutTarget val="inner"/>
          <c:xMode val="edge"/>
          <c:yMode val="edge"/>
          <c:x val="9.9268893052647106E-2"/>
          <c:y val="0.16125380931649999"/>
          <c:w val="0.86615966787905496"/>
          <c:h val="0.75420113191118898"/>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'CompensationNet&amp;Check'!$I$127:$AS$127</c:f>
              <c:numCache>
                <c:formatCode>General</c:formatCode>
                <c:ptCount val="37"/>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-90</c:v>
                </c:pt>
                <c:pt idx="31">
                  <c:v>-90</c:v>
                </c:pt>
                <c:pt idx="32">
                  <c:v>-90</c:v>
                </c:pt>
                <c:pt idx="33">
                  <c:v>-90</c:v>
                </c:pt>
                <c:pt idx="34">
                  <c:v>-90</c:v>
                </c:pt>
                <c:pt idx="35">
                  <c:v>-90</c:v>
                </c:pt>
                <c:pt idx="36">
                  <c:v>-90</c:v>
                </c:pt>
              </c:numCache>
            </c:numRef>
          </c:yVal>
          <c:smooth val="1"/>
          <c:extLst>
            <c:ext xmlns:c16="http://schemas.microsoft.com/office/drawing/2014/chart" uri="{C3380CC4-5D6E-409C-BE32-E72D297353CC}">
              <c16:uniqueId val="{00000000-BC78-42B7-B6C6-78546D616629}"/>
            </c:ext>
          </c:extLst>
        </c:ser>
        <c:dLbls>
          <c:showLegendKey val="0"/>
          <c:showVal val="0"/>
          <c:showCatName val="0"/>
          <c:showSerName val="0"/>
          <c:showPercent val="0"/>
          <c:showBubbleSize val="0"/>
        </c:dLbls>
        <c:axId val="83234741"/>
        <c:axId val="40498848"/>
      </c:scatterChart>
      <c:valAx>
        <c:axId val="83234741"/>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86112320417902"/>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40498848"/>
        <c:crosses val="autoZero"/>
        <c:crossBetween val="midCat"/>
      </c:valAx>
      <c:valAx>
        <c:axId val="40498848"/>
        <c:scaling>
          <c:orientation val="minMax"/>
          <c:max val="-80"/>
          <c:min val="-100"/>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04440574663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83234741"/>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Minimum Gain required for PFC regulation</a:t>
            </a:r>
          </a:p>
        </c:rich>
      </c:tx>
      <c:layout>
        <c:manualLayout>
          <c:xMode val="edge"/>
          <c:yMode val="edge"/>
          <c:x val="0.236082512822433"/>
          <c:y val="3.0459053709826E-2"/>
        </c:manualLayout>
      </c:layout>
      <c:overlay val="0"/>
      <c:spPr>
        <a:noFill/>
        <a:ln w="0">
          <a:noFill/>
        </a:ln>
      </c:spPr>
    </c:title>
    <c:autoTitleDeleted val="0"/>
    <c:plotArea>
      <c:layout>
        <c:manualLayout>
          <c:layoutTarget val="inner"/>
          <c:xMode val="edge"/>
          <c:yMode val="edge"/>
          <c:x val="0.12537905731721"/>
          <c:y val="0.121511029212509"/>
          <c:w val="0.77821871139231003"/>
          <c:h val="0.73313099560999395"/>
        </c:manualLayout>
      </c:layout>
      <c:scatterChart>
        <c:scatterStyle val="lineMarker"/>
        <c:varyColors val="0"/>
        <c:ser>
          <c:idx val="0"/>
          <c:order val="0"/>
          <c:tx>
            <c:strRef>
              <c:f>RTC!$B$16</c:f>
              <c:strCache>
                <c:ptCount val="1"/>
                <c:pt idx="0">
                  <c:v>Mreq(Vin_min, Vout,θ )</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15.234970761884593</c:v>
                </c:pt>
                <c:pt idx="1">
                  <c:v>7.65573215345667</c:v>
                </c:pt>
                <c:pt idx="2">
                  <c:v>5.1467180564625803</c:v>
                </c:pt>
                <c:pt idx="3">
                  <c:v>3.9057204513185635</c:v>
                </c:pt>
                <c:pt idx="4">
                  <c:v>3.1724617509980426</c:v>
                </c:pt>
                <c:pt idx="5">
                  <c:v>2.6936676841335938</c:v>
                </c:pt>
                <c:pt idx="6">
                  <c:v>2.3609398093292269</c:v>
                </c:pt>
                <c:pt idx="7">
                  <c:v>2.1202289950117734</c:v>
                </c:pt>
                <c:pt idx="8">
                  <c:v>1.9416659442949207</c:v>
                </c:pt>
                <c:pt idx="9">
                  <c:v>1.8075004499658378</c:v>
                </c:pt>
                <c:pt idx="10">
                  <c:v>1.7066277185689109</c:v>
                </c:pt>
                <c:pt idx="11">
                  <c:v>1.6318620179915413</c:v>
                </c:pt>
                <c:pt idx="12">
                  <c:v>1.5784819294695089</c:v>
                </c:pt>
                <c:pt idx="13">
                  <c:v>1.5434163076905814</c:v>
                </c:pt>
                <c:pt idx="14">
                  <c:v>1.5247787749305239</c:v>
                </c:pt>
                <c:pt idx="15">
                  <c:v>1.5216079926935755</c:v>
                </c:pt>
                <c:pt idx="16">
                  <c:v>1.5337432241641196</c:v>
                </c:pt>
                <c:pt idx="17">
                  <c:v>1.5618040599450869</c:v>
                </c:pt>
                <c:pt idx="18">
                  <c:v>1.607269410056188</c:v>
                </c:pt>
                <c:pt idx="19">
                  <c:v>1.6726751212560589</c:v>
                </c:pt>
                <c:pt idx="20">
                  <c:v>1.761981788471658</c:v>
                </c:pt>
                <c:pt idx="21">
                  <c:v>1.8812194791318579</c:v>
                </c:pt>
                <c:pt idx="22">
                  <c:v>2.0396252551779486</c:v>
                </c:pt>
                <c:pt idx="23">
                  <c:v>2.2517277439644121</c:v>
                </c:pt>
                <c:pt idx="24">
                  <c:v>2.5414034699153416</c:v>
                </c:pt>
                <c:pt idx="25">
                  <c:v>2.9504464329538775</c:v>
                </c:pt>
                <c:pt idx="26">
                  <c:v>3.5587992182535975</c:v>
                </c:pt>
                <c:pt idx="27">
                  <c:v>4.5403372715291797</c:v>
                </c:pt>
                <c:pt idx="28">
                  <c:v>6.3572139937459866</c:v>
                </c:pt>
                <c:pt idx="29">
                  <c:v>10.777771377593986</c:v>
                </c:pt>
                <c:pt idx="30">
                  <c:v>29.493232777766128</c:v>
                </c:pt>
                <c:pt idx="31">
                  <c:v>36.578522194387951</c:v>
                </c:pt>
              </c:numCache>
            </c:numRef>
          </c:yVal>
          <c:smooth val="1"/>
          <c:extLst>
            <c:ext xmlns:c16="http://schemas.microsoft.com/office/drawing/2014/chart" uri="{C3380CC4-5D6E-409C-BE32-E72D297353CC}">
              <c16:uniqueId val="{00000000-0D0F-4BC2-9687-20D10F5E1F1D}"/>
            </c:ext>
          </c:extLst>
        </c:ser>
        <c:ser>
          <c:idx val="1"/>
          <c:order val="1"/>
          <c:tx>
            <c:strRef>
              <c:f>RTC!$B$17</c:f>
              <c:strCache>
                <c:ptCount val="1"/>
                <c:pt idx="0">
                  <c:v>Mreq(Vin_max, Vout,θ )</c:v>
                </c:pt>
              </c:strCache>
            </c:strRef>
          </c:tx>
          <c:spPr>
            <a:ln w="19080" cap="rnd">
              <a:solidFill>
                <a:srgbClr val="E9713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7.9416336950249473</c:v>
                </c:pt>
                <c:pt idx="1">
                  <c:v>3.9907539948869872</c:v>
                </c:pt>
                <c:pt idx="2">
                  <c:v>2.6828636677304942</c:v>
                </c:pt>
                <c:pt idx="3">
                  <c:v>2.0359606607937195</c:v>
                </c:pt>
                <c:pt idx="4">
                  <c:v>1.6537300616904691</c:v>
                </c:pt>
                <c:pt idx="5">
                  <c:v>1.4041459204526183</c:v>
                </c:pt>
                <c:pt idx="6">
                  <c:v>1.2307026665652352</c:v>
                </c:pt>
                <c:pt idx="7">
                  <c:v>1.1052257527189031</c:v>
                </c:pt>
                <c:pt idx="8">
                  <c:v>1.0121450135154373</c:v>
                </c:pt>
                <c:pt idx="9">
                  <c:v>0.94220768136517064</c:v>
                </c:pt>
                <c:pt idx="10">
                  <c:v>0.88962508733911316</c:v>
                </c:pt>
                <c:pt idx="11">
                  <c:v>0.85065147746367575</c:v>
                </c:pt>
                <c:pt idx="12">
                  <c:v>0.82282568663836098</c:v>
                </c:pt>
                <c:pt idx="13">
                  <c:v>0.80454679868977108</c:v>
                </c:pt>
                <c:pt idx="14">
                  <c:v>0.79483148905952838</c:v>
                </c:pt>
                <c:pt idx="15">
                  <c:v>0.79317863448920423</c:v>
                </c:pt>
                <c:pt idx="16">
                  <c:v>0.79950444663874309</c:v>
                </c:pt>
                <c:pt idx="17">
                  <c:v>0.81413190358839638</c:v>
                </c:pt>
                <c:pt idx="18">
                  <c:v>0.83783192651865113</c:v>
                </c:pt>
                <c:pt idx="19">
                  <c:v>0.87192639299517971</c:v>
                </c:pt>
                <c:pt idx="20">
                  <c:v>0.91847986845863006</c:v>
                </c:pt>
                <c:pt idx="21">
                  <c:v>0.98063568593043648</c:v>
                </c:pt>
                <c:pt idx="22">
                  <c:v>1.0632089096140371</c:v>
                </c:pt>
                <c:pt idx="23">
                  <c:v>1.173772972917619</c:v>
                </c:pt>
                <c:pt idx="24">
                  <c:v>1.3247741492111886</c:v>
                </c:pt>
                <c:pt idx="25">
                  <c:v>1.5379986724972341</c:v>
                </c:pt>
                <c:pt idx="26">
                  <c:v>1.8551187414300667</c:v>
                </c:pt>
                <c:pt idx="27">
                  <c:v>2.3667715564354239</c:v>
                </c:pt>
                <c:pt idx="28">
                  <c:v>3.3138668690803548</c:v>
                </c:pt>
                <c:pt idx="29">
                  <c:v>5.6181999734266528</c:v>
                </c:pt>
                <c:pt idx="30">
                  <c:v>15.374131979899364</c:v>
                </c:pt>
                <c:pt idx="31">
                  <c:v>19.067527526861802</c:v>
                </c:pt>
              </c:numCache>
            </c:numRef>
          </c:yVal>
          <c:smooth val="1"/>
          <c:extLst>
            <c:ext xmlns:c16="http://schemas.microsoft.com/office/drawing/2014/chart" uri="{C3380CC4-5D6E-409C-BE32-E72D297353CC}">
              <c16:uniqueId val="{00000001-0D0F-4BC2-9687-20D10F5E1F1D}"/>
            </c:ext>
          </c:extLst>
        </c:ser>
        <c:dLbls>
          <c:showLegendKey val="0"/>
          <c:showVal val="0"/>
          <c:showCatName val="0"/>
          <c:showSerName val="0"/>
          <c:showPercent val="0"/>
          <c:showBubbleSize val="0"/>
        </c:dLbls>
        <c:axId val="39807136"/>
        <c:axId val="10352577"/>
      </c:scatterChart>
      <c:scatterChart>
        <c:scatterStyle val="lineMarker"/>
        <c:varyColors val="0"/>
        <c:ser>
          <c:idx val="2"/>
          <c:order val="2"/>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0D0F-4BC2-9687-20D10F5E1F1D}"/>
            </c:ext>
          </c:extLst>
        </c:ser>
        <c:ser>
          <c:idx val="3"/>
          <c:order val="3"/>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3-0D0F-4BC2-9687-20D10F5E1F1D}"/>
            </c:ext>
          </c:extLst>
        </c:ser>
        <c:ser>
          <c:idx val="4"/>
          <c:order val="4"/>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4-0D0F-4BC2-9687-20D10F5E1F1D}"/>
            </c:ext>
          </c:extLst>
        </c:ser>
        <c:ser>
          <c:idx val="5"/>
          <c:order val="5"/>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5-0D0F-4BC2-9687-20D10F5E1F1D}"/>
            </c:ext>
          </c:extLst>
        </c:ser>
        <c:dLbls>
          <c:showLegendKey val="0"/>
          <c:showVal val="0"/>
          <c:showCatName val="0"/>
          <c:showSerName val="0"/>
          <c:showPercent val="0"/>
          <c:showBubbleSize val="0"/>
        </c:dLbls>
        <c:axId val="8139131"/>
        <c:axId val="78801779"/>
      </c:scatterChart>
      <c:valAx>
        <c:axId val="39807136"/>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0352577"/>
        <c:crosses val="autoZero"/>
        <c:crossBetween val="midCat"/>
      </c:valAx>
      <c:valAx>
        <c:axId val="10352577"/>
        <c:scaling>
          <c:orientation val="minMax"/>
          <c:max val="2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9807136"/>
        <c:crosses val="autoZero"/>
        <c:crossBetween val="midCat"/>
      </c:valAx>
      <c:valAx>
        <c:axId val="8139131"/>
        <c:scaling>
          <c:orientation val="minMax"/>
        </c:scaling>
        <c:delete val="1"/>
        <c:axPos val="b"/>
        <c:numFmt formatCode="General" sourceLinked="1"/>
        <c:majorTickMark val="out"/>
        <c:minorTickMark val="none"/>
        <c:tickLblPos val="nextTo"/>
        <c:crossAx val="78801779"/>
        <c:crosses val="autoZero"/>
        <c:crossBetween val="midCat"/>
      </c:valAx>
      <c:valAx>
        <c:axId val="78801779"/>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139131"/>
        <c:crosses val="max"/>
        <c:crossBetween val="midCat"/>
      </c:valAx>
      <c:spPr>
        <a:noFill/>
        <a:ln w="0">
          <a:noFill/>
        </a:ln>
      </c:spPr>
    </c:plotArea>
    <c:legend>
      <c:legendPos val="r"/>
      <c:layout>
        <c:manualLayout>
          <c:xMode val="edge"/>
          <c:yMode val="edge"/>
          <c:x val="0.67400784694515903"/>
          <c:y val="0.13638621197560699"/>
          <c:w val="0.218920629411506"/>
          <c:h val="0.28872133856641202"/>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a:t>
            </a:r>
          </a:p>
        </c:rich>
      </c:tx>
      <c:layout>
        <c:manualLayout>
          <c:xMode val="edge"/>
          <c:yMode val="edge"/>
          <c:x val="0.16153442721210801"/>
          <c:y val="2.3268621781632901E-2"/>
        </c:manualLayout>
      </c:layout>
      <c:overlay val="0"/>
      <c:spPr>
        <a:noFill/>
        <a:ln w="0">
          <a:noFill/>
        </a:ln>
      </c:spPr>
    </c:title>
    <c:autoTitleDeleted val="0"/>
    <c:plotArea>
      <c:layout>
        <c:manualLayout>
          <c:layoutTarget val="inner"/>
          <c:xMode val="edge"/>
          <c:yMode val="edge"/>
          <c:x val="0.125383981419045"/>
          <c:y val="0.136238468952224"/>
          <c:w val="0.82629055218401104"/>
          <c:h val="0.7368167423929510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RTC!$C$28:$CG$28</c:f>
              <c:numCache>
                <c:formatCode>General</c:formatCode>
                <c:ptCount val="83"/>
                <c:pt idx="0">
                  <c:v>2.1818182512396718E-8</c:v>
                </c:pt>
                <c:pt idx="1">
                  <c:v>1.2886419367458453E-3</c:v>
                </c:pt>
                <c:pt idx="2">
                  <c:v>3.2957540508757933E-3</c:v>
                </c:pt>
                <c:pt idx="3">
                  <c:v>6.2466838217803949E-3</c:v>
                </c:pt>
                <c:pt idx="4">
                  <c:v>1.0165634844491057E-2</c:v>
                </c:pt>
                <c:pt idx="5">
                  <c:v>1.5085230808885637E-2</c:v>
                </c:pt>
                <c:pt idx="6">
                  <c:v>2.104720710419164E-2</c:v>
                </c:pt>
                <c:pt idx="7">
                  <c:v>2.8103319587713758E-2</c:v>
                </c:pt>
                <c:pt idx="8">
                  <c:v>3.6316508449383139E-2</c:v>
                </c:pt>
                <c:pt idx="9">
                  <c:v>4.5762367743434479E-2</c:v>
                </c:pt>
                <c:pt idx="10">
                  <c:v>5.6530987448607108E-2</c:v>
                </c:pt>
                <c:pt idx="11">
                  <c:v>6.8729256295102084E-2</c:v>
                </c:pt>
                <c:pt idx="12">
                  <c:v>8.2483742085161724E-2</c:v>
                </c:pt>
                <c:pt idx="13">
                  <c:v>9.7944304735298124E-2</c:v>
                </c:pt>
                <c:pt idx="14">
                  <c:v>0.11528864999952876</c:v>
                </c:pt>
                <c:pt idx="15">
                  <c:v>0.1347281050187448</c:v>
                </c:pt>
                <c:pt idx="16">
                  <c:v>0.15651499980883612</c:v>
                </c:pt>
                <c:pt idx="17">
                  <c:v>0.18095218575415503</c:v>
                </c:pt>
                <c:pt idx="18">
                  <c:v>0.20840543512238516</c:v>
                </c:pt>
                <c:pt idx="19">
                  <c:v>0.23931977930378859</c:v>
                </c:pt>
                <c:pt idx="20">
                  <c:v>0.27424131386312434</c:v>
                </c:pt>
                <c:pt idx="21">
                  <c:v>0.31384671772931005</c:v>
                </c:pt>
                <c:pt idx="22">
                  <c:v>0.3589838574142431</c:v>
                </c:pt>
                <c:pt idx="23">
                  <c:v>0.41072864448862639</c:v>
                </c:pt>
                <c:pt idx="24">
                  <c:v>0.47046626668653735</c:v>
                </c:pt>
                <c:pt idx="25">
                  <c:v>0.54000990781304037</c:v>
                </c:pt>
                <c:pt idx="26">
                  <c:v>0.62177881033586746</c:v>
                </c:pt>
                <c:pt idx="27">
                  <c:v>0.71907341857608231</c:v>
                </c:pt>
                <c:pt idx="28">
                  <c:v>0.83651551018079373</c:v>
                </c:pt>
                <c:pt idx="29">
                  <c:v>0.98078153994784389</c:v>
                </c:pt>
                <c:pt idx="30">
                  <c:v>1.1618855338834528</c:v>
                </c:pt>
                <c:pt idx="31">
                  <c:v>1.3955605407023011</c:v>
                </c:pt>
                <c:pt idx="32">
                  <c:v>1.70801881699095</c:v>
                </c:pt>
                <c:pt idx="33">
                  <c:v>2.1464163817304032</c:v>
                </c:pt>
                <c:pt idx="34">
                  <c:v>2.8049873938594398</c:v>
                </c:pt>
                <c:pt idx="35">
                  <c:v>3.9033273688464369</c:v>
                </c:pt>
                <c:pt idx="36">
                  <c:v>6.098718634915044</c:v>
                </c:pt>
                <c:pt idx="37">
                  <c:v>12.659566924581251</c:v>
                </c:pt>
                <c:pt idx="38">
                  <c:v>1921.5837087114464</c:v>
                </c:pt>
                <c:pt idx="39">
                  <c:v>42.249999999987104</c:v>
                </c:pt>
                <c:pt idx="40">
                  <c:v>10.581427390464974</c:v>
                </c:pt>
                <c:pt idx="41">
                  <c:v>6.2413366336631526</c:v>
                </c:pt>
                <c:pt idx="42">
                  <c:v>4.5187319884725161</c:v>
                </c:pt>
                <c:pt idx="43">
                  <c:v>3.5949449125080415</c:v>
                </c:pt>
                <c:pt idx="44">
                  <c:v>3.0192994996425648</c:v>
                </c:pt>
                <c:pt idx="45">
                  <c:v>2.6264591439688467</c:v>
                </c:pt>
                <c:pt idx="46">
                  <c:v>2.3414634146341284</c:v>
                </c:pt>
                <c:pt idx="47">
                  <c:v>2.1254008980115326</c:v>
                </c:pt>
                <c:pt idx="48">
                  <c:v>1.9560649474689491</c:v>
                </c:pt>
                <c:pt idx="49">
                  <c:v>1.8198585144012047</c:v>
                </c:pt>
                <c:pt idx="50">
                  <c:v>1.7079905491189553</c:v>
                </c:pt>
                <c:pt idx="51">
                  <c:v>1.6145251396647997</c:v>
                </c:pt>
                <c:pt idx="52">
                  <c:v>1.5353095649293769</c:v>
                </c:pt>
                <c:pt idx="53">
                  <c:v>1.4673515584189416</c:v>
                </c:pt>
                <c:pt idx="54">
                  <c:v>1.4084404999094342</c:v>
                </c:pt>
                <c:pt idx="55">
                  <c:v>1.35690789473684</c:v>
                </c:pt>
                <c:pt idx="56">
                  <c:v>1.3114708393594574</c:v>
                </c:pt>
                <c:pt idx="57">
                  <c:v>1.2711267605633787</c:v>
                </c:pt>
                <c:pt idx="58">
                  <c:v>1.2350808487203404</c:v>
                </c:pt>
                <c:pt idx="59">
                  <c:v>1.2026949211102145</c:v>
                </c:pt>
                <c:pt idx="60">
                  <c:v>1.1734506784011727</c:v>
                </c:pt>
                <c:pt idx="61">
                  <c:v>1.1469228398232809</c:v>
                </c:pt>
                <c:pt idx="62">
                  <c:v>1.1227591914225556</c:v>
                </c:pt>
                <c:pt idx="63">
                  <c:v>1.1006655574043258</c:v>
                </c:pt>
                <c:pt idx="64">
                  <c:v>1.080394333380958</c:v>
                </c:pt>
                <c:pt idx="65">
                  <c:v>1.0617356341095658</c:v>
                </c:pt>
                <c:pt idx="66">
                  <c:v>1.0445103857566764</c:v>
                </c:pt>
                <c:pt idx="67">
                  <c:v>1.0285648819980142</c:v>
                </c:pt>
                <c:pt idx="68">
                  <c:v>1.0137664544300213</c:v>
                </c:pt>
                <c:pt idx="69">
                  <c:v>1</c:v>
                </c:pt>
                <c:pt idx="70">
                  <c:v>0.92687605964801134</c:v>
                </c:pt>
                <c:pt idx="71">
                  <c:v>0.87793233473094412</c:v>
                </c:pt>
                <c:pt idx="72">
                  <c:v>0.8432116897802775</c:v>
                </c:pt>
                <c:pt idx="73">
                  <c:v>0.81751431221486071</c:v>
                </c:pt>
                <c:pt idx="74">
                  <c:v>0.79786908756308172</c:v>
                </c:pt>
                <c:pt idx="75">
                  <c:v>0.78246071684854068</c:v>
                </c:pt>
                <c:pt idx="76">
                  <c:v>0.7701209595806876</c:v>
                </c:pt>
                <c:pt idx="77">
                  <c:v>0.76006613168945525</c:v>
                </c:pt>
                <c:pt idx="78">
                  <c:v>0.75175235378607119</c:v>
                </c:pt>
                <c:pt idx="79">
                  <c:v>0.74479131918510189</c:v>
                </c:pt>
                <c:pt idx="80">
                  <c:v>0.73889904941593587</c:v>
                </c:pt>
                <c:pt idx="81">
                  <c:v>0.73386352963092394</c:v>
                </c:pt>
                <c:pt idx="82">
                  <c:v>0.72952360451323239</c:v>
                </c:pt>
              </c:numCache>
            </c:numRef>
          </c:yVal>
          <c:smooth val="1"/>
          <c:extLst>
            <c:ext xmlns:c16="http://schemas.microsoft.com/office/drawing/2014/chart" uri="{C3380CC4-5D6E-409C-BE32-E72D297353CC}">
              <c16:uniqueId val="{00000000-4E37-4B90-8CDB-75CCF527018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RTC!$C$47:$CG$47</c:f>
              <c:numCache>
                <c:formatCode>General</c:formatCode>
                <c:ptCount val="83"/>
                <c:pt idx="0">
                  <c:v>2.1818182382492675E-8</c:v>
                </c:pt>
                <c:pt idx="1">
                  <c:v>1.2881887010930794E-3</c:v>
                </c:pt>
                <c:pt idx="2">
                  <c:v>3.2927886442313385E-3</c:v>
                </c:pt>
                <c:pt idx="3">
                  <c:v>6.2360266346062031E-3</c:v>
                </c:pt>
                <c:pt idx="4">
                  <c:v>1.0137396704165301E-2</c:v>
                </c:pt>
                <c:pt idx="5">
                  <c:v>1.5023007895528954E-2</c:v>
                </c:pt>
                <c:pt idx="6">
                  <c:v>2.0925987778792478E-2</c:v>
                </c:pt>
                <c:pt idx="7">
                  <c:v>2.7887001276361342E-2</c:v>
                </c:pt>
                <c:pt idx="8">
                  <c:v>3.5954897539339017E-2</c:v>
                </c:pt>
                <c:pt idx="9">
                  <c:v>4.5187500817546217E-2</c:v>
                </c:pt>
                <c:pt idx="10">
                  <c:v>5.5652564835327163E-2</c:v>
                </c:pt>
                <c:pt idx="11">
                  <c:v>6.7428914152122668E-2</c:v>
                </c:pt>
                <c:pt idx="12">
                  <c:v>8.0607800331455051E-2</c:v>
                </c:pt>
                <c:pt idx="13">
                  <c:v>9.5294505365001059E-2</c:v>
                </c:pt>
                <c:pt idx="14">
                  <c:v>0.11161022945863958</c:v>
                </c:pt>
                <c:pt idx="15">
                  <c:v>0.12969430450041747</c:v>
                </c:pt>
                <c:pt idx="16">
                  <c:v>0.14970677740192706</c:v>
                </c:pt>
                <c:pt idx="17">
                  <c:v>0.17183140745740369</c:v>
                </c:pt>
                <c:pt idx="18">
                  <c:v>0.19627911619524036</c:v>
                </c:pt>
                <c:pt idx="19">
                  <c:v>0.22329191235764032</c:v>
                </c:pt>
                <c:pt idx="20">
                  <c:v>0.25314728109657647</c:v>
                </c:pt>
                <c:pt idx="21">
                  <c:v>0.28616296286546417</c:v>
                </c:pt>
                <c:pt idx="22">
                  <c:v>0.32270193381356715</c:v>
                </c:pt>
                <c:pt idx="23">
                  <c:v>0.36317720380577329</c:v>
                </c:pt>
                <c:pt idx="24">
                  <c:v>0.40805572039200749</c:v>
                </c:pt>
                <c:pt idx="25">
                  <c:v>0.45786013065995684</c:v>
                </c:pt>
                <c:pt idx="26">
                  <c:v>0.51316629609248432</c:v>
                </c:pt>
                <c:pt idx="27">
                  <c:v>0.57459312657902117</c:v>
                </c:pt>
                <c:pt idx="28">
                  <c:v>0.64277932160959372</c:v>
                </c:pt>
                <c:pt idx="29">
                  <c:v>0.71833884691119299</c:v>
                </c:pt>
                <c:pt idx="30">
                  <c:v>0.80178354597124124</c:v>
                </c:pt>
                <c:pt idx="31">
                  <c:v>0.89339801137383779</c:v>
                </c:pt>
                <c:pt idx="32">
                  <c:v>0.99305115057053139</c:v>
                </c:pt>
                <c:pt idx="33">
                  <c:v>1.0999361156437204</c:v>
                </c:pt>
                <c:pt idx="34">
                  <c:v>1.2122544795938535</c:v>
                </c:pt>
                <c:pt idx="35">
                  <c:v>1.3269116345880969</c:v>
                </c:pt>
                <c:pt idx="36">
                  <c:v>1.4393666612797296</c:v>
                </c:pt>
                <c:pt idx="37">
                  <c:v>1.5438437181055409</c:v>
                </c:pt>
                <c:pt idx="38">
                  <c:v>1.634075089047597</c:v>
                </c:pt>
                <c:pt idx="39">
                  <c:v>1.6593385553953328</c:v>
                </c:pt>
                <c:pt idx="40">
                  <c:v>1.7224809596753172</c:v>
                </c:pt>
                <c:pt idx="41">
                  <c:v>1.7617858065342098</c:v>
                </c:pt>
                <c:pt idx="42">
                  <c:v>1.7775007606476596</c:v>
                </c:pt>
                <c:pt idx="43">
                  <c:v>1.7723770936820213</c:v>
                </c:pt>
                <c:pt idx="44">
                  <c:v>1.7506688032071991</c:v>
                </c:pt>
                <c:pt idx="45">
                  <c:v>1.7170352094878036</c:v>
                </c:pt>
                <c:pt idx="46">
                  <c:v>1.6757354437264311</c:v>
                </c:pt>
                <c:pt idx="47">
                  <c:v>1.6302254633798372</c:v>
                </c:pt>
                <c:pt idx="48">
                  <c:v>1.5830741957458498</c:v>
                </c:pt>
                <c:pt idx="49">
                  <c:v>1.5360596375513149</c:v>
                </c:pt>
                <c:pt idx="50">
                  <c:v>1.4903324554146884</c:v>
                </c:pt>
                <c:pt idx="51">
                  <c:v>1.446581713956461</c:v>
                </c:pt>
                <c:pt idx="52">
                  <c:v>1.4051745142564538</c:v>
                </c:pt>
                <c:pt idx="53">
                  <c:v>1.3662628198799427</c:v>
                </c:pt>
                <c:pt idx="54">
                  <c:v>1.329860503810347</c:v>
                </c:pt>
                <c:pt idx="55">
                  <c:v>1.2958967576600455</c:v>
                </c:pt>
                <c:pt idx="56">
                  <c:v>1.2642520414530216</c:v>
                </c:pt>
                <c:pt idx="57">
                  <c:v>1.2347816882910965</c:v>
                </c:pt>
                <c:pt idx="58">
                  <c:v>1.2073310266874606</c:v>
                </c:pt>
                <c:pt idx="59">
                  <c:v>1.1817447922027622</c:v>
                </c:pt>
                <c:pt idx="60">
                  <c:v>1.1578727557635651</c:v>
                </c:pt>
                <c:pt idx="61">
                  <c:v>1.1355728820271946</c:v>
                </c:pt>
                <c:pt idx="62">
                  <c:v>1.1147129003379874</c:v>
                </c:pt>
                <c:pt idx="63">
                  <c:v>1.0951708751382412</c:v>
                </c:pt>
                <c:pt idx="64">
                  <c:v>1.0768351626045636</c:v>
                </c:pt>
                <c:pt idx="65">
                  <c:v>1.0596040061373857</c:v>
                </c:pt>
                <c:pt idx="66">
                  <c:v>1.0433849339971508</c:v>
                </c:pt>
                <c:pt idx="67">
                  <c:v>1.0280940632015909</c:v>
                </c:pt>
                <c:pt idx="68">
                  <c:v>1.0136553747908899</c:v>
                </c:pt>
                <c:pt idx="69">
                  <c:v>1</c:v>
                </c:pt>
                <c:pt idx="70">
                  <c:v>0.92333211953700123</c:v>
                </c:pt>
                <c:pt idx="71">
                  <c:v>0.86696105834124759</c:v>
                </c:pt>
                <c:pt idx="72">
                  <c:v>0.82318248090522994</c:v>
                </c:pt>
                <c:pt idx="73">
                  <c:v>0.78763759103387965</c:v>
                </c:pt>
                <c:pt idx="74">
                  <c:v>0.75772129315258452</c:v>
                </c:pt>
                <c:pt idx="75">
                  <c:v>0.73180269010084442</c:v>
                </c:pt>
                <c:pt idx="76">
                  <c:v>0.70882081816335396</c:v>
                </c:pt>
                <c:pt idx="77">
                  <c:v>0.68806311613752202</c:v>
                </c:pt>
                <c:pt idx="78">
                  <c:v>0.66903798029635431</c:v>
                </c:pt>
                <c:pt idx="79">
                  <c:v>0.65139830863734394</c:v>
                </c:pt>
                <c:pt idx="80">
                  <c:v>0.63489396113171548</c:v>
                </c:pt>
                <c:pt idx="81">
                  <c:v>0.61934128252039466</c:v>
                </c:pt>
                <c:pt idx="82">
                  <c:v>0.60460304808045218</c:v>
                </c:pt>
              </c:numCache>
            </c:numRef>
          </c:yVal>
          <c:smooth val="1"/>
          <c:extLst>
            <c:ext xmlns:c16="http://schemas.microsoft.com/office/drawing/2014/chart" uri="{C3380CC4-5D6E-409C-BE32-E72D297353CC}">
              <c16:uniqueId val="{00000001-4E37-4B90-8CDB-75CCF527018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RTC!$C$49:$CG$49</c:f>
              <c:numCache>
                <c:formatCode>General</c:formatCode>
                <c:ptCount val="83"/>
                <c:pt idx="0">
                  <c:v>2.1818182439325691E-8</c:v>
                </c:pt>
                <c:pt idx="1">
                  <c:v>1.288386932838223E-3</c:v>
                </c:pt>
                <c:pt idx="2">
                  <c:v>3.294085024357045E-3</c:v>
                </c:pt>
                <c:pt idx="3">
                  <c:v>6.2406824378399874E-3</c:v>
                </c:pt>
                <c:pt idx="4">
                  <c:v>1.0149721903320651E-2</c:v>
                </c:pt>
                <c:pt idx="5">
                  <c:v>1.5050135523851146E-2</c:v>
                </c:pt>
                <c:pt idx="6">
                  <c:v>2.0978762930202923E-2</c:v>
                </c:pt>
                <c:pt idx="7">
                  <c:v>2.7981024024538607E-2</c:v>
                </c:pt>
                <c:pt idx="8">
                  <c:v>3.6111767932241016E-2</c:v>
                </c:pt>
                <c:pt idx="9">
                  <c:v>4.5436326096875805E-2</c:v>
                </c:pt>
                <c:pt idx="10">
                  <c:v>5.6031805097773321E-2</c:v>
                </c:pt>
                <c:pt idx="11">
                  <c:v>6.7988664131966317E-2</c:v>
                </c:pt>
                <c:pt idx="12">
                  <c:v>8.1412633661487821E-2</c:v>
                </c:pt>
                <c:pt idx="13">
                  <c:v>9.6427046070027292E-2</c:v>
                </c:pt>
                <c:pt idx="14">
                  <c:v>0.11317566700622338</c:v>
                </c:pt>
                <c:pt idx="15">
                  <c:v>0.13182613823889974</c:v>
                </c:pt>
                <c:pt idx="16">
                  <c:v>0.15257417021874703</c:v>
                </c:pt>
                <c:pt idx="17">
                  <c:v>0.17564865601082363</c:v>
                </c:pt>
                <c:pt idx="18">
                  <c:v>0.20131791842768321</c:v>
                </c:pt>
                <c:pt idx="19">
                  <c:v>0.22989734881129481</c:v>
                </c:pt>
                <c:pt idx="20">
                  <c:v>0.26175874677386279</c:v>
                </c:pt>
                <c:pt idx="21">
                  <c:v>0.29734171889440625</c:v>
                </c:pt>
                <c:pt idx="22">
                  <c:v>0.33716752587048926</c:v>
                </c:pt>
                <c:pt idx="23">
                  <c:v>0.38185574987982207</c:v>
                </c:pt>
                <c:pt idx="24">
                  <c:v>0.4321440215917321</c:v>
                </c:pt>
                <c:pt idx="25">
                  <c:v>0.48891067008148426</c:v>
                </c:pt>
                <c:pt idx="26">
                  <c:v>0.55319928820362751</c:v>
                </c:pt>
                <c:pt idx="27">
                  <c:v>0.62624236450510695</c:v>
                </c:pt>
                <c:pt idx="28">
                  <c:v>0.70947743818119835</c:v>
                </c:pt>
                <c:pt idx="29">
                  <c:v>0.80454211618310545</c:v>
                </c:pt>
                <c:pt idx="30">
                  <c:v>0.91322115987396457</c:v>
                </c:pt>
                <c:pt idx="31">
                  <c:v>1.0372960664446651</c:v>
                </c:pt>
                <c:pt idx="32">
                  <c:v>1.1782121374140366</c:v>
                </c:pt>
                <c:pt idx="33">
                  <c:v>1.3364349780829285</c:v>
                </c:pt>
                <c:pt idx="34">
                  <c:v>1.5103522672564342</c:v>
                </c:pt>
                <c:pt idx="35">
                  <c:v>1.6946933621753784</c:v>
                </c:pt>
                <c:pt idx="36">
                  <c:v>1.8788872930725196</c:v>
                </c:pt>
                <c:pt idx="37">
                  <c:v>2.0466553898913227</c:v>
                </c:pt>
                <c:pt idx="38">
                  <c:v>2.1787661726775815</c:v>
                </c:pt>
                <c:pt idx="39">
                  <c:v>2.2111254628172508</c:v>
                </c:pt>
                <c:pt idx="40">
                  <c:v>2.2733341619235317</c:v>
                </c:pt>
                <c:pt idx="41">
                  <c:v>2.2794758156576145</c:v>
                </c:pt>
                <c:pt idx="42">
                  <c:v>2.2390917769355321</c:v>
                </c:pt>
                <c:pt idx="43">
                  <c:v>2.1671764851446023</c:v>
                </c:pt>
                <c:pt idx="44">
                  <c:v>2.0782664827564985</c:v>
                </c:pt>
                <c:pt idx="45">
                  <c:v>1.9833491584035789</c:v>
                </c:pt>
                <c:pt idx="46">
                  <c:v>1.8894370266624958</c:v>
                </c:pt>
                <c:pt idx="47">
                  <c:v>1.8004036122547353</c:v>
                </c:pt>
                <c:pt idx="48">
                  <c:v>1.7180362951962087</c:v>
                </c:pt>
                <c:pt idx="49">
                  <c:v>1.6428800535467103</c:v>
                </c:pt>
                <c:pt idx="50">
                  <c:v>1.5748033751254678</c:v>
                </c:pt>
                <c:pt idx="51">
                  <c:v>1.5133428875947135</c:v>
                </c:pt>
                <c:pt idx="52">
                  <c:v>1.4579001918992971</c:v>
                </c:pt>
                <c:pt idx="53">
                  <c:v>1.4078482374057375</c:v>
                </c:pt>
                <c:pt idx="54">
                  <c:v>1.3625851213657625</c:v>
                </c:pt>
                <c:pt idx="55">
                  <c:v>1.3215584444011077</c:v>
                </c:pt>
                <c:pt idx="56">
                  <c:v>1.2842737446429706</c:v>
                </c:pt>
                <c:pt idx="57">
                  <c:v>1.2502946995621886</c:v>
                </c:pt>
                <c:pt idx="58">
                  <c:v>1.2192393728204127</c:v>
                </c:pt>
                <c:pt idx="59">
                  <c:v>1.1907748312749207</c:v>
                </c:pt>
                <c:pt idx="60">
                  <c:v>1.1646113567059417</c:v>
                </c:pt>
                <c:pt idx="61">
                  <c:v>1.140496864502047</c:v>
                </c:pt>
                <c:pt idx="62">
                  <c:v>1.1182118061628268</c:v>
                </c:pt>
                <c:pt idx="63">
                  <c:v>1.0975646529978911</c:v>
                </c:pt>
                <c:pt idx="64">
                  <c:v>1.0783879659759421</c:v>
                </c:pt>
                <c:pt idx="65">
                  <c:v>1.0605350123336386</c:v>
                </c:pt>
                <c:pt idx="66">
                  <c:v>1.0438768713069297</c:v>
                </c:pt>
                <c:pt idx="67">
                  <c:v>1.0282999668555644</c:v>
                </c:pt>
                <c:pt idx="68">
                  <c:v>1.0137039676399553</c:v>
                </c:pt>
                <c:pt idx="69">
                  <c:v>1</c:v>
                </c:pt>
                <c:pt idx="70">
                  <c:v>0.9248775837731108</c:v>
                </c:pt>
                <c:pt idx="71">
                  <c:v>0.87171013030791378</c:v>
                </c:pt>
                <c:pt idx="72">
                  <c:v>0.8317679840872253</c:v>
                </c:pt>
                <c:pt idx="73">
                  <c:v>0.80029976910742162</c:v>
                </c:pt>
                <c:pt idx="74">
                  <c:v>0.77452535688315916</c:v>
                </c:pt>
                <c:pt idx="75">
                  <c:v>0.75272386488392695</c:v>
                </c:pt>
                <c:pt idx="76">
                  <c:v>0.73378169196191756</c:v>
                </c:pt>
                <c:pt idx="77">
                  <c:v>0.71695212083513848</c:v>
                </c:pt>
                <c:pt idx="78">
                  <c:v>0.70171979637125559</c:v>
                </c:pt>
                <c:pt idx="79">
                  <c:v>0.68772053775691788</c:v>
                </c:pt>
                <c:pt idx="80">
                  <c:v>0.67469191662288797</c:v>
                </c:pt>
                <c:pt idx="81">
                  <c:v>0.6624417207487634</c:v>
                </c:pt>
                <c:pt idx="82">
                  <c:v>0.65082722151455918</c:v>
                </c:pt>
              </c:numCache>
            </c:numRef>
          </c:yVal>
          <c:smooth val="1"/>
          <c:extLst>
            <c:ext xmlns:c16="http://schemas.microsoft.com/office/drawing/2014/chart" uri="{C3380CC4-5D6E-409C-BE32-E72D297353CC}">
              <c16:uniqueId val="{00000002-4E37-4B90-8CDB-75CCF527018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RTC!$C$50:$CG$50</c:f>
              <c:numCache>
                <c:formatCode>General</c:formatCode>
                <c:ptCount val="83"/>
                <c:pt idx="0">
                  <c:v>2.1818182479920704E-8</c:v>
                </c:pt>
                <c:pt idx="1">
                  <c:v>1.2885285829841006E-3</c:v>
                </c:pt>
                <c:pt idx="2">
                  <c:v>3.2950119481721194E-3</c:v>
                </c:pt>
                <c:pt idx="3">
                  <c:v>6.2440144033623097E-3</c:v>
                </c:pt>
                <c:pt idx="4">
                  <c:v>1.0158553191859945E-2</c:v>
                </c:pt>
                <c:pt idx="5">
                  <c:v>1.5069602622699301E-2</c:v>
                </c:pt>
                <c:pt idx="6">
                  <c:v>2.1016704876682134E-2</c:v>
                </c:pt>
                <c:pt idx="7">
                  <c:v>2.8048768388947723E-2</c:v>
                </c:pt>
                <c:pt idx="8">
                  <c:v>3.6225083729408088E-2</c:v>
                </c:pt>
                <c:pt idx="9">
                  <c:v>4.5616596356075428E-2</c:v>
                </c:pt>
                <c:pt idx="10">
                  <c:v>5.6307487501055131E-2</c:v>
                </c:pt>
                <c:pt idx="11">
                  <c:v>6.83971296301875E-2</c:v>
                </c:pt>
                <c:pt idx="12">
                  <c:v>8.2002502564154742E-2</c:v>
                </c:pt>
                <c:pt idx="13">
                  <c:v>9.7261182059277002E-2</c:v>
                </c:pt>
                <c:pt idx="14">
                  <c:v>0.11433504662530793</c:v>
                </c:pt>
                <c:pt idx="15">
                  <c:v>0.13341489367348136</c:v>
                </c:pt>
                <c:pt idx="16">
                  <c:v>0.15472621704054584</c:v>
                </c:pt>
                <c:pt idx="17">
                  <c:v>0.17853648058534624</c:v>
                </c:pt>
                <c:pt idx="18">
                  <c:v>0.20516433548851423</c:v>
                </c:pt>
                <c:pt idx="19">
                  <c:v>0.23499138428974772</c:v>
                </c:pt>
                <c:pt idx="20">
                  <c:v>0.26847730985236462</c:v>
                </c:pt>
                <c:pt idx="21">
                  <c:v>0.30617948669159406</c:v>
                </c:pt>
                <c:pt idx="22">
                  <c:v>0.34877860915110864</c:v>
                </c:pt>
                <c:pt idx="23">
                  <c:v>0.39711245078414564</c:v>
                </c:pt>
                <c:pt idx="24">
                  <c:v>0.45222066752110879</c:v>
                </c:pt>
                <c:pt idx="25">
                  <c:v>0.51540462938092035</c:v>
                </c:pt>
                <c:pt idx="26">
                  <c:v>0.58830762840615813</c:v>
                </c:pt>
                <c:pt idx="27">
                  <c:v>0.67302232488870162</c:v>
                </c:pt>
                <c:pt idx="28">
                  <c:v>0.77223333712321429</c:v>
                </c:pt>
                <c:pt idx="29">
                  <c:v>0.88940146434470002</c:v>
                </c:pt>
                <c:pt idx="30">
                  <c:v>1.0289864824494521</c:v>
                </c:pt>
                <c:pt idx="31">
                  <c:v>1.1966724314094623</c:v>
                </c:pt>
                <c:pt idx="32">
                  <c:v>1.3994632574174968</c:v>
                </c:pt>
                <c:pt idx="33">
                  <c:v>1.6452628496952006</c:v>
                </c:pt>
                <c:pt idx="34">
                  <c:v>1.9409529095430136</c:v>
                </c:pt>
                <c:pt idx="35">
                  <c:v>2.286856711332343</c:v>
                </c:pt>
                <c:pt idx="36">
                  <c:v>2.664689739148864</c:v>
                </c:pt>
                <c:pt idx="37">
                  <c:v>3.0210297534050943</c:v>
                </c:pt>
                <c:pt idx="38">
                  <c:v>3.2681466330811526</c:v>
                </c:pt>
                <c:pt idx="39">
                  <c:v>3.3110252196145522</c:v>
                </c:pt>
                <c:pt idx="40">
                  <c:v>3.3156909367168934</c:v>
                </c:pt>
                <c:pt idx="41">
                  <c:v>3.165485129035889</c:v>
                </c:pt>
                <c:pt idx="42">
                  <c:v>2.9379147301897302</c:v>
                </c:pt>
                <c:pt idx="43">
                  <c:v>2.6956469422014004</c:v>
                </c:pt>
                <c:pt idx="44">
                  <c:v>2.4705166769883413</c:v>
                </c:pt>
                <c:pt idx="45">
                  <c:v>2.2731978578150067</c:v>
                </c:pt>
                <c:pt idx="46">
                  <c:v>2.1043137440172504</c:v>
                </c:pt>
                <c:pt idx="47">
                  <c:v>1.9607997258777867</c:v>
                </c:pt>
                <c:pt idx="48">
                  <c:v>1.8387414801727384</c:v>
                </c:pt>
                <c:pt idx="49">
                  <c:v>1.7344475901781762</c:v>
                </c:pt>
                <c:pt idx="50">
                  <c:v>1.6447671953798582</c:v>
                </c:pt>
                <c:pt idx="51">
                  <c:v>1.5671176092543677</c:v>
                </c:pt>
                <c:pt idx="52">
                  <c:v>1.4994159312519777</c:v>
                </c:pt>
                <c:pt idx="53">
                  <c:v>1.4399901776491046</c:v>
                </c:pt>
                <c:pt idx="54">
                  <c:v>1.3874966034904137</c:v>
                </c:pt>
                <c:pt idx="55">
                  <c:v>1.3408506390314692</c:v>
                </c:pt>
                <c:pt idx="56">
                  <c:v>1.2991717638123261</c:v>
                </c:pt>
                <c:pt idx="57">
                  <c:v>1.2617403838170929</c:v>
                </c:pt>
                <c:pt idx="58">
                  <c:v>1.2279643637936826</c:v>
                </c:pt>
                <c:pt idx="59">
                  <c:v>1.1973530893088902</c:v>
                </c:pt>
                <c:pt idx="60">
                  <c:v>1.1694973196907215</c:v>
                </c:pt>
                <c:pt idx="61">
                  <c:v>1.1440534718277999</c:v>
                </c:pt>
                <c:pt idx="62">
                  <c:v>1.1207312935183062</c:v>
                </c:pt>
                <c:pt idx="63">
                  <c:v>1.0992841366401696</c:v>
                </c:pt>
                <c:pt idx="64">
                  <c:v>1.0795012330280616</c:v>
                </c:pt>
                <c:pt idx="65">
                  <c:v>1.0612015212514392</c:v>
                </c:pt>
                <c:pt idx="66">
                  <c:v>1.0442286814174895</c:v>
                </c:pt>
                <c:pt idx="67">
                  <c:v>1.028447116660097</c:v>
                </c:pt>
                <c:pt idx="68">
                  <c:v>1.0137386810967635</c:v>
                </c:pt>
                <c:pt idx="69">
                  <c:v>1</c:v>
                </c:pt>
                <c:pt idx="70">
                  <c:v>0.9259862501827153</c:v>
                </c:pt>
                <c:pt idx="71">
                  <c:v>0.87515050886117685</c:v>
                </c:pt>
                <c:pt idx="72">
                  <c:v>0.83806761170528898</c:v>
                </c:pt>
                <c:pt idx="73">
                  <c:v>0.80972746125639039</c:v>
                </c:pt>
                <c:pt idx="74">
                  <c:v>0.78723671009002483</c:v>
                </c:pt>
                <c:pt idx="75">
                  <c:v>0.76881622259455229</c:v>
                </c:pt>
                <c:pt idx="76">
                  <c:v>0.75331704608022088</c:v>
                </c:pt>
                <c:pt idx="77">
                  <c:v>0.73996753261833481</c:v>
                </c:pt>
                <c:pt idx="78">
                  <c:v>0.72823262046716475</c:v>
                </c:pt>
                <c:pt idx="79">
                  <c:v>0.71773138144407611</c:v>
                </c:pt>
                <c:pt idx="80">
                  <c:v>0.70818658508753285</c:v>
                </c:pt>
                <c:pt idx="81">
                  <c:v>0.69939270288926503</c:v>
                </c:pt>
                <c:pt idx="82">
                  <c:v>0.69119496620994025</c:v>
                </c:pt>
              </c:numCache>
            </c:numRef>
          </c:yVal>
          <c:smooth val="1"/>
          <c:extLst>
            <c:ext xmlns:c16="http://schemas.microsoft.com/office/drawing/2014/chart" uri="{C3380CC4-5D6E-409C-BE32-E72D297353CC}">
              <c16:uniqueId val="{00000003-4E37-4B90-8CDB-75CCF527018D}"/>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RTC!$C$53:$CG$53</c:f>
              <c:numCache>
                <c:formatCode>General</c:formatCode>
                <c:ptCount val="83"/>
                <c:pt idx="0">
                  <c:v>1.5209591836734695</c:v>
                </c:pt>
                <c:pt idx="1">
                  <c:v>1.5209591836734695</c:v>
                </c:pt>
                <c:pt idx="2">
                  <c:v>1.5209591836734695</c:v>
                </c:pt>
                <c:pt idx="3">
                  <c:v>1.5209591836734695</c:v>
                </c:pt>
                <c:pt idx="4">
                  <c:v>1.5209591836734695</c:v>
                </c:pt>
                <c:pt idx="5">
                  <c:v>1.5209591836734695</c:v>
                </c:pt>
                <c:pt idx="6">
                  <c:v>1.5209591836734695</c:v>
                </c:pt>
                <c:pt idx="7">
                  <c:v>1.5209591836734695</c:v>
                </c:pt>
                <c:pt idx="8">
                  <c:v>1.5209591836734695</c:v>
                </c:pt>
                <c:pt idx="9">
                  <c:v>1.5209591836734695</c:v>
                </c:pt>
                <c:pt idx="10">
                  <c:v>1.5209591836734695</c:v>
                </c:pt>
                <c:pt idx="11">
                  <c:v>1.5209591836734695</c:v>
                </c:pt>
                <c:pt idx="12">
                  <c:v>1.5209591836734695</c:v>
                </c:pt>
                <c:pt idx="13">
                  <c:v>1.5209591836734695</c:v>
                </c:pt>
                <c:pt idx="14">
                  <c:v>1.5209591836734695</c:v>
                </c:pt>
                <c:pt idx="15">
                  <c:v>1.5209591836734695</c:v>
                </c:pt>
                <c:pt idx="16">
                  <c:v>1.5209591836734695</c:v>
                </c:pt>
                <c:pt idx="17">
                  <c:v>1.5209591836734695</c:v>
                </c:pt>
                <c:pt idx="18">
                  <c:v>1.5209591836734695</c:v>
                </c:pt>
                <c:pt idx="19">
                  <c:v>1.5209591836734695</c:v>
                </c:pt>
                <c:pt idx="20">
                  <c:v>1.5209591836734695</c:v>
                </c:pt>
                <c:pt idx="21">
                  <c:v>1.5209591836734695</c:v>
                </c:pt>
                <c:pt idx="22">
                  <c:v>1.5209591836734695</c:v>
                </c:pt>
                <c:pt idx="23">
                  <c:v>1.5209591836734695</c:v>
                </c:pt>
                <c:pt idx="24">
                  <c:v>1.5209591836734695</c:v>
                </c:pt>
                <c:pt idx="25">
                  <c:v>1.5209591836734695</c:v>
                </c:pt>
                <c:pt idx="26">
                  <c:v>1.5209591836734695</c:v>
                </c:pt>
                <c:pt idx="27">
                  <c:v>1.5209591836734695</c:v>
                </c:pt>
                <c:pt idx="28">
                  <c:v>1.5209591836734695</c:v>
                </c:pt>
                <c:pt idx="29">
                  <c:v>1.5209591836734695</c:v>
                </c:pt>
                <c:pt idx="30">
                  <c:v>1.5209591836734695</c:v>
                </c:pt>
                <c:pt idx="31">
                  <c:v>1.5209591836734695</c:v>
                </c:pt>
                <c:pt idx="32">
                  <c:v>1.5209591836734695</c:v>
                </c:pt>
                <c:pt idx="33">
                  <c:v>1.5209591836734695</c:v>
                </c:pt>
                <c:pt idx="34">
                  <c:v>1.5209591836734695</c:v>
                </c:pt>
                <c:pt idx="35">
                  <c:v>1.5209591836734695</c:v>
                </c:pt>
                <c:pt idx="36">
                  <c:v>1.5209591836734695</c:v>
                </c:pt>
                <c:pt idx="37">
                  <c:v>1.5209591836734695</c:v>
                </c:pt>
                <c:pt idx="38">
                  <c:v>1.5209591836734695</c:v>
                </c:pt>
                <c:pt idx="39">
                  <c:v>1.5209591836734695</c:v>
                </c:pt>
                <c:pt idx="40">
                  <c:v>1.5209591836734695</c:v>
                </c:pt>
                <c:pt idx="41">
                  <c:v>1.5209591836734695</c:v>
                </c:pt>
                <c:pt idx="42">
                  <c:v>1.5209591836734695</c:v>
                </c:pt>
                <c:pt idx="43">
                  <c:v>1.5209591836734695</c:v>
                </c:pt>
                <c:pt idx="44">
                  <c:v>1.5209591836734695</c:v>
                </c:pt>
                <c:pt idx="45">
                  <c:v>1.5209591836734695</c:v>
                </c:pt>
                <c:pt idx="46">
                  <c:v>1.5209591836734695</c:v>
                </c:pt>
                <c:pt idx="47">
                  <c:v>1.5209591836734695</c:v>
                </c:pt>
                <c:pt idx="48">
                  <c:v>1.5209591836734695</c:v>
                </c:pt>
                <c:pt idx="49">
                  <c:v>1.5209591836734695</c:v>
                </c:pt>
                <c:pt idx="50">
                  <c:v>1.5209591836734695</c:v>
                </c:pt>
                <c:pt idx="51">
                  <c:v>1.5209591836734695</c:v>
                </c:pt>
                <c:pt idx="52">
                  <c:v>1.5209591836734695</c:v>
                </c:pt>
                <c:pt idx="53">
                  <c:v>1.5209591836734695</c:v>
                </c:pt>
                <c:pt idx="54">
                  <c:v>1.5209591836734695</c:v>
                </c:pt>
                <c:pt idx="55">
                  <c:v>1.5209591836734695</c:v>
                </c:pt>
                <c:pt idx="56">
                  <c:v>1.5209591836734695</c:v>
                </c:pt>
                <c:pt idx="57">
                  <c:v>1.5209591836734695</c:v>
                </c:pt>
                <c:pt idx="58">
                  <c:v>1.5209591836734695</c:v>
                </c:pt>
                <c:pt idx="59">
                  <c:v>1.5209591836734695</c:v>
                </c:pt>
                <c:pt idx="60">
                  <c:v>1.5209591836734695</c:v>
                </c:pt>
                <c:pt idx="61">
                  <c:v>1.5209591836734695</c:v>
                </c:pt>
                <c:pt idx="62">
                  <c:v>1.5209591836734695</c:v>
                </c:pt>
                <c:pt idx="63">
                  <c:v>1.5209591836734695</c:v>
                </c:pt>
                <c:pt idx="64">
                  <c:v>1.5209591836734695</c:v>
                </c:pt>
                <c:pt idx="65">
                  <c:v>1.5209591836734695</c:v>
                </c:pt>
                <c:pt idx="66">
                  <c:v>1.5209591836734695</c:v>
                </c:pt>
                <c:pt idx="67">
                  <c:v>1.5209591836734695</c:v>
                </c:pt>
                <c:pt idx="68">
                  <c:v>1.5209591836734695</c:v>
                </c:pt>
                <c:pt idx="69">
                  <c:v>1.5209591836734695</c:v>
                </c:pt>
                <c:pt idx="70">
                  <c:v>1.5209591836734695</c:v>
                </c:pt>
                <c:pt idx="71">
                  <c:v>1.5209591836734695</c:v>
                </c:pt>
                <c:pt idx="72">
                  <c:v>1.5209591836734695</c:v>
                </c:pt>
                <c:pt idx="73">
                  <c:v>1.5209591836734695</c:v>
                </c:pt>
                <c:pt idx="74">
                  <c:v>1.5209591836734695</c:v>
                </c:pt>
                <c:pt idx="75">
                  <c:v>1.5209591836734695</c:v>
                </c:pt>
                <c:pt idx="76">
                  <c:v>1.5209591836734695</c:v>
                </c:pt>
                <c:pt idx="77">
                  <c:v>1.5209591836734695</c:v>
                </c:pt>
                <c:pt idx="78">
                  <c:v>1.5209591836734695</c:v>
                </c:pt>
                <c:pt idx="79">
                  <c:v>1.5209591836734695</c:v>
                </c:pt>
                <c:pt idx="80">
                  <c:v>1.5209591836734695</c:v>
                </c:pt>
                <c:pt idx="81">
                  <c:v>1.5209591836734695</c:v>
                </c:pt>
                <c:pt idx="82">
                  <c:v>1.5209591836734695</c:v>
                </c:pt>
              </c:numCache>
            </c:numRef>
          </c:yVal>
          <c:smooth val="1"/>
          <c:extLst>
            <c:ext xmlns:c16="http://schemas.microsoft.com/office/drawing/2014/chart" uri="{C3380CC4-5D6E-409C-BE32-E72D297353CC}">
              <c16:uniqueId val="{00000004-4E37-4B90-8CDB-75CCF527018D}"/>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RTC!$C$55:$CG$55</c:f>
              <c:numCache>
                <c:formatCode>General</c:formatCode>
                <c:ptCount val="83"/>
                <c:pt idx="0">
                  <c:v>1.7562523882406222</c:v>
                </c:pt>
                <c:pt idx="1">
                  <c:v>1.7562523882406222</c:v>
                </c:pt>
                <c:pt idx="2">
                  <c:v>1.7562523882406222</c:v>
                </c:pt>
                <c:pt idx="3">
                  <c:v>1.7562523882406222</c:v>
                </c:pt>
                <c:pt idx="4">
                  <c:v>1.7562523882406222</c:v>
                </c:pt>
                <c:pt idx="5">
                  <c:v>1.7562523882406222</c:v>
                </c:pt>
                <c:pt idx="6">
                  <c:v>1.7562523882406222</c:v>
                </c:pt>
                <c:pt idx="7">
                  <c:v>1.7562523882406222</c:v>
                </c:pt>
                <c:pt idx="8">
                  <c:v>1.7562523882406222</c:v>
                </c:pt>
                <c:pt idx="9">
                  <c:v>1.7562523882406222</c:v>
                </c:pt>
                <c:pt idx="10">
                  <c:v>1.7562523882406222</c:v>
                </c:pt>
                <c:pt idx="11">
                  <c:v>1.7562523882406222</c:v>
                </c:pt>
                <c:pt idx="12">
                  <c:v>1.7562523882406222</c:v>
                </c:pt>
                <c:pt idx="13">
                  <c:v>1.7562523882406222</c:v>
                </c:pt>
                <c:pt idx="14">
                  <c:v>1.7562523882406222</c:v>
                </c:pt>
                <c:pt idx="15">
                  <c:v>1.7562523882406222</c:v>
                </c:pt>
                <c:pt idx="16">
                  <c:v>1.7562523882406222</c:v>
                </c:pt>
                <c:pt idx="17">
                  <c:v>1.7562523882406222</c:v>
                </c:pt>
                <c:pt idx="18">
                  <c:v>1.7562523882406222</c:v>
                </c:pt>
                <c:pt idx="19">
                  <c:v>1.7562523882406222</c:v>
                </c:pt>
                <c:pt idx="20">
                  <c:v>1.7562523882406222</c:v>
                </c:pt>
                <c:pt idx="21">
                  <c:v>1.7562523882406222</c:v>
                </c:pt>
                <c:pt idx="22">
                  <c:v>1.7562523882406222</c:v>
                </c:pt>
                <c:pt idx="23">
                  <c:v>1.7562523882406222</c:v>
                </c:pt>
                <c:pt idx="24">
                  <c:v>1.7562523882406222</c:v>
                </c:pt>
                <c:pt idx="25">
                  <c:v>1.7562523882406222</c:v>
                </c:pt>
                <c:pt idx="26">
                  <c:v>1.7562523882406222</c:v>
                </c:pt>
                <c:pt idx="27">
                  <c:v>1.7562523882406222</c:v>
                </c:pt>
                <c:pt idx="28">
                  <c:v>1.7562523882406222</c:v>
                </c:pt>
                <c:pt idx="29">
                  <c:v>1.7562523882406222</c:v>
                </c:pt>
                <c:pt idx="30">
                  <c:v>1.7562523882406222</c:v>
                </c:pt>
                <c:pt idx="31">
                  <c:v>1.7562523882406222</c:v>
                </c:pt>
                <c:pt idx="32">
                  <c:v>1.7562523882406222</c:v>
                </c:pt>
                <c:pt idx="33">
                  <c:v>1.7562523882406222</c:v>
                </c:pt>
                <c:pt idx="34">
                  <c:v>1.7562523882406222</c:v>
                </c:pt>
                <c:pt idx="35">
                  <c:v>1.7562523882406222</c:v>
                </c:pt>
                <c:pt idx="36">
                  <c:v>1.7562523882406222</c:v>
                </c:pt>
                <c:pt idx="37">
                  <c:v>1.7562523882406222</c:v>
                </c:pt>
                <c:pt idx="38">
                  <c:v>1.7562523882406222</c:v>
                </c:pt>
                <c:pt idx="39">
                  <c:v>1.7562523882406222</c:v>
                </c:pt>
                <c:pt idx="40">
                  <c:v>1.7562523882406222</c:v>
                </c:pt>
                <c:pt idx="41">
                  <c:v>1.7562523882406222</c:v>
                </c:pt>
                <c:pt idx="42">
                  <c:v>1.7562523882406222</c:v>
                </c:pt>
                <c:pt idx="43">
                  <c:v>1.7562523882406222</c:v>
                </c:pt>
                <c:pt idx="44">
                  <c:v>1.7562523882406222</c:v>
                </c:pt>
                <c:pt idx="45">
                  <c:v>1.7562523882406222</c:v>
                </c:pt>
                <c:pt idx="46">
                  <c:v>1.7562523882406222</c:v>
                </c:pt>
                <c:pt idx="47">
                  <c:v>1.7562523882406222</c:v>
                </c:pt>
                <c:pt idx="48">
                  <c:v>1.7562523882406222</c:v>
                </c:pt>
                <c:pt idx="49">
                  <c:v>1.7562523882406222</c:v>
                </c:pt>
                <c:pt idx="50">
                  <c:v>1.7562523882406222</c:v>
                </c:pt>
                <c:pt idx="51">
                  <c:v>1.7562523882406222</c:v>
                </c:pt>
                <c:pt idx="52">
                  <c:v>1.7562523882406222</c:v>
                </c:pt>
                <c:pt idx="53">
                  <c:v>1.7562523882406222</c:v>
                </c:pt>
                <c:pt idx="54">
                  <c:v>1.7562523882406222</c:v>
                </c:pt>
                <c:pt idx="55">
                  <c:v>1.7562523882406222</c:v>
                </c:pt>
                <c:pt idx="56">
                  <c:v>1.7562523882406222</c:v>
                </c:pt>
                <c:pt idx="57">
                  <c:v>1.7562523882406222</c:v>
                </c:pt>
                <c:pt idx="58">
                  <c:v>1.7562523882406222</c:v>
                </c:pt>
                <c:pt idx="59">
                  <c:v>1.7562523882406222</c:v>
                </c:pt>
                <c:pt idx="60">
                  <c:v>1.7562523882406222</c:v>
                </c:pt>
                <c:pt idx="61">
                  <c:v>1.7562523882406222</c:v>
                </c:pt>
                <c:pt idx="62">
                  <c:v>1.7562523882406222</c:v>
                </c:pt>
                <c:pt idx="63">
                  <c:v>1.7562523882406222</c:v>
                </c:pt>
                <c:pt idx="64">
                  <c:v>1.7562523882406222</c:v>
                </c:pt>
                <c:pt idx="65">
                  <c:v>1.7562523882406222</c:v>
                </c:pt>
                <c:pt idx="66">
                  <c:v>1.7562523882406222</c:v>
                </c:pt>
                <c:pt idx="67">
                  <c:v>1.7562523882406222</c:v>
                </c:pt>
                <c:pt idx="68">
                  <c:v>1.7562523882406222</c:v>
                </c:pt>
                <c:pt idx="69">
                  <c:v>1.7562523882406222</c:v>
                </c:pt>
                <c:pt idx="70">
                  <c:v>1.7562523882406222</c:v>
                </c:pt>
                <c:pt idx="71">
                  <c:v>1.7562523882406222</c:v>
                </c:pt>
                <c:pt idx="72">
                  <c:v>1.7562523882406222</c:v>
                </c:pt>
                <c:pt idx="73">
                  <c:v>1.7562523882406222</c:v>
                </c:pt>
                <c:pt idx="74">
                  <c:v>1.7562523882406222</c:v>
                </c:pt>
                <c:pt idx="75">
                  <c:v>1.7562523882406222</c:v>
                </c:pt>
                <c:pt idx="76">
                  <c:v>1.7562523882406222</c:v>
                </c:pt>
                <c:pt idx="77">
                  <c:v>1.7562523882406222</c:v>
                </c:pt>
                <c:pt idx="78">
                  <c:v>1.7562523882406222</c:v>
                </c:pt>
                <c:pt idx="79">
                  <c:v>1.7562523882406222</c:v>
                </c:pt>
                <c:pt idx="80">
                  <c:v>1.7562523882406222</c:v>
                </c:pt>
                <c:pt idx="81">
                  <c:v>1.7562523882406222</c:v>
                </c:pt>
                <c:pt idx="82">
                  <c:v>1.7562523882406222</c:v>
                </c:pt>
              </c:numCache>
            </c:numRef>
          </c:yVal>
          <c:smooth val="1"/>
          <c:extLst>
            <c:ext xmlns:c16="http://schemas.microsoft.com/office/drawing/2014/chart" uri="{C3380CC4-5D6E-409C-BE32-E72D297353CC}">
              <c16:uniqueId val="{00000005-4E37-4B90-8CDB-75CCF527018D}"/>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RTC!$C$56:$CG$56</c:f>
              <c:numCache>
                <c:formatCode>General</c:formatCode>
                <c:ptCount val="83"/>
                <c:pt idx="0">
                  <c:v>2.1509611053669317</c:v>
                </c:pt>
                <c:pt idx="1">
                  <c:v>2.1509611053669317</c:v>
                </c:pt>
                <c:pt idx="2">
                  <c:v>2.1509611053669317</c:v>
                </c:pt>
                <c:pt idx="3">
                  <c:v>2.1509611053669317</c:v>
                </c:pt>
                <c:pt idx="4">
                  <c:v>2.1509611053669317</c:v>
                </c:pt>
                <c:pt idx="5">
                  <c:v>2.1509611053669317</c:v>
                </c:pt>
                <c:pt idx="6">
                  <c:v>2.1509611053669317</c:v>
                </c:pt>
                <c:pt idx="7">
                  <c:v>2.1509611053669317</c:v>
                </c:pt>
                <c:pt idx="8">
                  <c:v>2.1509611053669317</c:v>
                </c:pt>
                <c:pt idx="9">
                  <c:v>2.1509611053669317</c:v>
                </c:pt>
                <c:pt idx="10">
                  <c:v>2.1509611053669317</c:v>
                </c:pt>
                <c:pt idx="11">
                  <c:v>2.1509611053669317</c:v>
                </c:pt>
                <c:pt idx="12">
                  <c:v>2.1509611053669317</c:v>
                </c:pt>
                <c:pt idx="13">
                  <c:v>2.1509611053669317</c:v>
                </c:pt>
                <c:pt idx="14">
                  <c:v>2.1509611053669317</c:v>
                </c:pt>
                <c:pt idx="15">
                  <c:v>2.1509611053669317</c:v>
                </c:pt>
                <c:pt idx="16">
                  <c:v>2.1509611053669317</c:v>
                </c:pt>
                <c:pt idx="17">
                  <c:v>2.1509611053669317</c:v>
                </c:pt>
                <c:pt idx="18">
                  <c:v>2.1509611053669317</c:v>
                </c:pt>
                <c:pt idx="19">
                  <c:v>2.1509611053669317</c:v>
                </c:pt>
                <c:pt idx="20">
                  <c:v>2.1509611053669317</c:v>
                </c:pt>
                <c:pt idx="21">
                  <c:v>2.1509611053669317</c:v>
                </c:pt>
                <c:pt idx="22">
                  <c:v>2.1509611053669317</c:v>
                </c:pt>
                <c:pt idx="23">
                  <c:v>2.1509611053669317</c:v>
                </c:pt>
                <c:pt idx="24">
                  <c:v>2.1509611053669317</c:v>
                </c:pt>
                <c:pt idx="25">
                  <c:v>2.1509611053669317</c:v>
                </c:pt>
                <c:pt idx="26">
                  <c:v>2.1509611053669317</c:v>
                </c:pt>
                <c:pt idx="27">
                  <c:v>2.1509611053669317</c:v>
                </c:pt>
                <c:pt idx="28">
                  <c:v>2.1509611053669317</c:v>
                </c:pt>
                <c:pt idx="29">
                  <c:v>2.1509611053669317</c:v>
                </c:pt>
                <c:pt idx="30">
                  <c:v>2.1509611053669317</c:v>
                </c:pt>
                <c:pt idx="31">
                  <c:v>2.1509611053669317</c:v>
                </c:pt>
                <c:pt idx="32">
                  <c:v>2.1509611053669317</c:v>
                </c:pt>
                <c:pt idx="33">
                  <c:v>2.1509611053669317</c:v>
                </c:pt>
                <c:pt idx="34">
                  <c:v>2.1509611053669317</c:v>
                </c:pt>
                <c:pt idx="35">
                  <c:v>2.1509611053669317</c:v>
                </c:pt>
                <c:pt idx="36">
                  <c:v>2.1509611053669317</c:v>
                </c:pt>
                <c:pt idx="37">
                  <c:v>2.1509611053669317</c:v>
                </c:pt>
                <c:pt idx="38">
                  <c:v>2.1509611053669317</c:v>
                </c:pt>
                <c:pt idx="39">
                  <c:v>2.1509611053669317</c:v>
                </c:pt>
                <c:pt idx="40">
                  <c:v>2.1509611053669317</c:v>
                </c:pt>
                <c:pt idx="41">
                  <c:v>2.1509611053669317</c:v>
                </c:pt>
                <c:pt idx="42">
                  <c:v>2.1509611053669317</c:v>
                </c:pt>
                <c:pt idx="43">
                  <c:v>2.1509611053669317</c:v>
                </c:pt>
                <c:pt idx="44">
                  <c:v>2.1509611053669317</c:v>
                </c:pt>
                <c:pt idx="45">
                  <c:v>2.1509611053669317</c:v>
                </c:pt>
                <c:pt idx="46">
                  <c:v>2.1509611053669317</c:v>
                </c:pt>
                <c:pt idx="47">
                  <c:v>2.1509611053669317</c:v>
                </c:pt>
                <c:pt idx="48">
                  <c:v>2.1509611053669317</c:v>
                </c:pt>
                <c:pt idx="49">
                  <c:v>2.1509611053669317</c:v>
                </c:pt>
                <c:pt idx="50">
                  <c:v>2.1509611053669317</c:v>
                </c:pt>
                <c:pt idx="51">
                  <c:v>2.1509611053669317</c:v>
                </c:pt>
                <c:pt idx="52">
                  <c:v>2.1509611053669317</c:v>
                </c:pt>
                <c:pt idx="53">
                  <c:v>2.1509611053669317</c:v>
                </c:pt>
                <c:pt idx="54">
                  <c:v>2.1509611053669317</c:v>
                </c:pt>
                <c:pt idx="55">
                  <c:v>2.1509611053669317</c:v>
                </c:pt>
                <c:pt idx="56">
                  <c:v>2.1509611053669317</c:v>
                </c:pt>
                <c:pt idx="57">
                  <c:v>2.1509611053669317</c:v>
                </c:pt>
                <c:pt idx="58">
                  <c:v>2.1509611053669317</c:v>
                </c:pt>
                <c:pt idx="59">
                  <c:v>2.1509611053669317</c:v>
                </c:pt>
                <c:pt idx="60">
                  <c:v>2.1509611053669317</c:v>
                </c:pt>
                <c:pt idx="61">
                  <c:v>2.1509611053669317</c:v>
                </c:pt>
                <c:pt idx="62">
                  <c:v>2.1509611053669317</c:v>
                </c:pt>
                <c:pt idx="63">
                  <c:v>2.1509611053669317</c:v>
                </c:pt>
                <c:pt idx="64">
                  <c:v>2.1509611053669317</c:v>
                </c:pt>
                <c:pt idx="65">
                  <c:v>2.1509611053669317</c:v>
                </c:pt>
                <c:pt idx="66">
                  <c:v>2.1509611053669317</c:v>
                </c:pt>
                <c:pt idx="67">
                  <c:v>2.1509611053669317</c:v>
                </c:pt>
                <c:pt idx="68">
                  <c:v>2.1509611053669317</c:v>
                </c:pt>
                <c:pt idx="69">
                  <c:v>2.1509611053669317</c:v>
                </c:pt>
                <c:pt idx="70">
                  <c:v>2.1509611053669317</c:v>
                </c:pt>
                <c:pt idx="71">
                  <c:v>2.1509611053669317</c:v>
                </c:pt>
                <c:pt idx="72">
                  <c:v>2.1509611053669317</c:v>
                </c:pt>
                <c:pt idx="73">
                  <c:v>2.1509611053669317</c:v>
                </c:pt>
                <c:pt idx="74">
                  <c:v>2.1509611053669317</c:v>
                </c:pt>
                <c:pt idx="75">
                  <c:v>2.1509611053669317</c:v>
                </c:pt>
                <c:pt idx="76">
                  <c:v>2.1509611053669317</c:v>
                </c:pt>
                <c:pt idx="77">
                  <c:v>2.1509611053669317</c:v>
                </c:pt>
                <c:pt idx="78">
                  <c:v>2.1509611053669317</c:v>
                </c:pt>
                <c:pt idx="79">
                  <c:v>2.1509611053669317</c:v>
                </c:pt>
                <c:pt idx="80">
                  <c:v>2.1509611053669317</c:v>
                </c:pt>
                <c:pt idx="81">
                  <c:v>2.1509611053669317</c:v>
                </c:pt>
                <c:pt idx="82">
                  <c:v>2.1509611053669317</c:v>
                </c:pt>
              </c:numCache>
            </c:numRef>
          </c:yVal>
          <c:smooth val="1"/>
          <c:extLst>
            <c:ext xmlns:c16="http://schemas.microsoft.com/office/drawing/2014/chart" uri="{C3380CC4-5D6E-409C-BE32-E72D297353CC}">
              <c16:uniqueId val="{00000006-4E37-4B90-8CDB-75CCF527018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1921.5837087114464</c:v>
                </c:pt>
                <c:pt idx="39">
                  <c:v>6.499999999999007</c:v>
                </c:pt>
                <c:pt idx="40">
                  <c:v>3.2529106029008803</c:v>
                </c:pt>
                <c:pt idx="41">
                  <c:v>2.4982667258847973</c:v>
                </c:pt>
                <c:pt idx="42">
                  <c:v>2.1257309304031207</c:v>
                </c:pt>
                <c:pt idx="43">
                  <c:v>1.8960339956097945</c:v>
                </c:pt>
                <c:pt idx="44">
                  <c:v>1.7376131616797115</c:v>
                </c:pt>
                <c:pt idx="45">
                  <c:v>1.6206354136476369</c:v>
                </c:pt>
                <c:pt idx="46">
                  <c:v>1.5301841113520063</c:v>
                </c:pt>
                <c:pt idx="47">
                  <c:v>1.4578754741100259</c:v>
                </c:pt>
                <c:pt idx="48">
                  <c:v>1.3985939180008431</c:v>
                </c:pt>
                <c:pt idx="49">
                  <c:v>1.3490213172523273</c:v>
                </c:pt>
                <c:pt idx="50">
                  <c:v>1.3069011244615849</c:v>
                </c:pt>
                <c:pt idx="51">
                  <c:v>1.2706396576782892</c:v>
                </c:pt>
                <c:pt idx="52">
                  <c:v>1.2390760932765092</c:v>
                </c:pt>
                <c:pt idx="53">
                  <c:v>1.2113428740117067</c:v>
                </c:pt>
                <c:pt idx="54">
                  <c:v>1.1867773590313537</c:v>
                </c:pt>
                <c:pt idx="55">
                  <c:v>1.1648638953701158</c:v>
                </c:pt>
                <c:pt idx="56">
                  <c:v>1.1451946731274369</c:v>
                </c:pt>
                <c:pt idx="57">
                  <c:v>1.1274425752841599</c:v>
                </c:pt>
                <c:pt idx="58">
                  <c:v>1.1113419135083229</c:v>
                </c:pt>
                <c:pt idx="59">
                  <c:v>1.0966744827478272</c:v>
                </c:pt>
                <c:pt idx="60">
                  <c:v>1.0832592849365161</c:v>
                </c:pt>
                <c:pt idx="61">
                  <c:v>1.0709448350980926</c:v>
                </c:pt>
                <c:pt idx="62">
                  <c:v>1.0596033179556184</c:v>
                </c:pt>
                <c:pt idx="63">
                  <c:v>1.0491260922331147</c:v>
                </c:pt>
                <c:pt idx="64">
                  <c:v>1.0394201909627108</c:v>
                </c:pt>
                <c:pt idx="65">
                  <c:v>1.0304055677788071</c:v>
                </c:pt>
                <c:pt idx="66">
                  <c:v>1.022012908801389</c:v>
                </c:pt>
                <c:pt idx="67">
                  <c:v>1.0141818781648655</c:v>
                </c:pt>
                <c:pt idx="68">
                  <c:v>1.0068596994765564</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4E37-4B90-8CDB-75CCF527018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RTC!$C$31:$CG$31</c:f>
              <c:numCache>
                <c:formatCode>General</c:formatCode>
                <c:ptCount val="83"/>
                <c:pt idx="0">
                  <c:v>0.68571428571428572</c:v>
                </c:pt>
                <c:pt idx="1">
                  <c:v>0.68571428571428572</c:v>
                </c:pt>
                <c:pt idx="2">
                  <c:v>0.68571428571428572</c:v>
                </c:pt>
                <c:pt idx="3">
                  <c:v>0.68571428571428572</c:v>
                </c:pt>
                <c:pt idx="4">
                  <c:v>0.68571428571428572</c:v>
                </c:pt>
                <c:pt idx="5">
                  <c:v>0.68571428571428572</c:v>
                </c:pt>
                <c:pt idx="6">
                  <c:v>0.68571428571428572</c:v>
                </c:pt>
                <c:pt idx="7">
                  <c:v>0.68571428571428572</c:v>
                </c:pt>
                <c:pt idx="8">
                  <c:v>0.68571428571428572</c:v>
                </c:pt>
                <c:pt idx="9">
                  <c:v>0.68571428571428572</c:v>
                </c:pt>
                <c:pt idx="10">
                  <c:v>0.68571428571428572</c:v>
                </c:pt>
                <c:pt idx="11">
                  <c:v>0.68571428571428572</c:v>
                </c:pt>
                <c:pt idx="12">
                  <c:v>0.68571428571428572</c:v>
                </c:pt>
                <c:pt idx="13">
                  <c:v>0.68571428571428572</c:v>
                </c:pt>
                <c:pt idx="14">
                  <c:v>0.68571428571428572</c:v>
                </c:pt>
                <c:pt idx="15">
                  <c:v>0.68571428571428572</c:v>
                </c:pt>
                <c:pt idx="16">
                  <c:v>0.68571428571428572</c:v>
                </c:pt>
                <c:pt idx="17">
                  <c:v>0.68571428571428572</c:v>
                </c:pt>
                <c:pt idx="18">
                  <c:v>0.68571428571428572</c:v>
                </c:pt>
                <c:pt idx="19">
                  <c:v>0.68571428571428572</c:v>
                </c:pt>
                <c:pt idx="20">
                  <c:v>0.68571428571428572</c:v>
                </c:pt>
                <c:pt idx="21">
                  <c:v>0.68571428571428572</c:v>
                </c:pt>
                <c:pt idx="22">
                  <c:v>0.68571428571428572</c:v>
                </c:pt>
                <c:pt idx="23">
                  <c:v>0.68571428571428572</c:v>
                </c:pt>
                <c:pt idx="24">
                  <c:v>0.68571428571428572</c:v>
                </c:pt>
                <c:pt idx="25">
                  <c:v>0.68571428571428572</c:v>
                </c:pt>
                <c:pt idx="26">
                  <c:v>0.68571428571428572</c:v>
                </c:pt>
                <c:pt idx="27">
                  <c:v>0.68571428571428572</c:v>
                </c:pt>
                <c:pt idx="28">
                  <c:v>0.68571428571428572</c:v>
                </c:pt>
                <c:pt idx="29">
                  <c:v>0.68571428571428572</c:v>
                </c:pt>
                <c:pt idx="30">
                  <c:v>0.68571428571428572</c:v>
                </c:pt>
                <c:pt idx="31">
                  <c:v>0.68571428571428572</c:v>
                </c:pt>
                <c:pt idx="32">
                  <c:v>0.68571428571428572</c:v>
                </c:pt>
                <c:pt idx="33">
                  <c:v>0.68571428571428572</c:v>
                </c:pt>
                <c:pt idx="34">
                  <c:v>0.68571428571428572</c:v>
                </c:pt>
                <c:pt idx="35">
                  <c:v>0.68571428571428572</c:v>
                </c:pt>
                <c:pt idx="36">
                  <c:v>0.68571428571428572</c:v>
                </c:pt>
                <c:pt idx="37">
                  <c:v>0.68571428571428572</c:v>
                </c:pt>
                <c:pt idx="38">
                  <c:v>0.68571428571428572</c:v>
                </c:pt>
                <c:pt idx="39">
                  <c:v>0.68571428571428572</c:v>
                </c:pt>
                <c:pt idx="40">
                  <c:v>0.68571428571428572</c:v>
                </c:pt>
                <c:pt idx="41">
                  <c:v>0.68571428571428572</c:v>
                </c:pt>
                <c:pt idx="42">
                  <c:v>0.68571428571428572</c:v>
                </c:pt>
                <c:pt idx="43">
                  <c:v>0.68571428571428572</c:v>
                </c:pt>
                <c:pt idx="44">
                  <c:v>0.68571428571428572</c:v>
                </c:pt>
                <c:pt idx="45">
                  <c:v>0.68571428571428572</c:v>
                </c:pt>
                <c:pt idx="46">
                  <c:v>0.68571428571428572</c:v>
                </c:pt>
                <c:pt idx="47">
                  <c:v>0.68571428571428572</c:v>
                </c:pt>
                <c:pt idx="48">
                  <c:v>0.68571428571428572</c:v>
                </c:pt>
                <c:pt idx="49">
                  <c:v>0.68571428571428572</c:v>
                </c:pt>
                <c:pt idx="50">
                  <c:v>0.68571428571428572</c:v>
                </c:pt>
                <c:pt idx="51">
                  <c:v>0.68571428571428572</c:v>
                </c:pt>
                <c:pt idx="52">
                  <c:v>0.68571428571428572</c:v>
                </c:pt>
                <c:pt idx="53">
                  <c:v>0.68571428571428572</c:v>
                </c:pt>
                <c:pt idx="54">
                  <c:v>0.68571428571428572</c:v>
                </c:pt>
                <c:pt idx="55">
                  <c:v>0.68571428571428572</c:v>
                </c:pt>
                <c:pt idx="56">
                  <c:v>0.68571428571428572</c:v>
                </c:pt>
                <c:pt idx="57">
                  <c:v>0.68571428571428572</c:v>
                </c:pt>
                <c:pt idx="58">
                  <c:v>0.68571428571428572</c:v>
                </c:pt>
                <c:pt idx="59">
                  <c:v>0.68571428571428572</c:v>
                </c:pt>
                <c:pt idx="60">
                  <c:v>0.68571428571428572</c:v>
                </c:pt>
                <c:pt idx="61">
                  <c:v>0.68571428571428572</c:v>
                </c:pt>
                <c:pt idx="62">
                  <c:v>0.68571428571428572</c:v>
                </c:pt>
                <c:pt idx="63">
                  <c:v>0.68571428571428572</c:v>
                </c:pt>
                <c:pt idx="64">
                  <c:v>0.68571428571428572</c:v>
                </c:pt>
                <c:pt idx="65">
                  <c:v>0.68571428571428572</c:v>
                </c:pt>
                <c:pt idx="66">
                  <c:v>0.68571428571428572</c:v>
                </c:pt>
                <c:pt idx="67">
                  <c:v>0.68571428571428572</c:v>
                </c:pt>
                <c:pt idx="68">
                  <c:v>0.68571428571428572</c:v>
                </c:pt>
                <c:pt idx="69">
                  <c:v>0.68571428571428572</c:v>
                </c:pt>
                <c:pt idx="70">
                  <c:v>0.68571428571428572</c:v>
                </c:pt>
                <c:pt idx="71">
                  <c:v>0.68571428571428572</c:v>
                </c:pt>
                <c:pt idx="72">
                  <c:v>0.68571428571428572</c:v>
                </c:pt>
                <c:pt idx="73">
                  <c:v>0.68571428571428572</c:v>
                </c:pt>
                <c:pt idx="74">
                  <c:v>0.68571428571428572</c:v>
                </c:pt>
                <c:pt idx="75">
                  <c:v>0.68571428571428572</c:v>
                </c:pt>
                <c:pt idx="76">
                  <c:v>0.68571428571428572</c:v>
                </c:pt>
                <c:pt idx="77">
                  <c:v>0.68571428571428572</c:v>
                </c:pt>
                <c:pt idx="78">
                  <c:v>0.68571428571428572</c:v>
                </c:pt>
                <c:pt idx="79">
                  <c:v>0.68571428571428572</c:v>
                </c:pt>
                <c:pt idx="80">
                  <c:v>0.68571428571428572</c:v>
                </c:pt>
                <c:pt idx="81">
                  <c:v>0.68571428571428572</c:v>
                </c:pt>
                <c:pt idx="82">
                  <c:v>0.68571428571428572</c:v>
                </c:pt>
              </c:numCache>
            </c:numRef>
          </c:yVal>
          <c:smooth val="1"/>
          <c:extLst>
            <c:ext xmlns:c16="http://schemas.microsoft.com/office/drawing/2014/chart" uri="{C3380CC4-5D6E-409C-BE32-E72D297353CC}">
              <c16:uniqueId val="{00000008-4E37-4B90-8CDB-75CCF527018D}"/>
            </c:ext>
          </c:extLst>
        </c:ser>
        <c:dLbls>
          <c:showLegendKey val="0"/>
          <c:showVal val="0"/>
          <c:showCatName val="0"/>
          <c:showSerName val="0"/>
          <c:showPercent val="0"/>
          <c:showBubbleSize val="0"/>
        </c:dLbls>
        <c:axId val="37954264"/>
        <c:axId val="67692088"/>
      </c:scatterChart>
      <c:valAx>
        <c:axId val="37954264"/>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7692088"/>
        <c:crosses val="autoZero"/>
        <c:crossBetween val="midCat"/>
        <c:majorUnit val="1"/>
        <c:minorUnit val="1"/>
      </c:valAx>
      <c:valAx>
        <c:axId val="67692088"/>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7954264"/>
        <c:crosses val="autoZero"/>
        <c:crossBetween val="midCat"/>
      </c:valAx>
      <c:spPr>
        <a:noFill/>
        <a:ln w="0">
          <a:noFill/>
        </a:ln>
      </c:spPr>
    </c:plotArea>
    <c:legend>
      <c:legendPos val="r"/>
      <c:layout>
        <c:manualLayout>
          <c:xMode val="edge"/>
          <c:yMode val="edge"/>
          <c:x val="0.66262255164426398"/>
          <c:y val="0.15736422940758699"/>
          <c:w val="0.26495251318218799"/>
          <c:h val="0.42080688326758903"/>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a:t>
            </a:r>
          </a:p>
        </c:rich>
      </c:tx>
      <c:layout>
        <c:manualLayout>
          <c:xMode val="edge"/>
          <c:yMode val="edge"/>
          <c:x val="0.16143455985095501"/>
          <c:y val="2.32606152363912E-2"/>
        </c:manualLayout>
      </c:layout>
      <c:overlay val="0"/>
      <c:spPr>
        <a:noFill/>
        <a:ln w="0">
          <a:noFill/>
        </a:ln>
      </c:spPr>
    </c:title>
    <c:autoTitleDeleted val="0"/>
    <c:plotArea>
      <c:layout>
        <c:manualLayout>
          <c:layoutTarget val="inner"/>
          <c:xMode val="edge"/>
          <c:yMode val="edge"/>
          <c:x val="0.12538425710293399"/>
          <c:y val="0.14183469823136699"/>
          <c:w val="0.82626921285514698"/>
          <c:h val="0.73676966485444895"/>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RTC!$C$28:$CG$28</c:f>
              <c:numCache>
                <c:formatCode>General</c:formatCode>
                <c:ptCount val="83"/>
                <c:pt idx="0">
                  <c:v>2.1818182512396718E-8</c:v>
                </c:pt>
                <c:pt idx="1">
                  <c:v>1.2886419367458453E-3</c:v>
                </c:pt>
                <c:pt idx="2">
                  <c:v>3.2957540508757933E-3</c:v>
                </c:pt>
                <c:pt idx="3">
                  <c:v>6.2466838217803949E-3</c:v>
                </c:pt>
                <c:pt idx="4">
                  <c:v>1.0165634844491057E-2</c:v>
                </c:pt>
                <c:pt idx="5">
                  <c:v>1.5085230808885637E-2</c:v>
                </c:pt>
                <c:pt idx="6">
                  <c:v>2.104720710419164E-2</c:v>
                </c:pt>
                <c:pt idx="7">
                  <c:v>2.8103319587713758E-2</c:v>
                </c:pt>
                <c:pt idx="8">
                  <c:v>3.6316508449383139E-2</c:v>
                </c:pt>
                <c:pt idx="9">
                  <c:v>4.5762367743434479E-2</c:v>
                </c:pt>
                <c:pt idx="10">
                  <c:v>5.6530987448607108E-2</c:v>
                </c:pt>
                <c:pt idx="11">
                  <c:v>6.8729256295102084E-2</c:v>
                </c:pt>
                <c:pt idx="12">
                  <c:v>8.2483742085161724E-2</c:v>
                </c:pt>
                <c:pt idx="13">
                  <c:v>9.7944304735298124E-2</c:v>
                </c:pt>
                <c:pt idx="14">
                  <c:v>0.11528864999952876</c:v>
                </c:pt>
                <c:pt idx="15">
                  <c:v>0.1347281050187448</c:v>
                </c:pt>
                <c:pt idx="16">
                  <c:v>0.15651499980883612</c:v>
                </c:pt>
                <c:pt idx="17">
                  <c:v>0.18095218575415503</c:v>
                </c:pt>
                <c:pt idx="18">
                  <c:v>0.20840543512238516</c:v>
                </c:pt>
                <c:pt idx="19">
                  <c:v>0.23931977930378859</c:v>
                </c:pt>
                <c:pt idx="20">
                  <c:v>0.27424131386312434</c:v>
                </c:pt>
                <c:pt idx="21">
                  <c:v>0.31384671772931005</c:v>
                </c:pt>
                <c:pt idx="22">
                  <c:v>0.3589838574142431</c:v>
                </c:pt>
                <c:pt idx="23">
                  <c:v>0.41072864448862639</c:v>
                </c:pt>
                <c:pt idx="24">
                  <c:v>0.47046626668653735</c:v>
                </c:pt>
                <c:pt idx="25">
                  <c:v>0.54000990781304037</c:v>
                </c:pt>
                <c:pt idx="26">
                  <c:v>0.62177881033586746</c:v>
                </c:pt>
                <c:pt idx="27">
                  <c:v>0.71907341857608231</c:v>
                </c:pt>
                <c:pt idx="28">
                  <c:v>0.83651551018079373</c:v>
                </c:pt>
                <c:pt idx="29">
                  <c:v>0.98078153994784389</c:v>
                </c:pt>
                <c:pt idx="30">
                  <c:v>1.1618855338834528</c:v>
                </c:pt>
                <c:pt idx="31">
                  <c:v>1.3955605407023011</c:v>
                </c:pt>
                <c:pt idx="32">
                  <c:v>1.70801881699095</c:v>
                </c:pt>
                <c:pt idx="33">
                  <c:v>2.1464163817304032</c:v>
                </c:pt>
                <c:pt idx="34">
                  <c:v>2.8049873938594398</c:v>
                </c:pt>
                <c:pt idx="35">
                  <c:v>3.9033273688464369</c:v>
                </c:pt>
                <c:pt idx="36">
                  <c:v>6.098718634915044</c:v>
                </c:pt>
                <c:pt idx="37">
                  <c:v>12.659566924581251</c:v>
                </c:pt>
                <c:pt idx="38">
                  <c:v>1921.5837087114464</c:v>
                </c:pt>
                <c:pt idx="39">
                  <c:v>42.249999999987104</c:v>
                </c:pt>
                <c:pt idx="40">
                  <c:v>10.581427390464974</c:v>
                </c:pt>
                <c:pt idx="41">
                  <c:v>6.2413366336631526</c:v>
                </c:pt>
                <c:pt idx="42">
                  <c:v>4.5187319884725161</c:v>
                </c:pt>
                <c:pt idx="43">
                  <c:v>3.5949449125080415</c:v>
                </c:pt>
                <c:pt idx="44">
                  <c:v>3.0192994996425648</c:v>
                </c:pt>
                <c:pt idx="45">
                  <c:v>2.6264591439688467</c:v>
                </c:pt>
                <c:pt idx="46">
                  <c:v>2.3414634146341284</c:v>
                </c:pt>
                <c:pt idx="47">
                  <c:v>2.1254008980115326</c:v>
                </c:pt>
                <c:pt idx="48">
                  <c:v>1.9560649474689491</c:v>
                </c:pt>
                <c:pt idx="49">
                  <c:v>1.8198585144012047</c:v>
                </c:pt>
                <c:pt idx="50">
                  <c:v>1.7079905491189553</c:v>
                </c:pt>
                <c:pt idx="51">
                  <c:v>1.6145251396647997</c:v>
                </c:pt>
                <c:pt idx="52">
                  <c:v>1.5353095649293769</c:v>
                </c:pt>
                <c:pt idx="53">
                  <c:v>1.4673515584189416</c:v>
                </c:pt>
                <c:pt idx="54">
                  <c:v>1.4084404999094342</c:v>
                </c:pt>
                <c:pt idx="55">
                  <c:v>1.35690789473684</c:v>
                </c:pt>
                <c:pt idx="56">
                  <c:v>1.3114708393594574</c:v>
                </c:pt>
                <c:pt idx="57">
                  <c:v>1.2711267605633787</c:v>
                </c:pt>
                <c:pt idx="58">
                  <c:v>1.2350808487203404</c:v>
                </c:pt>
                <c:pt idx="59">
                  <c:v>1.2026949211102145</c:v>
                </c:pt>
                <c:pt idx="60">
                  <c:v>1.1734506784011727</c:v>
                </c:pt>
                <c:pt idx="61">
                  <c:v>1.1469228398232809</c:v>
                </c:pt>
                <c:pt idx="62">
                  <c:v>1.1227591914225556</c:v>
                </c:pt>
                <c:pt idx="63">
                  <c:v>1.1006655574043258</c:v>
                </c:pt>
                <c:pt idx="64">
                  <c:v>1.080394333380958</c:v>
                </c:pt>
                <c:pt idx="65">
                  <c:v>1.0617356341095658</c:v>
                </c:pt>
                <c:pt idx="66">
                  <c:v>1.0445103857566764</c:v>
                </c:pt>
                <c:pt idx="67">
                  <c:v>1.0285648819980142</c:v>
                </c:pt>
                <c:pt idx="68">
                  <c:v>1.0137664544300213</c:v>
                </c:pt>
                <c:pt idx="69">
                  <c:v>1</c:v>
                </c:pt>
                <c:pt idx="70">
                  <c:v>0.92687605964801134</c:v>
                </c:pt>
                <c:pt idx="71">
                  <c:v>0.87793233473094412</c:v>
                </c:pt>
                <c:pt idx="72">
                  <c:v>0.8432116897802775</c:v>
                </c:pt>
                <c:pt idx="73">
                  <c:v>0.81751431221486071</c:v>
                </c:pt>
                <c:pt idx="74">
                  <c:v>0.79786908756308172</c:v>
                </c:pt>
                <c:pt idx="75">
                  <c:v>0.78246071684854068</c:v>
                </c:pt>
                <c:pt idx="76">
                  <c:v>0.7701209595806876</c:v>
                </c:pt>
                <c:pt idx="77">
                  <c:v>0.76006613168945525</c:v>
                </c:pt>
                <c:pt idx="78">
                  <c:v>0.75175235378607119</c:v>
                </c:pt>
                <c:pt idx="79">
                  <c:v>0.74479131918510189</c:v>
                </c:pt>
                <c:pt idx="80">
                  <c:v>0.73889904941593587</c:v>
                </c:pt>
                <c:pt idx="81">
                  <c:v>0.73386352963092394</c:v>
                </c:pt>
                <c:pt idx="82">
                  <c:v>0.72952360451323239</c:v>
                </c:pt>
              </c:numCache>
            </c:numRef>
          </c:yVal>
          <c:smooth val="1"/>
          <c:extLst>
            <c:ext xmlns:c16="http://schemas.microsoft.com/office/drawing/2014/chart" uri="{C3380CC4-5D6E-409C-BE32-E72D297353CC}">
              <c16:uniqueId val="{00000000-DBA2-4D63-93D4-B966E91CF133}"/>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RTC!$C$47:$CG$47</c:f>
              <c:numCache>
                <c:formatCode>General</c:formatCode>
                <c:ptCount val="83"/>
                <c:pt idx="0">
                  <c:v>2.1818182382492675E-8</c:v>
                </c:pt>
                <c:pt idx="1">
                  <c:v>1.2881887010930794E-3</c:v>
                </c:pt>
                <c:pt idx="2">
                  <c:v>3.2927886442313385E-3</c:v>
                </c:pt>
                <c:pt idx="3">
                  <c:v>6.2360266346062031E-3</c:v>
                </c:pt>
                <c:pt idx="4">
                  <c:v>1.0137396704165301E-2</c:v>
                </c:pt>
                <c:pt idx="5">
                  <c:v>1.5023007895528954E-2</c:v>
                </c:pt>
                <c:pt idx="6">
                  <c:v>2.0925987778792478E-2</c:v>
                </c:pt>
                <c:pt idx="7">
                  <c:v>2.7887001276361342E-2</c:v>
                </c:pt>
                <c:pt idx="8">
                  <c:v>3.5954897539339017E-2</c:v>
                </c:pt>
                <c:pt idx="9">
                  <c:v>4.5187500817546217E-2</c:v>
                </c:pt>
                <c:pt idx="10">
                  <c:v>5.5652564835327163E-2</c:v>
                </c:pt>
                <c:pt idx="11">
                  <c:v>6.7428914152122668E-2</c:v>
                </c:pt>
                <c:pt idx="12">
                  <c:v>8.0607800331455051E-2</c:v>
                </c:pt>
                <c:pt idx="13">
                  <c:v>9.5294505365001059E-2</c:v>
                </c:pt>
                <c:pt idx="14">
                  <c:v>0.11161022945863958</c:v>
                </c:pt>
                <c:pt idx="15">
                  <c:v>0.12969430450041747</c:v>
                </c:pt>
                <c:pt idx="16">
                  <c:v>0.14970677740192706</c:v>
                </c:pt>
                <c:pt idx="17">
                  <c:v>0.17183140745740369</c:v>
                </c:pt>
                <c:pt idx="18">
                  <c:v>0.19627911619524036</c:v>
                </c:pt>
                <c:pt idx="19">
                  <c:v>0.22329191235764032</c:v>
                </c:pt>
                <c:pt idx="20">
                  <c:v>0.25314728109657647</c:v>
                </c:pt>
                <c:pt idx="21">
                  <c:v>0.28616296286546417</c:v>
                </c:pt>
                <c:pt idx="22">
                  <c:v>0.32270193381356715</c:v>
                </c:pt>
                <c:pt idx="23">
                  <c:v>0.36317720380577329</c:v>
                </c:pt>
                <c:pt idx="24">
                  <c:v>0.40805572039200749</c:v>
                </c:pt>
                <c:pt idx="25">
                  <c:v>0.45786013065995684</c:v>
                </c:pt>
                <c:pt idx="26">
                  <c:v>0.51316629609248432</c:v>
                </c:pt>
                <c:pt idx="27">
                  <c:v>0.57459312657902117</c:v>
                </c:pt>
                <c:pt idx="28">
                  <c:v>0.64277932160959372</c:v>
                </c:pt>
                <c:pt idx="29">
                  <c:v>0.71833884691119299</c:v>
                </c:pt>
                <c:pt idx="30">
                  <c:v>0.80178354597124124</c:v>
                </c:pt>
                <c:pt idx="31">
                  <c:v>0.89339801137383779</c:v>
                </c:pt>
                <c:pt idx="32">
                  <c:v>0.99305115057053139</c:v>
                </c:pt>
                <c:pt idx="33">
                  <c:v>1.0999361156437204</c:v>
                </c:pt>
                <c:pt idx="34">
                  <c:v>1.2122544795938535</c:v>
                </c:pt>
                <c:pt idx="35">
                  <c:v>1.3269116345880969</c:v>
                </c:pt>
                <c:pt idx="36">
                  <c:v>1.4393666612797296</c:v>
                </c:pt>
                <c:pt idx="37">
                  <c:v>1.5438437181055409</c:v>
                </c:pt>
                <c:pt idx="38">
                  <c:v>1.634075089047597</c:v>
                </c:pt>
                <c:pt idx="39">
                  <c:v>1.6593385553953328</c:v>
                </c:pt>
                <c:pt idx="40">
                  <c:v>1.7224809596753172</c:v>
                </c:pt>
                <c:pt idx="41">
                  <c:v>1.7617858065342098</c:v>
                </c:pt>
                <c:pt idx="42">
                  <c:v>1.7775007606476596</c:v>
                </c:pt>
                <c:pt idx="43">
                  <c:v>1.7723770936820213</c:v>
                </c:pt>
                <c:pt idx="44">
                  <c:v>1.7506688032071991</c:v>
                </c:pt>
                <c:pt idx="45">
                  <c:v>1.7170352094878036</c:v>
                </c:pt>
                <c:pt idx="46">
                  <c:v>1.6757354437264311</c:v>
                </c:pt>
                <c:pt idx="47">
                  <c:v>1.6302254633798372</c:v>
                </c:pt>
                <c:pt idx="48">
                  <c:v>1.5830741957458498</c:v>
                </c:pt>
                <c:pt idx="49">
                  <c:v>1.5360596375513149</c:v>
                </c:pt>
                <c:pt idx="50">
                  <c:v>1.4903324554146884</c:v>
                </c:pt>
                <c:pt idx="51">
                  <c:v>1.446581713956461</c:v>
                </c:pt>
                <c:pt idx="52">
                  <c:v>1.4051745142564538</c:v>
                </c:pt>
                <c:pt idx="53">
                  <c:v>1.3662628198799427</c:v>
                </c:pt>
                <c:pt idx="54">
                  <c:v>1.329860503810347</c:v>
                </c:pt>
                <c:pt idx="55">
                  <c:v>1.2958967576600455</c:v>
                </c:pt>
                <c:pt idx="56">
                  <c:v>1.2642520414530216</c:v>
                </c:pt>
                <c:pt idx="57">
                  <c:v>1.2347816882910965</c:v>
                </c:pt>
                <c:pt idx="58">
                  <c:v>1.2073310266874606</c:v>
                </c:pt>
                <c:pt idx="59">
                  <c:v>1.1817447922027622</c:v>
                </c:pt>
                <c:pt idx="60">
                  <c:v>1.1578727557635651</c:v>
                </c:pt>
                <c:pt idx="61">
                  <c:v>1.1355728820271946</c:v>
                </c:pt>
                <c:pt idx="62">
                  <c:v>1.1147129003379874</c:v>
                </c:pt>
                <c:pt idx="63">
                  <c:v>1.0951708751382412</c:v>
                </c:pt>
                <c:pt idx="64">
                  <c:v>1.0768351626045636</c:v>
                </c:pt>
                <c:pt idx="65">
                  <c:v>1.0596040061373857</c:v>
                </c:pt>
                <c:pt idx="66">
                  <c:v>1.0433849339971508</c:v>
                </c:pt>
                <c:pt idx="67">
                  <c:v>1.0280940632015909</c:v>
                </c:pt>
                <c:pt idx="68">
                  <c:v>1.0136553747908899</c:v>
                </c:pt>
                <c:pt idx="69">
                  <c:v>1</c:v>
                </c:pt>
                <c:pt idx="70">
                  <c:v>0.92333211953700123</c:v>
                </c:pt>
                <c:pt idx="71">
                  <c:v>0.86696105834124759</c:v>
                </c:pt>
                <c:pt idx="72">
                  <c:v>0.82318248090522994</c:v>
                </c:pt>
                <c:pt idx="73">
                  <c:v>0.78763759103387965</c:v>
                </c:pt>
                <c:pt idx="74">
                  <c:v>0.75772129315258452</c:v>
                </c:pt>
                <c:pt idx="75">
                  <c:v>0.73180269010084442</c:v>
                </c:pt>
                <c:pt idx="76">
                  <c:v>0.70882081816335396</c:v>
                </c:pt>
                <c:pt idx="77">
                  <c:v>0.68806311613752202</c:v>
                </c:pt>
                <c:pt idx="78">
                  <c:v>0.66903798029635431</c:v>
                </c:pt>
                <c:pt idx="79">
                  <c:v>0.65139830863734394</c:v>
                </c:pt>
                <c:pt idx="80">
                  <c:v>0.63489396113171548</c:v>
                </c:pt>
                <c:pt idx="81">
                  <c:v>0.61934128252039466</c:v>
                </c:pt>
                <c:pt idx="82">
                  <c:v>0.60460304808045218</c:v>
                </c:pt>
              </c:numCache>
            </c:numRef>
          </c:yVal>
          <c:smooth val="1"/>
          <c:extLst>
            <c:ext xmlns:c16="http://schemas.microsoft.com/office/drawing/2014/chart" uri="{C3380CC4-5D6E-409C-BE32-E72D297353CC}">
              <c16:uniqueId val="{00000001-DBA2-4D63-93D4-B966E91CF133}"/>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RTC!$C$49:$CG$49</c:f>
              <c:numCache>
                <c:formatCode>General</c:formatCode>
                <c:ptCount val="83"/>
                <c:pt idx="0">
                  <c:v>2.1818182439325691E-8</c:v>
                </c:pt>
                <c:pt idx="1">
                  <c:v>1.288386932838223E-3</c:v>
                </c:pt>
                <c:pt idx="2">
                  <c:v>3.294085024357045E-3</c:v>
                </c:pt>
                <c:pt idx="3">
                  <c:v>6.2406824378399874E-3</c:v>
                </c:pt>
                <c:pt idx="4">
                  <c:v>1.0149721903320651E-2</c:v>
                </c:pt>
                <c:pt idx="5">
                  <c:v>1.5050135523851146E-2</c:v>
                </c:pt>
                <c:pt idx="6">
                  <c:v>2.0978762930202923E-2</c:v>
                </c:pt>
                <c:pt idx="7">
                  <c:v>2.7981024024538607E-2</c:v>
                </c:pt>
                <c:pt idx="8">
                  <c:v>3.6111767932241016E-2</c:v>
                </c:pt>
                <c:pt idx="9">
                  <c:v>4.5436326096875805E-2</c:v>
                </c:pt>
                <c:pt idx="10">
                  <c:v>5.6031805097773321E-2</c:v>
                </c:pt>
                <c:pt idx="11">
                  <c:v>6.7988664131966317E-2</c:v>
                </c:pt>
                <c:pt idx="12">
                  <c:v>8.1412633661487821E-2</c:v>
                </c:pt>
                <c:pt idx="13">
                  <c:v>9.6427046070027292E-2</c:v>
                </c:pt>
                <c:pt idx="14">
                  <c:v>0.11317566700622338</c:v>
                </c:pt>
                <c:pt idx="15">
                  <c:v>0.13182613823889974</c:v>
                </c:pt>
                <c:pt idx="16">
                  <c:v>0.15257417021874703</c:v>
                </c:pt>
                <c:pt idx="17">
                  <c:v>0.17564865601082363</c:v>
                </c:pt>
                <c:pt idx="18">
                  <c:v>0.20131791842768321</c:v>
                </c:pt>
                <c:pt idx="19">
                  <c:v>0.22989734881129481</c:v>
                </c:pt>
                <c:pt idx="20">
                  <c:v>0.26175874677386279</c:v>
                </c:pt>
                <c:pt idx="21">
                  <c:v>0.29734171889440625</c:v>
                </c:pt>
                <c:pt idx="22">
                  <c:v>0.33716752587048926</c:v>
                </c:pt>
                <c:pt idx="23">
                  <c:v>0.38185574987982207</c:v>
                </c:pt>
                <c:pt idx="24">
                  <c:v>0.4321440215917321</c:v>
                </c:pt>
                <c:pt idx="25">
                  <c:v>0.48891067008148426</c:v>
                </c:pt>
                <c:pt idx="26">
                  <c:v>0.55319928820362751</c:v>
                </c:pt>
                <c:pt idx="27">
                  <c:v>0.62624236450510695</c:v>
                </c:pt>
                <c:pt idx="28">
                  <c:v>0.70947743818119835</c:v>
                </c:pt>
                <c:pt idx="29">
                  <c:v>0.80454211618310545</c:v>
                </c:pt>
                <c:pt idx="30">
                  <c:v>0.91322115987396457</c:v>
                </c:pt>
                <c:pt idx="31">
                  <c:v>1.0372960664446651</c:v>
                </c:pt>
                <c:pt idx="32">
                  <c:v>1.1782121374140366</c:v>
                </c:pt>
                <c:pt idx="33">
                  <c:v>1.3364349780829285</c:v>
                </c:pt>
                <c:pt idx="34">
                  <c:v>1.5103522672564342</c:v>
                </c:pt>
                <c:pt idx="35">
                  <c:v>1.6946933621753784</c:v>
                </c:pt>
                <c:pt idx="36">
                  <c:v>1.8788872930725196</c:v>
                </c:pt>
                <c:pt idx="37">
                  <c:v>2.0466553898913227</c:v>
                </c:pt>
                <c:pt idx="38">
                  <c:v>2.1787661726775815</c:v>
                </c:pt>
                <c:pt idx="39">
                  <c:v>2.2111254628172508</c:v>
                </c:pt>
                <c:pt idx="40">
                  <c:v>2.2733341619235317</c:v>
                </c:pt>
                <c:pt idx="41">
                  <c:v>2.2794758156576145</c:v>
                </c:pt>
                <c:pt idx="42">
                  <c:v>2.2390917769355321</c:v>
                </c:pt>
                <c:pt idx="43">
                  <c:v>2.1671764851446023</c:v>
                </c:pt>
                <c:pt idx="44">
                  <c:v>2.0782664827564985</c:v>
                </c:pt>
                <c:pt idx="45">
                  <c:v>1.9833491584035789</c:v>
                </c:pt>
                <c:pt idx="46">
                  <c:v>1.8894370266624958</c:v>
                </c:pt>
                <c:pt idx="47">
                  <c:v>1.8004036122547353</c:v>
                </c:pt>
                <c:pt idx="48">
                  <c:v>1.7180362951962087</c:v>
                </c:pt>
                <c:pt idx="49">
                  <c:v>1.6428800535467103</c:v>
                </c:pt>
                <c:pt idx="50">
                  <c:v>1.5748033751254678</c:v>
                </c:pt>
                <c:pt idx="51">
                  <c:v>1.5133428875947135</c:v>
                </c:pt>
                <c:pt idx="52">
                  <c:v>1.4579001918992971</c:v>
                </c:pt>
                <c:pt idx="53">
                  <c:v>1.4078482374057375</c:v>
                </c:pt>
                <c:pt idx="54">
                  <c:v>1.3625851213657625</c:v>
                </c:pt>
                <c:pt idx="55">
                  <c:v>1.3215584444011077</c:v>
                </c:pt>
                <c:pt idx="56">
                  <c:v>1.2842737446429706</c:v>
                </c:pt>
                <c:pt idx="57">
                  <c:v>1.2502946995621886</c:v>
                </c:pt>
                <c:pt idx="58">
                  <c:v>1.2192393728204127</c:v>
                </c:pt>
                <c:pt idx="59">
                  <c:v>1.1907748312749207</c:v>
                </c:pt>
                <c:pt idx="60">
                  <c:v>1.1646113567059417</c:v>
                </c:pt>
                <c:pt idx="61">
                  <c:v>1.140496864502047</c:v>
                </c:pt>
                <c:pt idx="62">
                  <c:v>1.1182118061628268</c:v>
                </c:pt>
                <c:pt idx="63">
                  <c:v>1.0975646529978911</c:v>
                </c:pt>
                <c:pt idx="64">
                  <c:v>1.0783879659759421</c:v>
                </c:pt>
                <c:pt idx="65">
                  <c:v>1.0605350123336386</c:v>
                </c:pt>
                <c:pt idx="66">
                  <c:v>1.0438768713069297</c:v>
                </c:pt>
                <c:pt idx="67">
                  <c:v>1.0282999668555644</c:v>
                </c:pt>
                <c:pt idx="68">
                  <c:v>1.0137039676399553</c:v>
                </c:pt>
                <c:pt idx="69">
                  <c:v>1</c:v>
                </c:pt>
                <c:pt idx="70">
                  <c:v>0.9248775837731108</c:v>
                </c:pt>
                <c:pt idx="71">
                  <c:v>0.87171013030791378</c:v>
                </c:pt>
                <c:pt idx="72">
                  <c:v>0.8317679840872253</c:v>
                </c:pt>
                <c:pt idx="73">
                  <c:v>0.80029976910742162</c:v>
                </c:pt>
                <c:pt idx="74">
                  <c:v>0.77452535688315916</c:v>
                </c:pt>
                <c:pt idx="75">
                  <c:v>0.75272386488392695</c:v>
                </c:pt>
                <c:pt idx="76">
                  <c:v>0.73378169196191756</c:v>
                </c:pt>
                <c:pt idx="77">
                  <c:v>0.71695212083513848</c:v>
                </c:pt>
                <c:pt idx="78">
                  <c:v>0.70171979637125559</c:v>
                </c:pt>
                <c:pt idx="79">
                  <c:v>0.68772053775691788</c:v>
                </c:pt>
                <c:pt idx="80">
                  <c:v>0.67469191662288797</c:v>
                </c:pt>
                <c:pt idx="81">
                  <c:v>0.6624417207487634</c:v>
                </c:pt>
                <c:pt idx="82">
                  <c:v>0.65082722151455918</c:v>
                </c:pt>
              </c:numCache>
            </c:numRef>
          </c:yVal>
          <c:smooth val="1"/>
          <c:extLst>
            <c:ext xmlns:c16="http://schemas.microsoft.com/office/drawing/2014/chart" uri="{C3380CC4-5D6E-409C-BE32-E72D297353CC}">
              <c16:uniqueId val="{00000002-DBA2-4D63-93D4-B966E91CF133}"/>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RTC!$C$50:$CG$50</c:f>
              <c:numCache>
                <c:formatCode>General</c:formatCode>
                <c:ptCount val="83"/>
                <c:pt idx="0">
                  <c:v>2.1818182479920704E-8</c:v>
                </c:pt>
                <c:pt idx="1">
                  <c:v>1.2885285829841006E-3</c:v>
                </c:pt>
                <c:pt idx="2">
                  <c:v>3.2950119481721194E-3</c:v>
                </c:pt>
                <c:pt idx="3">
                  <c:v>6.2440144033623097E-3</c:v>
                </c:pt>
                <c:pt idx="4">
                  <c:v>1.0158553191859945E-2</c:v>
                </c:pt>
                <c:pt idx="5">
                  <c:v>1.5069602622699301E-2</c:v>
                </c:pt>
                <c:pt idx="6">
                  <c:v>2.1016704876682134E-2</c:v>
                </c:pt>
                <c:pt idx="7">
                  <c:v>2.8048768388947723E-2</c:v>
                </c:pt>
                <c:pt idx="8">
                  <c:v>3.6225083729408088E-2</c:v>
                </c:pt>
                <c:pt idx="9">
                  <c:v>4.5616596356075428E-2</c:v>
                </c:pt>
                <c:pt idx="10">
                  <c:v>5.6307487501055131E-2</c:v>
                </c:pt>
                <c:pt idx="11">
                  <c:v>6.83971296301875E-2</c:v>
                </c:pt>
                <c:pt idx="12">
                  <c:v>8.2002502564154742E-2</c:v>
                </c:pt>
                <c:pt idx="13">
                  <c:v>9.7261182059277002E-2</c:v>
                </c:pt>
                <c:pt idx="14">
                  <c:v>0.11433504662530793</c:v>
                </c:pt>
                <c:pt idx="15">
                  <c:v>0.13341489367348136</c:v>
                </c:pt>
                <c:pt idx="16">
                  <c:v>0.15472621704054584</c:v>
                </c:pt>
                <c:pt idx="17">
                  <c:v>0.17853648058534624</c:v>
                </c:pt>
                <c:pt idx="18">
                  <c:v>0.20516433548851423</c:v>
                </c:pt>
                <c:pt idx="19">
                  <c:v>0.23499138428974772</c:v>
                </c:pt>
                <c:pt idx="20">
                  <c:v>0.26847730985236462</c:v>
                </c:pt>
                <c:pt idx="21">
                  <c:v>0.30617948669159406</c:v>
                </c:pt>
                <c:pt idx="22">
                  <c:v>0.34877860915110864</c:v>
                </c:pt>
                <c:pt idx="23">
                  <c:v>0.39711245078414564</c:v>
                </c:pt>
                <c:pt idx="24">
                  <c:v>0.45222066752110879</c:v>
                </c:pt>
                <c:pt idx="25">
                  <c:v>0.51540462938092035</c:v>
                </c:pt>
                <c:pt idx="26">
                  <c:v>0.58830762840615813</c:v>
                </c:pt>
                <c:pt idx="27">
                  <c:v>0.67302232488870162</c:v>
                </c:pt>
                <c:pt idx="28">
                  <c:v>0.77223333712321429</c:v>
                </c:pt>
                <c:pt idx="29">
                  <c:v>0.88940146434470002</c:v>
                </c:pt>
                <c:pt idx="30">
                  <c:v>1.0289864824494521</c:v>
                </c:pt>
                <c:pt idx="31">
                  <c:v>1.1966724314094623</c:v>
                </c:pt>
                <c:pt idx="32">
                  <c:v>1.3994632574174968</c:v>
                </c:pt>
                <c:pt idx="33">
                  <c:v>1.6452628496952006</c:v>
                </c:pt>
                <c:pt idx="34">
                  <c:v>1.9409529095430136</c:v>
                </c:pt>
                <c:pt idx="35">
                  <c:v>2.286856711332343</c:v>
                </c:pt>
                <c:pt idx="36">
                  <c:v>2.664689739148864</c:v>
                </c:pt>
                <c:pt idx="37">
                  <c:v>3.0210297534050943</c:v>
                </c:pt>
                <c:pt idx="38">
                  <c:v>3.2681466330811526</c:v>
                </c:pt>
                <c:pt idx="39">
                  <c:v>3.3110252196145522</c:v>
                </c:pt>
                <c:pt idx="40">
                  <c:v>3.3156909367168934</c:v>
                </c:pt>
                <c:pt idx="41">
                  <c:v>3.165485129035889</c:v>
                </c:pt>
                <c:pt idx="42">
                  <c:v>2.9379147301897302</c:v>
                </c:pt>
                <c:pt idx="43">
                  <c:v>2.6956469422014004</c:v>
                </c:pt>
                <c:pt idx="44">
                  <c:v>2.4705166769883413</c:v>
                </c:pt>
                <c:pt idx="45">
                  <c:v>2.2731978578150067</c:v>
                </c:pt>
                <c:pt idx="46">
                  <c:v>2.1043137440172504</c:v>
                </c:pt>
                <c:pt idx="47">
                  <c:v>1.9607997258777867</c:v>
                </c:pt>
                <c:pt idx="48">
                  <c:v>1.8387414801727384</c:v>
                </c:pt>
                <c:pt idx="49">
                  <c:v>1.7344475901781762</c:v>
                </c:pt>
                <c:pt idx="50">
                  <c:v>1.6447671953798582</c:v>
                </c:pt>
                <c:pt idx="51">
                  <c:v>1.5671176092543677</c:v>
                </c:pt>
                <c:pt idx="52">
                  <c:v>1.4994159312519777</c:v>
                </c:pt>
                <c:pt idx="53">
                  <c:v>1.4399901776491046</c:v>
                </c:pt>
                <c:pt idx="54">
                  <c:v>1.3874966034904137</c:v>
                </c:pt>
                <c:pt idx="55">
                  <c:v>1.3408506390314692</c:v>
                </c:pt>
                <c:pt idx="56">
                  <c:v>1.2991717638123261</c:v>
                </c:pt>
                <c:pt idx="57">
                  <c:v>1.2617403838170929</c:v>
                </c:pt>
                <c:pt idx="58">
                  <c:v>1.2279643637936826</c:v>
                </c:pt>
                <c:pt idx="59">
                  <c:v>1.1973530893088902</c:v>
                </c:pt>
                <c:pt idx="60">
                  <c:v>1.1694973196907215</c:v>
                </c:pt>
                <c:pt idx="61">
                  <c:v>1.1440534718277999</c:v>
                </c:pt>
                <c:pt idx="62">
                  <c:v>1.1207312935183062</c:v>
                </c:pt>
                <c:pt idx="63">
                  <c:v>1.0992841366401696</c:v>
                </c:pt>
                <c:pt idx="64">
                  <c:v>1.0795012330280616</c:v>
                </c:pt>
                <c:pt idx="65">
                  <c:v>1.0612015212514392</c:v>
                </c:pt>
                <c:pt idx="66">
                  <c:v>1.0442286814174895</c:v>
                </c:pt>
                <c:pt idx="67">
                  <c:v>1.028447116660097</c:v>
                </c:pt>
                <c:pt idx="68">
                  <c:v>1.0137386810967635</c:v>
                </c:pt>
                <c:pt idx="69">
                  <c:v>1</c:v>
                </c:pt>
                <c:pt idx="70">
                  <c:v>0.9259862501827153</c:v>
                </c:pt>
                <c:pt idx="71">
                  <c:v>0.87515050886117685</c:v>
                </c:pt>
                <c:pt idx="72">
                  <c:v>0.83806761170528898</c:v>
                </c:pt>
                <c:pt idx="73">
                  <c:v>0.80972746125639039</c:v>
                </c:pt>
                <c:pt idx="74">
                  <c:v>0.78723671009002483</c:v>
                </c:pt>
                <c:pt idx="75">
                  <c:v>0.76881622259455229</c:v>
                </c:pt>
                <c:pt idx="76">
                  <c:v>0.75331704608022088</c:v>
                </c:pt>
                <c:pt idx="77">
                  <c:v>0.73996753261833481</c:v>
                </c:pt>
                <c:pt idx="78">
                  <c:v>0.72823262046716475</c:v>
                </c:pt>
                <c:pt idx="79">
                  <c:v>0.71773138144407611</c:v>
                </c:pt>
                <c:pt idx="80">
                  <c:v>0.70818658508753285</c:v>
                </c:pt>
                <c:pt idx="81">
                  <c:v>0.69939270288926503</c:v>
                </c:pt>
                <c:pt idx="82">
                  <c:v>0.69119496620994025</c:v>
                </c:pt>
              </c:numCache>
            </c:numRef>
          </c:yVal>
          <c:smooth val="1"/>
          <c:extLst>
            <c:ext xmlns:c16="http://schemas.microsoft.com/office/drawing/2014/chart" uri="{C3380CC4-5D6E-409C-BE32-E72D297353CC}">
              <c16:uniqueId val="{00000003-DBA2-4D63-93D4-B966E91CF133}"/>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RTC!$C$53:$CG$53</c:f>
              <c:numCache>
                <c:formatCode>General</c:formatCode>
                <c:ptCount val="83"/>
                <c:pt idx="0">
                  <c:v>1.5209591836734695</c:v>
                </c:pt>
                <c:pt idx="1">
                  <c:v>1.5209591836734695</c:v>
                </c:pt>
                <c:pt idx="2">
                  <c:v>1.5209591836734695</c:v>
                </c:pt>
                <c:pt idx="3">
                  <c:v>1.5209591836734695</c:v>
                </c:pt>
                <c:pt idx="4">
                  <c:v>1.5209591836734695</c:v>
                </c:pt>
                <c:pt idx="5">
                  <c:v>1.5209591836734695</c:v>
                </c:pt>
                <c:pt idx="6">
                  <c:v>1.5209591836734695</c:v>
                </c:pt>
                <c:pt idx="7">
                  <c:v>1.5209591836734695</c:v>
                </c:pt>
                <c:pt idx="8">
                  <c:v>1.5209591836734695</c:v>
                </c:pt>
                <c:pt idx="9">
                  <c:v>1.5209591836734695</c:v>
                </c:pt>
                <c:pt idx="10">
                  <c:v>1.5209591836734695</c:v>
                </c:pt>
                <c:pt idx="11">
                  <c:v>1.5209591836734695</c:v>
                </c:pt>
                <c:pt idx="12">
                  <c:v>1.5209591836734695</c:v>
                </c:pt>
                <c:pt idx="13">
                  <c:v>1.5209591836734695</c:v>
                </c:pt>
                <c:pt idx="14">
                  <c:v>1.5209591836734695</c:v>
                </c:pt>
                <c:pt idx="15">
                  <c:v>1.5209591836734695</c:v>
                </c:pt>
                <c:pt idx="16">
                  <c:v>1.5209591836734695</c:v>
                </c:pt>
                <c:pt idx="17">
                  <c:v>1.5209591836734695</c:v>
                </c:pt>
                <c:pt idx="18">
                  <c:v>1.5209591836734695</c:v>
                </c:pt>
                <c:pt idx="19">
                  <c:v>1.5209591836734695</c:v>
                </c:pt>
                <c:pt idx="20">
                  <c:v>1.5209591836734695</c:v>
                </c:pt>
                <c:pt idx="21">
                  <c:v>1.5209591836734695</c:v>
                </c:pt>
                <c:pt idx="22">
                  <c:v>1.5209591836734695</c:v>
                </c:pt>
                <c:pt idx="23">
                  <c:v>1.5209591836734695</c:v>
                </c:pt>
                <c:pt idx="24">
                  <c:v>1.5209591836734695</c:v>
                </c:pt>
                <c:pt idx="25">
                  <c:v>1.5209591836734695</c:v>
                </c:pt>
                <c:pt idx="26">
                  <c:v>1.5209591836734695</c:v>
                </c:pt>
                <c:pt idx="27">
                  <c:v>1.5209591836734695</c:v>
                </c:pt>
                <c:pt idx="28">
                  <c:v>1.5209591836734695</c:v>
                </c:pt>
                <c:pt idx="29">
                  <c:v>1.5209591836734695</c:v>
                </c:pt>
                <c:pt idx="30">
                  <c:v>1.5209591836734695</c:v>
                </c:pt>
                <c:pt idx="31">
                  <c:v>1.5209591836734695</c:v>
                </c:pt>
                <c:pt idx="32">
                  <c:v>1.5209591836734695</c:v>
                </c:pt>
                <c:pt idx="33">
                  <c:v>1.5209591836734695</c:v>
                </c:pt>
                <c:pt idx="34">
                  <c:v>1.5209591836734695</c:v>
                </c:pt>
                <c:pt idx="35">
                  <c:v>1.5209591836734695</c:v>
                </c:pt>
                <c:pt idx="36">
                  <c:v>1.5209591836734695</c:v>
                </c:pt>
                <c:pt idx="37">
                  <c:v>1.5209591836734695</c:v>
                </c:pt>
                <c:pt idx="38">
                  <c:v>1.5209591836734695</c:v>
                </c:pt>
                <c:pt idx="39">
                  <c:v>1.5209591836734695</c:v>
                </c:pt>
                <c:pt idx="40">
                  <c:v>1.5209591836734695</c:v>
                </c:pt>
                <c:pt idx="41">
                  <c:v>1.5209591836734695</c:v>
                </c:pt>
                <c:pt idx="42">
                  <c:v>1.5209591836734695</c:v>
                </c:pt>
                <c:pt idx="43">
                  <c:v>1.5209591836734695</c:v>
                </c:pt>
                <c:pt idx="44">
                  <c:v>1.5209591836734695</c:v>
                </c:pt>
                <c:pt idx="45">
                  <c:v>1.5209591836734695</c:v>
                </c:pt>
                <c:pt idx="46">
                  <c:v>1.5209591836734695</c:v>
                </c:pt>
                <c:pt idx="47">
                  <c:v>1.5209591836734695</c:v>
                </c:pt>
                <c:pt idx="48">
                  <c:v>1.5209591836734695</c:v>
                </c:pt>
                <c:pt idx="49">
                  <c:v>1.5209591836734695</c:v>
                </c:pt>
                <c:pt idx="50">
                  <c:v>1.5209591836734695</c:v>
                </c:pt>
                <c:pt idx="51">
                  <c:v>1.5209591836734695</c:v>
                </c:pt>
                <c:pt idx="52">
                  <c:v>1.5209591836734695</c:v>
                </c:pt>
                <c:pt idx="53">
                  <c:v>1.5209591836734695</c:v>
                </c:pt>
                <c:pt idx="54">
                  <c:v>1.5209591836734695</c:v>
                </c:pt>
                <c:pt idx="55">
                  <c:v>1.5209591836734695</c:v>
                </c:pt>
                <c:pt idx="56">
                  <c:v>1.5209591836734695</c:v>
                </c:pt>
                <c:pt idx="57">
                  <c:v>1.5209591836734695</c:v>
                </c:pt>
                <c:pt idx="58">
                  <c:v>1.5209591836734695</c:v>
                </c:pt>
                <c:pt idx="59">
                  <c:v>1.5209591836734695</c:v>
                </c:pt>
                <c:pt idx="60">
                  <c:v>1.5209591836734695</c:v>
                </c:pt>
                <c:pt idx="61">
                  <c:v>1.5209591836734695</c:v>
                </c:pt>
                <c:pt idx="62">
                  <c:v>1.5209591836734695</c:v>
                </c:pt>
                <c:pt idx="63">
                  <c:v>1.5209591836734695</c:v>
                </c:pt>
                <c:pt idx="64">
                  <c:v>1.5209591836734695</c:v>
                </c:pt>
                <c:pt idx="65">
                  <c:v>1.5209591836734695</c:v>
                </c:pt>
                <c:pt idx="66">
                  <c:v>1.5209591836734695</c:v>
                </c:pt>
                <c:pt idx="67">
                  <c:v>1.5209591836734695</c:v>
                </c:pt>
                <c:pt idx="68">
                  <c:v>1.5209591836734695</c:v>
                </c:pt>
                <c:pt idx="69">
                  <c:v>1.5209591836734695</c:v>
                </c:pt>
                <c:pt idx="70">
                  <c:v>1.5209591836734695</c:v>
                </c:pt>
                <c:pt idx="71">
                  <c:v>1.5209591836734695</c:v>
                </c:pt>
                <c:pt idx="72">
                  <c:v>1.5209591836734695</c:v>
                </c:pt>
                <c:pt idx="73">
                  <c:v>1.5209591836734695</c:v>
                </c:pt>
                <c:pt idx="74">
                  <c:v>1.5209591836734695</c:v>
                </c:pt>
                <c:pt idx="75">
                  <c:v>1.5209591836734695</c:v>
                </c:pt>
                <c:pt idx="76">
                  <c:v>1.5209591836734695</c:v>
                </c:pt>
                <c:pt idx="77">
                  <c:v>1.5209591836734695</c:v>
                </c:pt>
                <c:pt idx="78">
                  <c:v>1.5209591836734695</c:v>
                </c:pt>
                <c:pt idx="79">
                  <c:v>1.5209591836734695</c:v>
                </c:pt>
                <c:pt idx="80">
                  <c:v>1.5209591836734695</c:v>
                </c:pt>
                <c:pt idx="81">
                  <c:v>1.5209591836734695</c:v>
                </c:pt>
                <c:pt idx="82">
                  <c:v>1.5209591836734695</c:v>
                </c:pt>
              </c:numCache>
            </c:numRef>
          </c:yVal>
          <c:smooth val="1"/>
          <c:extLst>
            <c:ext xmlns:c16="http://schemas.microsoft.com/office/drawing/2014/chart" uri="{C3380CC4-5D6E-409C-BE32-E72D297353CC}">
              <c16:uniqueId val="{00000004-DBA2-4D63-93D4-B966E91CF133}"/>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RTC!$C$55:$CG$55</c:f>
              <c:numCache>
                <c:formatCode>General</c:formatCode>
                <c:ptCount val="83"/>
                <c:pt idx="0">
                  <c:v>1.7562523882406222</c:v>
                </c:pt>
                <c:pt idx="1">
                  <c:v>1.7562523882406222</c:v>
                </c:pt>
                <c:pt idx="2">
                  <c:v>1.7562523882406222</c:v>
                </c:pt>
                <c:pt idx="3">
                  <c:v>1.7562523882406222</c:v>
                </c:pt>
                <c:pt idx="4">
                  <c:v>1.7562523882406222</c:v>
                </c:pt>
                <c:pt idx="5">
                  <c:v>1.7562523882406222</c:v>
                </c:pt>
                <c:pt idx="6">
                  <c:v>1.7562523882406222</c:v>
                </c:pt>
                <c:pt idx="7">
                  <c:v>1.7562523882406222</c:v>
                </c:pt>
                <c:pt idx="8">
                  <c:v>1.7562523882406222</c:v>
                </c:pt>
                <c:pt idx="9">
                  <c:v>1.7562523882406222</c:v>
                </c:pt>
                <c:pt idx="10">
                  <c:v>1.7562523882406222</c:v>
                </c:pt>
                <c:pt idx="11">
                  <c:v>1.7562523882406222</c:v>
                </c:pt>
                <c:pt idx="12">
                  <c:v>1.7562523882406222</c:v>
                </c:pt>
                <c:pt idx="13">
                  <c:v>1.7562523882406222</c:v>
                </c:pt>
                <c:pt idx="14">
                  <c:v>1.7562523882406222</c:v>
                </c:pt>
                <c:pt idx="15">
                  <c:v>1.7562523882406222</c:v>
                </c:pt>
                <c:pt idx="16">
                  <c:v>1.7562523882406222</c:v>
                </c:pt>
                <c:pt idx="17">
                  <c:v>1.7562523882406222</c:v>
                </c:pt>
                <c:pt idx="18">
                  <c:v>1.7562523882406222</c:v>
                </c:pt>
                <c:pt idx="19">
                  <c:v>1.7562523882406222</c:v>
                </c:pt>
                <c:pt idx="20">
                  <c:v>1.7562523882406222</c:v>
                </c:pt>
                <c:pt idx="21">
                  <c:v>1.7562523882406222</c:v>
                </c:pt>
                <c:pt idx="22">
                  <c:v>1.7562523882406222</c:v>
                </c:pt>
                <c:pt idx="23">
                  <c:v>1.7562523882406222</c:v>
                </c:pt>
                <c:pt idx="24">
                  <c:v>1.7562523882406222</c:v>
                </c:pt>
                <c:pt idx="25">
                  <c:v>1.7562523882406222</c:v>
                </c:pt>
                <c:pt idx="26">
                  <c:v>1.7562523882406222</c:v>
                </c:pt>
                <c:pt idx="27">
                  <c:v>1.7562523882406222</c:v>
                </c:pt>
                <c:pt idx="28">
                  <c:v>1.7562523882406222</c:v>
                </c:pt>
                <c:pt idx="29">
                  <c:v>1.7562523882406222</c:v>
                </c:pt>
                <c:pt idx="30">
                  <c:v>1.7562523882406222</c:v>
                </c:pt>
                <c:pt idx="31">
                  <c:v>1.7562523882406222</c:v>
                </c:pt>
                <c:pt idx="32">
                  <c:v>1.7562523882406222</c:v>
                </c:pt>
                <c:pt idx="33">
                  <c:v>1.7562523882406222</c:v>
                </c:pt>
                <c:pt idx="34">
                  <c:v>1.7562523882406222</c:v>
                </c:pt>
                <c:pt idx="35">
                  <c:v>1.7562523882406222</c:v>
                </c:pt>
                <c:pt idx="36">
                  <c:v>1.7562523882406222</c:v>
                </c:pt>
                <c:pt idx="37">
                  <c:v>1.7562523882406222</c:v>
                </c:pt>
                <c:pt idx="38">
                  <c:v>1.7562523882406222</c:v>
                </c:pt>
                <c:pt idx="39">
                  <c:v>1.7562523882406222</c:v>
                </c:pt>
                <c:pt idx="40">
                  <c:v>1.7562523882406222</c:v>
                </c:pt>
                <c:pt idx="41">
                  <c:v>1.7562523882406222</c:v>
                </c:pt>
                <c:pt idx="42">
                  <c:v>1.7562523882406222</c:v>
                </c:pt>
                <c:pt idx="43">
                  <c:v>1.7562523882406222</c:v>
                </c:pt>
                <c:pt idx="44">
                  <c:v>1.7562523882406222</c:v>
                </c:pt>
                <c:pt idx="45">
                  <c:v>1.7562523882406222</c:v>
                </c:pt>
                <c:pt idx="46">
                  <c:v>1.7562523882406222</c:v>
                </c:pt>
                <c:pt idx="47">
                  <c:v>1.7562523882406222</c:v>
                </c:pt>
                <c:pt idx="48">
                  <c:v>1.7562523882406222</c:v>
                </c:pt>
                <c:pt idx="49">
                  <c:v>1.7562523882406222</c:v>
                </c:pt>
                <c:pt idx="50">
                  <c:v>1.7562523882406222</c:v>
                </c:pt>
                <c:pt idx="51">
                  <c:v>1.7562523882406222</c:v>
                </c:pt>
                <c:pt idx="52">
                  <c:v>1.7562523882406222</c:v>
                </c:pt>
                <c:pt idx="53">
                  <c:v>1.7562523882406222</c:v>
                </c:pt>
                <c:pt idx="54">
                  <c:v>1.7562523882406222</c:v>
                </c:pt>
                <c:pt idx="55">
                  <c:v>1.7562523882406222</c:v>
                </c:pt>
                <c:pt idx="56">
                  <c:v>1.7562523882406222</c:v>
                </c:pt>
                <c:pt idx="57">
                  <c:v>1.7562523882406222</c:v>
                </c:pt>
                <c:pt idx="58">
                  <c:v>1.7562523882406222</c:v>
                </c:pt>
                <c:pt idx="59">
                  <c:v>1.7562523882406222</c:v>
                </c:pt>
                <c:pt idx="60">
                  <c:v>1.7562523882406222</c:v>
                </c:pt>
                <c:pt idx="61">
                  <c:v>1.7562523882406222</c:v>
                </c:pt>
                <c:pt idx="62">
                  <c:v>1.7562523882406222</c:v>
                </c:pt>
                <c:pt idx="63">
                  <c:v>1.7562523882406222</c:v>
                </c:pt>
                <c:pt idx="64">
                  <c:v>1.7562523882406222</c:v>
                </c:pt>
                <c:pt idx="65">
                  <c:v>1.7562523882406222</c:v>
                </c:pt>
                <c:pt idx="66">
                  <c:v>1.7562523882406222</c:v>
                </c:pt>
                <c:pt idx="67">
                  <c:v>1.7562523882406222</c:v>
                </c:pt>
                <c:pt idx="68">
                  <c:v>1.7562523882406222</c:v>
                </c:pt>
                <c:pt idx="69">
                  <c:v>1.7562523882406222</c:v>
                </c:pt>
                <c:pt idx="70">
                  <c:v>1.7562523882406222</c:v>
                </c:pt>
                <c:pt idx="71">
                  <c:v>1.7562523882406222</c:v>
                </c:pt>
                <c:pt idx="72">
                  <c:v>1.7562523882406222</c:v>
                </c:pt>
                <c:pt idx="73">
                  <c:v>1.7562523882406222</c:v>
                </c:pt>
                <c:pt idx="74">
                  <c:v>1.7562523882406222</c:v>
                </c:pt>
                <c:pt idx="75">
                  <c:v>1.7562523882406222</c:v>
                </c:pt>
                <c:pt idx="76">
                  <c:v>1.7562523882406222</c:v>
                </c:pt>
                <c:pt idx="77">
                  <c:v>1.7562523882406222</c:v>
                </c:pt>
                <c:pt idx="78">
                  <c:v>1.7562523882406222</c:v>
                </c:pt>
                <c:pt idx="79">
                  <c:v>1.7562523882406222</c:v>
                </c:pt>
                <c:pt idx="80">
                  <c:v>1.7562523882406222</c:v>
                </c:pt>
                <c:pt idx="81">
                  <c:v>1.7562523882406222</c:v>
                </c:pt>
                <c:pt idx="82">
                  <c:v>1.7562523882406222</c:v>
                </c:pt>
              </c:numCache>
            </c:numRef>
          </c:yVal>
          <c:smooth val="1"/>
          <c:extLst>
            <c:ext xmlns:c16="http://schemas.microsoft.com/office/drawing/2014/chart" uri="{C3380CC4-5D6E-409C-BE32-E72D297353CC}">
              <c16:uniqueId val="{00000005-DBA2-4D63-93D4-B966E91CF133}"/>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RTC!$C$56:$CG$56</c:f>
              <c:numCache>
                <c:formatCode>General</c:formatCode>
                <c:ptCount val="83"/>
                <c:pt idx="0">
                  <c:v>2.1509611053669317</c:v>
                </c:pt>
                <c:pt idx="1">
                  <c:v>2.1509611053669317</c:v>
                </c:pt>
                <c:pt idx="2">
                  <c:v>2.1509611053669317</c:v>
                </c:pt>
                <c:pt idx="3">
                  <c:v>2.1509611053669317</c:v>
                </c:pt>
                <c:pt idx="4">
                  <c:v>2.1509611053669317</c:v>
                </c:pt>
                <c:pt idx="5">
                  <c:v>2.1509611053669317</c:v>
                </c:pt>
                <c:pt idx="6">
                  <c:v>2.1509611053669317</c:v>
                </c:pt>
                <c:pt idx="7">
                  <c:v>2.1509611053669317</c:v>
                </c:pt>
                <c:pt idx="8">
                  <c:v>2.1509611053669317</c:v>
                </c:pt>
                <c:pt idx="9">
                  <c:v>2.1509611053669317</c:v>
                </c:pt>
                <c:pt idx="10">
                  <c:v>2.1509611053669317</c:v>
                </c:pt>
                <c:pt idx="11">
                  <c:v>2.1509611053669317</c:v>
                </c:pt>
                <c:pt idx="12">
                  <c:v>2.1509611053669317</c:v>
                </c:pt>
                <c:pt idx="13">
                  <c:v>2.1509611053669317</c:v>
                </c:pt>
                <c:pt idx="14">
                  <c:v>2.1509611053669317</c:v>
                </c:pt>
                <c:pt idx="15">
                  <c:v>2.1509611053669317</c:v>
                </c:pt>
                <c:pt idx="16">
                  <c:v>2.1509611053669317</c:v>
                </c:pt>
                <c:pt idx="17">
                  <c:v>2.1509611053669317</c:v>
                </c:pt>
                <c:pt idx="18">
                  <c:v>2.1509611053669317</c:v>
                </c:pt>
                <c:pt idx="19">
                  <c:v>2.1509611053669317</c:v>
                </c:pt>
                <c:pt idx="20">
                  <c:v>2.1509611053669317</c:v>
                </c:pt>
                <c:pt idx="21">
                  <c:v>2.1509611053669317</c:v>
                </c:pt>
                <c:pt idx="22">
                  <c:v>2.1509611053669317</c:v>
                </c:pt>
                <c:pt idx="23">
                  <c:v>2.1509611053669317</c:v>
                </c:pt>
                <c:pt idx="24">
                  <c:v>2.1509611053669317</c:v>
                </c:pt>
                <c:pt idx="25">
                  <c:v>2.1509611053669317</c:v>
                </c:pt>
                <c:pt idx="26">
                  <c:v>2.1509611053669317</c:v>
                </c:pt>
                <c:pt idx="27">
                  <c:v>2.1509611053669317</c:v>
                </c:pt>
                <c:pt idx="28">
                  <c:v>2.1509611053669317</c:v>
                </c:pt>
                <c:pt idx="29">
                  <c:v>2.1509611053669317</c:v>
                </c:pt>
                <c:pt idx="30">
                  <c:v>2.1509611053669317</c:v>
                </c:pt>
                <c:pt idx="31">
                  <c:v>2.1509611053669317</c:v>
                </c:pt>
                <c:pt idx="32">
                  <c:v>2.1509611053669317</c:v>
                </c:pt>
                <c:pt idx="33">
                  <c:v>2.1509611053669317</c:v>
                </c:pt>
                <c:pt idx="34">
                  <c:v>2.1509611053669317</c:v>
                </c:pt>
                <c:pt idx="35">
                  <c:v>2.1509611053669317</c:v>
                </c:pt>
                <c:pt idx="36">
                  <c:v>2.1509611053669317</c:v>
                </c:pt>
                <c:pt idx="37">
                  <c:v>2.1509611053669317</c:v>
                </c:pt>
                <c:pt idx="38">
                  <c:v>2.1509611053669317</c:v>
                </c:pt>
                <c:pt idx="39">
                  <c:v>2.1509611053669317</c:v>
                </c:pt>
                <c:pt idx="40">
                  <c:v>2.1509611053669317</c:v>
                </c:pt>
                <c:pt idx="41">
                  <c:v>2.1509611053669317</c:v>
                </c:pt>
                <c:pt idx="42">
                  <c:v>2.1509611053669317</c:v>
                </c:pt>
                <c:pt idx="43">
                  <c:v>2.1509611053669317</c:v>
                </c:pt>
                <c:pt idx="44">
                  <c:v>2.1509611053669317</c:v>
                </c:pt>
                <c:pt idx="45">
                  <c:v>2.1509611053669317</c:v>
                </c:pt>
                <c:pt idx="46">
                  <c:v>2.1509611053669317</c:v>
                </c:pt>
                <c:pt idx="47">
                  <c:v>2.1509611053669317</c:v>
                </c:pt>
                <c:pt idx="48">
                  <c:v>2.1509611053669317</c:v>
                </c:pt>
                <c:pt idx="49">
                  <c:v>2.1509611053669317</c:v>
                </c:pt>
                <c:pt idx="50">
                  <c:v>2.1509611053669317</c:v>
                </c:pt>
                <c:pt idx="51">
                  <c:v>2.1509611053669317</c:v>
                </c:pt>
                <c:pt idx="52">
                  <c:v>2.1509611053669317</c:v>
                </c:pt>
                <c:pt idx="53">
                  <c:v>2.1509611053669317</c:v>
                </c:pt>
                <c:pt idx="54">
                  <c:v>2.1509611053669317</c:v>
                </c:pt>
                <c:pt idx="55">
                  <c:v>2.1509611053669317</c:v>
                </c:pt>
                <c:pt idx="56">
                  <c:v>2.1509611053669317</c:v>
                </c:pt>
                <c:pt idx="57">
                  <c:v>2.1509611053669317</c:v>
                </c:pt>
                <c:pt idx="58">
                  <c:v>2.1509611053669317</c:v>
                </c:pt>
                <c:pt idx="59">
                  <c:v>2.1509611053669317</c:v>
                </c:pt>
                <c:pt idx="60">
                  <c:v>2.1509611053669317</c:v>
                </c:pt>
                <c:pt idx="61">
                  <c:v>2.1509611053669317</c:v>
                </c:pt>
                <c:pt idx="62">
                  <c:v>2.1509611053669317</c:v>
                </c:pt>
                <c:pt idx="63">
                  <c:v>2.1509611053669317</c:v>
                </c:pt>
                <c:pt idx="64">
                  <c:v>2.1509611053669317</c:v>
                </c:pt>
                <c:pt idx="65">
                  <c:v>2.1509611053669317</c:v>
                </c:pt>
                <c:pt idx="66">
                  <c:v>2.1509611053669317</c:v>
                </c:pt>
                <c:pt idx="67">
                  <c:v>2.1509611053669317</c:v>
                </c:pt>
                <c:pt idx="68">
                  <c:v>2.1509611053669317</c:v>
                </c:pt>
                <c:pt idx="69">
                  <c:v>2.1509611053669317</c:v>
                </c:pt>
                <c:pt idx="70">
                  <c:v>2.1509611053669317</c:v>
                </c:pt>
                <c:pt idx="71">
                  <c:v>2.1509611053669317</c:v>
                </c:pt>
                <c:pt idx="72">
                  <c:v>2.1509611053669317</c:v>
                </c:pt>
                <c:pt idx="73">
                  <c:v>2.1509611053669317</c:v>
                </c:pt>
                <c:pt idx="74">
                  <c:v>2.1509611053669317</c:v>
                </c:pt>
                <c:pt idx="75">
                  <c:v>2.1509611053669317</c:v>
                </c:pt>
                <c:pt idx="76">
                  <c:v>2.1509611053669317</c:v>
                </c:pt>
                <c:pt idx="77">
                  <c:v>2.1509611053669317</c:v>
                </c:pt>
                <c:pt idx="78">
                  <c:v>2.1509611053669317</c:v>
                </c:pt>
                <c:pt idx="79">
                  <c:v>2.1509611053669317</c:v>
                </c:pt>
                <c:pt idx="80">
                  <c:v>2.1509611053669317</c:v>
                </c:pt>
                <c:pt idx="81">
                  <c:v>2.1509611053669317</c:v>
                </c:pt>
                <c:pt idx="82">
                  <c:v>2.1509611053669317</c:v>
                </c:pt>
              </c:numCache>
            </c:numRef>
          </c:yVal>
          <c:smooth val="1"/>
          <c:extLst>
            <c:ext xmlns:c16="http://schemas.microsoft.com/office/drawing/2014/chart" uri="{C3380CC4-5D6E-409C-BE32-E72D297353CC}">
              <c16:uniqueId val="{00000006-DBA2-4D63-93D4-B966E91CF133}"/>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1921.5837087114464</c:v>
                </c:pt>
                <c:pt idx="39">
                  <c:v>6.499999999999007</c:v>
                </c:pt>
                <c:pt idx="40">
                  <c:v>3.2529106029008803</c:v>
                </c:pt>
                <c:pt idx="41">
                  <c:v>2.4982667258847973</c:v>
                </c:pt>
                <c:pt idx="42">
                  <c:v>2.1257309304031207</c:v>
                </c:pt>
                <c:pt idx="43">
                  <c:v>1.8960339956097945</c:v>
                </c:pt>
                <c:pt idx="44">
                  <c:v>1.7376131616797115</c:v>
                </c:pt>
                <c:pt idx="45">
                  <c:v>1.6206354136476369</c:v>
                </c:pt>
                <c:pt idx="46">
                  <c:v>1.5301841113520063</c:v>
                </c:pt>
                <c:pt idx="47">
                  <c:v>1.4578754741100259</c:v>
                </c:pt>
                <c:pt idx="48">
                  <c:v>1.3985939180008431</c:v>
                </c:pt>
                <c:pt idx="49">
                  <c:v>1.3490213172523273</c:v>
                </c:pt>
                <c:pt idx="50">
                  <c:v>1.3069011244615849</c:v>
                </c:pt>
                <c:pt idx="51">
                  <c:v>1.2706396576782892</c:v>
                </c:pt>
                <c:pt idx="52">
                  <c:v>1.2390760932765092</c:v>
                </c:pt>
                <c:pt idx="53">
                  <c:v>1.2113428740117067</c:v>
                </c:pt>
                <c:pt idx="54">
                  <c:v>1.1867773590313537</c:v>
                </c:pt>
                <c:pt idx="55">
                  <c:v>1.1648638953701158</c:v>
                </c:pt>
                <c:pt idx="56">
                  <c:v>1.1451946731274369</c:v>
                </c:pt>
                <c:pt idx="57">
                  <c:v>1.1274425752841599</c:v>
                </c:pt>
                <c:pt idx="58">
                  <c:v>1.1113419135083229</c:v>
                </c:pt>
                <c:pt idx="59">
                  <c:v>1.0966744827478272</c:v>
                </c:pt>
                <c:pt idx="60">
                  <c:v>1.0832592849365161</c:v>
                </c:pt>
                <c:pt idx="61">
                  <c:v>1.0709448350980926</c:v>
                </c:pt>
                <c:pt idx="62">
                  <c:v>1.0596033179556184</c:v>
                </c:pt>
                <c:pt idx="63">
                  <c:v>1.0491260922331147</c:v>
                </c:pt>
                <c:pt idx="64">
                  <c:v>1.0394201909627108</c:v>
                </c:pt>
                <c:pt idx="65">
                  <c:v>1.0304055677788071</c:v>
                </c:pt>
                <c:pt idx="66">
                  <c:v>1.022012908801389</c:v>
                </c:pt>
                <c:pt idx="67">
                  <c:v>1.0141818781648655</c:v>
                </c:pt>
                <c:pt idx="68">
                  <c:v>1.0068596994765564</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DBA2-4D63-93D4-B966E91CF133}"/>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RTC!$C$31:$CG$31</c:f>
              <c:numCache>
                <c:formatCode>General</c:formatCode>
                <c:ptCount val="83"/>
                <c:pt idx="0">
                  <c:v>0.68571428571428572</c:v>
                </c:pt>
                <c:pt idx="1">
                  <c:v>0.68571428571428572</c:v>
                </c:pt>
                <c:pt idx="2">
                  <c:v>0.68571428571428572</c:v>
                </c:pt>
                <c:pt idx="3">
                  <c:v>0.68571428571428572</c:v>
                </c:pt>
                <c:pt idx="4">
                  <c:v>0.68571428571428572</c:v>
                </c:pt>
                <c:pt idx="5">
                  <c:v>0.68571428571428572</c:v>
                </c:pt>
                <c:pt idx="6">
                  <c:v>0.68571428571428572</c:v>
                </c:pt>
                <c:pt idx="7">
                  <c:v>0.68571428571428572</c:v>
                </c:pt>
                <c:pt idx="8">
                  <c:v>0.68571428571428572</c:v>
                </c:pt>
                <c:pt idx="9">
                  <c:v>0.68571428571428572</c:v>
                </c:pt>
                <c:pt idx="10">
                  <c:v>0.68571428571428572</c:v>
                </c:pt>
                <c:pt idx="11">
                  <c:v>0.68571428571428572</c:v>
                </c:pt>
                <c:pt idx="12">
                  <c:v>0.68571428571428572</c:v>
                </c:pt>
                <c:pt idx="13">
                  <c:v>0.68571428571428572</c:v>
                </c:pt>
                <c:pt idx="14">
                  <c:v>0.68571428571428572</c:v>
                </c:pt>
                <c:pt idx="15">
                  <c:v>0.68571428571428572</c:v>
                </c:pt>
                <c:pt idx="16">
                  <c:v>0.68571428571428572</c:v>
                </c:pt>
                <c:pt idx="17">
                  <c:v>0.68571428571428572</c:v>
                </c:pt>
                <c:pt idx="18">
                  <c:v>0.68571428571428572</c:v>
                </c:pt>
                <c:pt idx="19">
                  <c:v>0.68571428571428572</c:v>
                </c:pt>
                <c:pt idx="20">
                  <c:v>0.68571428571428572</c:v>
                </c:pt>
                <c:pt idx="21">
                  <c:v>0.68571428571428572</c:v>
                </c:pt>
                <c:pt idx="22">
                  <c:v>0.68571428571428572</c:v>
                </c:pt>
                <c:pt idx="23">
                  <c:v>0.68571428571428572</c:v>
                </c:pt>
                <c:pt idx="24">
                  <c:v>0.68571428571428572</c:v>
                </c:pt>
                <c:pt idx="25">
                  <c:v>0.68571428571428572</c:v>
                </c:pt>
                <c:pt idx="26">
                  <c:v>0.68571428571428572</c:v>
                </c:pt>
                <c:pt idx="27">
                  <c:v>0.68571428571428572</c:v>
                </c:pt>
                <c:pt idx="28">
                  <c:v>0.68571428571428572</c:v>
                </c:pt>
                <c:pt idx="29">
                  <c:v>0.68571428571428572</c:v>
                </c:pt>
                <c:pt idx="30">
                  <c:v>0.68571428571428572</c:v>
                </c:pt>
                <c:pt idx="31">
                  <c:v>0.68571428571428572</c:v>
                </c:pt>
                <c:pt idx="32">
                  <c:v>0.68571428571428572</c:v>
                </c:pt>
                <c:pt idx="33">
                  <c:v>0.68571428571428572</c:v>
                </c:pt>
                <c:pt idx="34">
                  <c:v>0.68571428571428572</c:v>
                </c:pt>
                <c:pt idx="35">
                  <c:v>0.68571428571428572</c:v>
                </c:pt>
                <c:pt idx="36">
                  <c:v>0.68571428571428572</c:v>
                </c:pt>
                <c:pt idx="37">
                  <c:v>0.68571428571428572</c:v>
                </c:pt>
                <c:pt idx="38">
                  <c:v>0.68571428571428572</c:v>
                </c:pt>
                <c:pt idx="39">
                  <c:v>0.68571428571428572</c:v>
                </c:pt>
                <c:pt idx="40">
                  <c:v>0.68571428571428572</c:v>
                </c:pt>
                <c:pt idx="41">
                  <c:v>0.68571428571428572</c:v>
                </c:pt>
                <c:pt idx="42">
                  <c:v>0.68571428571428572</c:v>
                </c:pt>
                <c:pt idx="43">
                  <c:v>0.68571428571428572</c:v>
                </c:pt>
                <c:pt idx="44">
                  <c:v>0.68571428571428572</c:v>
                </c:pt>
                <c:pt idx="45">
                  <c:v>0.68571428571428572</c:v>
                </c:pt>
                <c:pt idx="46">
                  <c:v>0.68571428571428572</c:v>
                </c:pt>
                <c:pt idx="47">
                  <c:v>0.68571428571428572</c:v>
                </c:pt>
                <c:pt idx="48">
                  <c:v>0.68571428571428572</c:v>
                </c:pt>
                <c:pt idx="49">
                  <c:v>0.68571428571428572</c:v>
                </c:pt>
                <c:pt idx="50">
                  <c:v>0.68571428571428572</c:v>
                </c:pt>
                <c:pt idx="51">
                  <c:v>0.68571428571428572</c:v>
                </c:pt>
                <c:pt idx="52">
                  <c:v>0.68571428571428572</c:v>
                </c:pt>
                <c:pt idx="53">
                  <c:v>0.68571428571428572</c:v>
                </c:pt>
                <c:pt idx="54">
                  <c:v>0.68571428571428572</c:v>
                </c:pt>
                <c:pt idx="55">
                  <c:v>0.68571428571428572</c:v>
                </c:pt>
                <c:pt idx="56">
                  <c:v>0.68571428571428572</c:v>
                </c:pt>
                <c:pt idx="57">
                  <c:v>0.68571428571428572</c:v>
                </c:pt>
                <c:pt idx="58">
                  <c:v>0.68571428571428572</c:v>
                </c:pt>
                <c:pt idx="59">
                  <c:v>0.68571428571428572</c:v>
                </c:pt>
                <c:pt idx="60">
                  <c:v>0.68571428571428572</c:v>
                </c:pt>
                <c:pt idx="61">
                  <c:v>0.68571428571428572</c:v>
                </c:pt>
                <c:pt idx="62">
                  <c:v>0.68571428571428572</c:v>
                </c:pt>
                <c:pt idx="63">
                  <c:v>0.68571428571428572</c:v>
                </c:pt>
                <c:pt idx="64">
                  <c:v>0.68571428571428572</c:v>
                </c:pt>
                <c:pt idx="65">
                  <c:v>0.68571428571428572</c:v>
                </c:pt>
                <c:pt idx="66">
                  <c:v>0.68571428571428572</c:v>
                </c:pt>
                <c:pt idx="67">
                  <c:v>0.68571428571428572</c:v>
                </c:pt>
                <c:pt idx="68">
                  <c:v>0.68571428571428572</c:v>
                </c:pt>
                <c:pt idx="69">
                  <c:v>0.68571428571428572</c:v>
                </c:pt>
                <c:pt idx="70">
                  <c:v>0.68571428571428572</c:v>
                </c:pt>
                <c:pt idx="71">
                  <c:v>0.68571428571428572</c:v>
                </c:pt>
                <c:pt idx="72">
                  <c:v>0.68571428571428572</c:v>
                </c:pt>
                <c:pt idx="73">
                  <c:v>0.68571428571428572</c:v>
                </c:pt>
                <c:pt idx="74">
                  <c:v>0.68571428571428572</c:v>
                </c:pt>
                <c:pt idx="75">
                  <c:v>0.68571428571428572</c:v>
                </c:pt>
                <c:pt idx="76">
                  <c:v>0.68571428571428572</c:v>
                </c:pt>
                <c:pt idx="77">
                  <c:v>0.68571428571428572</c:v>
                </c:pt>
                <c:pt idx="78">
                  <c:v>0.68571428571428572</c:v>
                </c:pt>
                <c:pt idx="79">
                  <c:v>0.68571428571428572</c:v>
                </c:pt>
                <c:pt idx="80">
                  <c:v>0.68571428571428572</c:v>
                </c:pt>
                <c:pt idx="81">
                  <c:v>0.68571428571428572</c:v>
                </c:pt>
                <c:pt idx="82">
                  <c:v>0.68571428571428572</c:v>
                </c:pt>
              </c:numCache>
            </c:numRef>
          </c:yVal>
          <c:smooth val="1"/>
          <c:extLst>
            <c:ext xmlns:c16="http://schemas.microsoft.com/office/drawing/2014/chart" uri="{C3380CC4-5D6E-409C-BE32-E72D297353CC}">
              <c16:uniqueId val="{00000008-DBA2-4D63-93D4-B966E91CF133}"/>
            </c:ext>
          </c:extLst>
        </c:ser>
        <c:dLbls>
          <c:showLegendKey val="0"/>
          <c:showVal val="0"/>
          <c:showCatName val="0"/>
          <c:showSerName val="0"/>
          <c:showPercent val="0"/>
          <c:showBubbleSize val="0"/>
        </c:dLbls>
        <c:axId val="86219803"/>
        <c:axId val="34232101"/>
      </c:scatterChart>
      <c:valAx>
        <c:axId val="86219803"/>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232101"/>
        <c:crosses val="autoZero"/>
        <c:crossBetween val="midCat"/>
        <c:majorUnit val="1"/>
        <c:minorUnit val="1"/>
      </c:valAx>
      <c:valAx>
        <c:axId val="34232101"/>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6219803"/>
        <c:crosses val="autoZero"/>
        <c:crossBetween val="midCat"/>
      </c:valAx>
      <c:spPr>
        <a:noFill/>
        <a:ln w="0">
          <a:noFill/>
        </a:ln>
      </c:spPr>
    </c:plotArea>
    <c:legend>
      <c:legendPos val="r"/>
      <c:layout>
        <c:manualLayout>
          <c:xMode val="edge"/>
          <c:yMode val="edge"/>
          <c:x val="0.66888263213995602"/>
          <c:y val="0.16027563224159799"/>
          <c:w val="0.26492290775178101"/>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a:t>
            </a:r>
          </a:p>
        </c:rich>
      </c:tx>
      <c:layout>
        <c:manualLayout>
          <c:xMode val="edge"/>
          <c:yMode val="edge"/>
          <c:x val="0.16153442721210801"/>
          <c:y val="2.3242982274639602E-2"/>
        </c:manualLayout>
      </c:layout>
      <c:overlay val="0"/>
      <c:spPr>
        <a:noFill/>
        <a:ln w="0">
          <a:noFill/>
        </a:ln>
      </c:spPr>
    </c:title>
    <c:autoTitleDeleted val="0"/>
    <c:plotArea>
      <c:layout>
        <c:manualLayout>
          <c:layoutTarget val="inner"/>
          <c:xMode val="edge"/>
          <c:yMode val="edge"/>
          <c:x val="0.125383981419045"/>
          <c:y val="0.141802882957445"/>
          <c:w val="0.82629055218401104"/>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RTC!$C$28:$CG$28</c:f>
              <c:numCache>
                <c:formatCode>General</c:formatCode>
                <c:ptCount val="83"/>
                <c:pt idx="0">
                  <c:v>2.1818182512396718E-8</c:v>
                </c:pt>
                <c:pt idx="1">
                  <c:v>1.2886419367458453E-3</c:v>
                </c:pt>
                <c:pt idx="2">
                  <c:v>3.2957540508757933E-3</c:v>
                </c:pt>
                <c:pt idx="3">
                  <c:v>6.2466838217803949E-3</c:v>
                </c:pt>
                <c:pt idx="4">
                  <c:v>1.0165634844491057E-2</c:v>
                </c:pt>
                <c:pt idx="5">
                  <c:v>1.5085230808885637E-2</c:v>
                </c:pt>
                <c:pt idx="6">
                  <c:v>2.104720710419164E-2</c:v>
                </c:pt>
                <c:pt idx="7">
                  <c:v>2.8103319587713758E-2</c:v>
                </c:pt>
                <c:pt idx="8">
                  <c:v>3.6316508449383139E-2</c:v>
                </c:pt>
                <c:pt idx="9">
                  <c:v>4.5762367743434479E-2</c:v>
                </c:pt>
                <c:pt idx="10">
                  <c:v>5.6530987448607108E-2</c:v>
                </c:pt>
                <c:pt idx="11">
                  <c:v>6.8729256295102084E-2</c:v>
                </c:pt>
                <c:pt idx="12">
                  <c:v>8.2483742085161724E-2</c:v>
                </c:pt>
                <c:pt idx="13">
                  <c:v>9.7944304735298124E-2</c:v>
                </c:pt>
                <c:pt idx="14">
                  <c:v>0.11528864999952876</c:v>
                </c:pt>
                <c:pt idx="15">
                  <c:v>0.1347281050187448</c:v>
                </c:pt>
                <c:pt idx="16">
                  <c:v>0.15651499980883612</c:v>
                </c:pt>
                <c:pt idx="17">
                  <c:v>0.18095218575415503</c:v>
                </c:pt>
                <c:pt idx="18">
                  <c:v>0.20840543512238516</c:v>
                </c:pt>
                <c:pt idx="19">
                  <c:v>0.23931977930378859</c:v>
                </c:pt>
                <c:pt idx="20">
                  <c:v>0.27424131386312434</c:v>
                </c:pt>
                <c:pt idx="21">
                  <c:v>0.31384671772931005</c:v>
                </c:pt>
                <c:pt idx="22">
                  <c:v>0.3589838574142431</c:v>
                </c:pt>
                <c:pt idx="23">
                  <c:v>0.41072864448862639</c:v>
                </c:pt>
                <c:pt idx="24">
                  <c:v>0.47046626668653735</c:v>
                </c:pt>
                <c:pt idx="25">
                  <c:v>0.54000990781304037</c:v>
                </c:pt>
                <c:pt idx="26">
                  <c:v>0.62177881033586746</c:v>
                </c:pt>
                <c:pt idx="27">
                  <c:v>0.71907341857608231</c:v>
                </c:pt>
                <c:pt idx="28">
                  <c:v>0.83651551018079373</c:v>
                </c:pt>
                <c:pt idx="29">
                  <c:v>0.98078153994784389</c:v>
                </c:pt>
                <c:pt idx="30">
                  <c:v>1.1618855338834528</c:v>
                </c:pt>
                <c:pt idx="31">
                  <c:v>1.3955605407023011</c:v>
                </c:pt>
                <c:pt idx="32">
                  <c:v>1.70801881699095</c:v>
                </c:pt>
                <c:pt idx="33">
                  <c:v>2.1464163817304032</c:v>
                </c:pt>
                <c:pt idx="34">
                  <c:v>2.8049873938594398</c:v>
                </c:pt>
                <c:pt idx="35">
                  <c:v>3.9033273688464369</c:v>
                </c:pt>
                <c:pt idx="36">
                  <c:v>6.098718634915044</c:v>
                </c:pt>
                <c:pt idx="37">
                  <c:v>12.659566924581251</c:v>
                </c:pt>
                <c:pt idx="38">
                  <c:v>1921.5837087114464</c:v>
                </c:pt>
                <c:pt idx="39">
                  <c:v>42.249999999987104</c:v>
                </c:pt>
                <c:pt idx="40">
                  <c:v>10.581427390464974</c:v>
                </c:pt>
                <c:pt idx="41">
                  <c:v>6.2413366336631526</c:v>
                </c:pt>
                <c:pt idx="42">
                  <c:v>4.5187319884725161</c:v>
                </c:pt>
                <c:pt idx="43">
                  <c:v>3.5949449125080415</c:v>
                </c:pt>
                <c:pt idx="44">
                  <c:v>3.0192994996425648</c:v>
                </c:pt>
                <c:pt idx="45">
                  <c:v>2.6264591439688467</c:v>
                </c:pt>
                <c:pt idx="46">
                  <c:v>2.3414634146341284</c:v>
                </c:pt>
                <c:pt idx="47">
                  <c:v>2.1254008980115326</c:v>
                </c:pt>
                <c:pt idx="48">
                  <c:v>1.9560649474689491</c:v>
                </c:pt>
                <c:pt idx="49">
                  <c:v>1.8198585144012047</c:v>
                </c:pt>
                <c:pt idx="50">
                  <c:v>1.7079905491189553</c:v>
                </c:pt>
                <c:pt idx="51">
                  <c:v>1.6145251396647997</c:v>
                </c:pt>
                <c:pt idx="52">
                  <c:v>1.5353095649293769</c:v>
                </c:pt>
                <c:pt idx="53">
                  <c:v>1.4673515584189416</c:v>
                </c:pt>
                <c:pt idx="54">
                  <c:v>1.4084404999094342</c:v>
                </c:pt>
                <c:pt idx="55">
                  <c:v>1.35690789473684</c:v>
                </c:pt>
                <c:pt idx="56">
                  <c:v>1.3114708393594574</c:v>
                </c:pt>
                <c:pt idx="57">
                  <c:v>1.2711267605633787</c:v>
                </c:pt>
                <c:pt idx="58">
                  <c:v>1.2350808487203404</c:v>
                </c:pt>
                <c:pt idx="59">
                  <c:v>1.2026949211102145</c:v>
                </c:pt>
                <c:pt idx="60">
                  <c:v>1.1734506784011727</c:v>
                </c:pt>
                <c:pt idx="61">
                  <c:v>1.1469228398232809</c:v>
                </c:pt>
                <c:pt idx="62">
                  <c:v>1.1227591914225556</c:v>
                </c:pt>
                <c:pt idx="63">
                  <c:v>1.1006655574043258</c:v>
                </c:pt>
                <c:pt idx="64">
                  <c:v>1.080394333380958</c:v>
                </c:pt>
                <c:pt idx="65">
                  <c:v>1.0617356341095658</c:v>
                </c:pt>
                <c:pt idx="66">
                  <c:v>1.0445103857566764</c:v>
                </c:pt>
                <c:pt idx="67">
                  <c:v>1.0285648819980142</c:v>
                </c:pt>
                <c:pt idx="68">
                  <c:v>1.0137664544300213</c:v>
                </c:pt>
                <c:pt idx="69">
                  <c:v>1</c:v>
                </c:pt>
                <c:pt idx="70">
                  <c:v>0.92687605964801134</c:v>
                </c:pt>
                <c:pt idx="71">
                  <c:v>0.87793233473094412</c:v>
                </c:pt>
                <c:pt idx="72">
                  <c:v>0.8432116897802775</c:v>
                </c:pt>
                <c:pt idx="73">
                  <c:v>0.81751431221486071</c:v>
                </c:pt>
                <c:pt idx="74">
                  <c:v>0.79786908756308172</c:v>
                </c:pt>
                <c:pt idx="75">
                  <c:v>0.78246071684854068</c:v>
                </c:pt>
                <c:pt idx="76">
                  <c:v>0.7701209595806876</c:v>
                </c:pt>
                <c:pt idx="77">
                  <c:v>0.76006613168945525</c:v>
                </c:pt>
                <c:pt idx="78">
                  <c:v>0.75175235378607119</c:v>
                </c:pt>
                <c:pt idx="79">
                  <c:v>0.74479131918510189</c:v>
                </c:pt>
                <c:pt idx="80">
                  <c:v>0.73889904941593587</c:v>
                </c:pt>
                <c:pt idx="81">
                  <c:v>0.73386352963092394</c:v>
                </c:pt>
                <c:pt idx="82">
                  <c:v>0.72952360451323239</c:v>
                </c:pt>
              </c:numCache>
            </c:numRef>
          </c:yVal>
          <c:smooth val="1"/>
          <c:extLst>
            <c:ext xmlns:c16="http://schemas.microsoft.com/office/drawing/2014/chart" uri="{C3380CC4-5D6E-409C-BE32-E72D297353CC}">
              <c16:uniqueId val="{00000000-6DE9-4B0A-8E5B-E524A2DC1134}"/>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RTC!$C$47:$CG$47</c:f>
              <c:numCache>
                <c:formatCode>General</c:formatCode>
                <c:ptCount val="83"/>
                <c:pt idx="0">
                  <c:v>2.1818182382492675E-8</c:v>
                </c:pt>
                <c:pt idx="1">
                  <c:v>1.2881887010930794E-3</c:v>
                </c:pt>
                <c:pt idx="2">
                  <c:v>3.2927886442313385E-3</c:v>
                </c:pt>
                <c:pt idx="3">
                  <c:v>6.2360266346062031E-3</c:v>
                </c:pt>
                <c:pt idx="4">
                  <c:v>1.0137396704165301E-2</c:v>
                </c:pt>
                <c:pt idx="5">
                  <c:v>1.5023007895528954E-2</c:v>
                </c:pt>
                <c:pt idx="6">
                  <c:v>2.0925987778792478E-2</c:v>
                </c:pt>
                <c:pt idx="7">
                  <c:v>2.7887001276361342E-2</c:v>
                </c:pt>
                <c:pt idx="8">
                  <c:v>3.5954897539339017E-2</c:v>
                </c:pt>
                <c:pt idx="9">
                  <c:v>4.5187500817546217E-2</c:v>
                </c:pt>
                <c:pt idx="10">
                  <c:v>5.5652564835327163E-2</c:v>
                </c:pt>
                <c:pt idx="11">
                  <c:v>6.7428914152122668E-2</c:v>
                </c:pt>
                <c:pt idx="12">
                  <c:v>8.0607800331455051E-2</c:v>
                </c:pt>
                <c:pt idx="13">
                  <c:v>9.5294505365001059E-2</c:v>
                </c:pt>
                <c:pt idx="14">
                  <c:v>0.11161022945863958</c:v>
                </c:pt>
                <c:pt idx="15">
                  <c:v>0.12969430450041747</c:v>
                </c:pt>
                <c:pt idx="16">
                  <c:v>0.14970677740192706</c:v>
                </c:pt>
                <c:pt idx="17">
                  <c:v>0.17183140745740369</c:v>
                </c:pt>
                <c:pt idx="18">
                  <c:v>0.19627911619524036</c:v>
                </c:pt>
                <c:pt idx="19">
                  <c:v>0.22329191235764032</c:v>
                </c:pt>
                <c:pt idx="20">
                  <c:v>0.25314728109657647</c:v>
                </c:pt>
                <c:pt idx="21">
                  <c:v>0.28616296286546417</c:v>
                </c:pt>
                <c:pt idx="22">
                  <c:v>0.32270193381356715</c:v>
                </c:pt>
                <c:pt idx="23">
                  <c:v>0.36317720380577329</c:v>
                </c:pt>
                <c:pt idx="24">
                  <c:v>0.40805572039200749</c:v>
                </c:pt>
                <c:pt idx="25">
                  <c:v>0.45786013065995684</c:v>
                </c:pt>
                <c:pt idx="26">
                  <c:v>0.51316629609248432</c:v>
                </c:pt>
                <c:pt idx="27">
                  <c:v>0.57459312657902117</c:v>
                </c:pt>
                <c:pt idx="28">
                  <c:v>0.64277932160959372</c:v>
                </c:pt>
                <c:pt idx="29">
                  <c:v>0.71833884691119299</c:v>
                </c:pt>
                <c:pt idx="30">
                  <c:v>0.80178354597124124</c:v>
                </c:pt>
                <c:pt idx="31">
                  <c:v>0.89339801137383779</c:v>
                </c:pt>
                <c:pt idx="32">
                  <c:v>0.99305115057053139</c:v>
                </c:pt>
                <c:pt idx="33">
                  <c:v>1.0999361156437204</c:v>
                </c:pt>
                <c:pt idx="34">
                  <c:v>1.2122544795938535</c:v>
                </c:pt>
                <c:pt idx="35">
                  <c:v>1.3269116345880969</c:v>
                </c:pt>
                <c:pt idx="36">
                  <c:v>1.4393666612797296</c:v>
                </c:pt>
                <c:pt idx="37">
                  <c:v>1.5438437181055409</c:v>
                </c:pt>
                <c:pt idx="38">
                  <c:v>1.634075089047597</c:v>
                </c:pt>
                <c:pt idx="39">
                  <c:v>1.6593385553953328</c:v>
                </c:pt>
                <c:pt idx="40">
                  <c:v>1.7224809596753172</c:v>
                </c:pt>
                <c:pt idx="41">
                  <c:v>1.7617858065342098</c:v>
                </c:pt>
                <c:pt idx="42">
                  <c:v>1.7775007606476596</c:v>
                </c:pt>
                <c:pt idx="43">
                  <c:v>1.7723770936820213</c:v>
                </c:pt>
                <c:pt idx="44">
                  <c:v>1.7506688032071991</c:v>
                </c:pt>
                <c:pt idx="45">
                  <c:v>1.7170352094878036</c:v>
                </c:pt>
                <c:pt idx="46">
                  <c:v>1.6757354437264311</c:v>
                </c:pt>
                <c:pt idx="47">
                  <c:v>1.6302254633798372</c:v>
                </c:pt>
                <c:pt idx="48">
                  <c:v>1.5830741957458498</c:v>
                </c:pt>
                <c:pt idx="49">
                  <c:v>1.5360596375513149</c:v>
                </c:pt>
                <c:pt idx="50">
                  <c:v>1.4903324554146884</c:v>
                </c:pt>
                <c:pt idx="51">
                  <c:v>1.446581713956461</c:v>
                </c:pt>
                <c:pt idx="52">
                  <c:v>1.4051745142564538</c:v>
                </c:pt>
                <c:pt idx="53">
                  <c:v>1.3662628198799427</c:v>
                </c:pt>
                <c:pt idx="54">
                  <c:v>1.329860503810347</c:v>
                </c:pt>
                <c:pt idx="55">
                  <c:v>1.2958967576600455</c:v>
                </c:pt>
                <c:pt idx="56">
                  <c:v>1.2642520414530216</c:v>
                </c:pt>
                <c:pt idx="57">
                  <c:v>1.2347816882910965</c:v>
                </c:pt>
                <c:pt idx="58">
                  <c:v>1.2073310266874606</c:v>
                </c:pt>
                <c:pt idx="59">
                  <c:v>1.1817447922027622</c:v>
                </c:pt>
                <c:pt idx="60">
                  <c:v>1.1578727557635651</c:v>
                </c:pt>
                <c:pt idx="61">
                  <c:v>1.1355728820271946</c:v>
                </c:pt>
                <c:pt idx="62">
                  <c:v>1.1147129003379874</c:v>
                </c:pt>
                <c:pt idx="63">
                  <c:v>1.0951708751382412</c:v>
                </c:pt>
                <c:pt idx="64">
                  <c:v>1.0768351626045636</c:v>
                </c:pt>
                <c:pt idx="65">
                  <c:v>1.0596040061373857</c:v>
                </c:pt>
                <c:pt idx="66">
                  <c:v>1.0433849339971508</c:v>
                </c:pt>
                <c:pt idx="67">
                  <c:v>1.0280940632015909</c:v>
                </c:pt>
                <c:pt idx="68">
                  <c:v>1.0136553747908899</c:v>
                </c:pt>
                <c:pt idx="69">
                  <c:v>1</c:v>
                </c:pt>
                <c:pt idx="70">
                  <c:v>0.92333211953700123</c:v>
                </c:pt>
                <c:pt idx="71">
                  <c:v>0.86696105834124759</c:v>
                </c:pt>
                <c:pt idx="72">
                  <c:v>0.82318248090522994</c:v>
                </c:pt>
                <c:pt idx="73">
                  <c:v>0.78763759103387965</c:v>
                </c:pt>
                <c:pt idx="74">
                  <c:v>0.75772129315258452</c:v>
                </c:pt>
                <c:pt idx="75">
                  <c:v>0.73180269010084442</c:v>
                </c:pt>
                <c:pt idx="76">
                  <c:v>0.70882081816335396</c:v>
                </c:pt>
                <c:pt idx="77">
                  <c:v>0.68806311613752202</c:v>
                </c:pt>
                <c:pt idx="78">
                  <c:v>0.66903798029635431</c:v>
                </c:pt>
                <c:pt idx="79">
                  <c:v>0.65139830863734394</c:v>
                </c:pt>
                <c:pt idx="80">
                  <c:v>0.63489396113171548</c:v>
                </c:pt>
                <c:pt idx="81">
                  <c:v>0.61934128252039466</c:v>
                </c:pt>
                <c:pt idx="82">
                  <c:v>0.60460304808045218</c:v>
                </c:pt>
              </c:numCache>
            </c:numRef>
          </c:yVal>
          <c:smooth val="1"/>
          <c:extLst>
            <c:ext xmlns:c16="http://schemas.microsoft.com/office/drawing/2014/chart" uri="{C3380CC4-5D6E-409C-BE32-E72D297353CC}">
              <c16:uniqueId val="{00000001-6DE9-4B0A-8E5B-E524A2DC1134}"/>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RTC!$C$49:$CG$49</c:f>
              <c:numCache>
                <c:formatCode>General</c:formatCode>
                <c:ptCount val="83"/>
                <c:pt idx="0">
                  <c:v>2.1818182439325691E-8</c:v>
                </c:pt>
                <c:pt idx="1">
                  <c:v>1.288386932838223E-3</c:v>
                </c:pt>
                <c:pt idx="2">
                  <c:v>3.294085024357045E-3</c:v>
                </c:pt>
                <c:pt idx="3">
                  <c:v>6.2406824378399874E-3</c:v>
                </c:pt>
                <c:pt idx="4">
                  <c:v>1.0149721903320651E-2</c:v>
                </c:pt>
                <c:pt idx="5">
                  <c:v>1.5050135523851146E-2</c:v>
                </c:pt>
                <c:pt idx="6">
                  <c:v>2.0978762930202923E-2</c:v>
                </c:pt>
                <c:pt idx="7">
                  <c:v>2.7981024024538607E-2</c:v>
                </c:pt>
                <c:pt idx="8">
                  <c:v>3.6111767932241016E-2</c:v>
                </c:pt>
                <c:pt idx="9">
                  <c:v>4.5436326096875805E-2</c:v>
                </c:pt>
                <c:pt idx="10">
                  <c:v>5.6031805097773321E-2</c:v>
                </c:pt>
                <c:pt idx="11">
                  <c:v>6.7988664131966317E-2</c:v>
                </c:pt>
                <c:pt idx="12">
                  <c:v>8.1412633661487821E-2</c:v>
                </c:pt>
                <c:pt idx="13">
                  <c:v>9.6427046070027292E-2</c:v>
                </c:pt>
                <c:pt idx="14">
                  <c:v>0.11317566700622338</c:v>
                </c:pt>
                <c:pt idx="15">
                  <c:v>0.13182613823889974</c:v>
                </c:pt>
                <c:pt idx="16">
                  <c:v>0.15257417021874703</c:v>
                </c:pt>
                <c:pt idx="17">
                  <c:v>0.17564865601082363</c:v>
                </c:pt>
                <c:pt idx="18">
                  <c:v>0.20131791842768321</c:v>
                </c:pt>
                <c:pt idx="19">
                  <c:v>0.22989734881129481</c:v>
                </c:pt>
                <c:pt idx="20">
                  <c:v>0.26175874677386279</c:v>
                </c:pt>
                <c:pt idx="21">
                  <c:v>0.29734171889440625</c:v>
                </c:pt>
                <c:pt idx="22">
                  <c:v>0.33716752587048926</c:v>
                </c:pt>
                <c:pt idx="23">
                  <c:v>0.38185574987982207</c:v>
                </c:pt>
                <c:pt idx="24">
                  <c:v>0.4321440215917321</c:v>
                </c:pt>
                <c:pt idx="25">
                  <c:v>0.48891067008148426</c:v>
                </c:pt>
                <c:pt idx="26">
                  <c:v>0.55319928820362751</c:v>
                </c:pt>
                <c:pt idx="27">
                  <c:v>0.62624236450510695</c:v>
                </c:pt>
                <c:pt idx="28">
                  <c:v>0.70947743818119835</c:v>
                </c:pt>
                <c:pt idx="29">
                  <c:v>0.80454211618310545</c:v>
                </c:pt>
                <c:pt idx="30">
                  <c:v>0.91322115987396457</c:v>
                </c:pt>
                <c:pt idx="31">
                  <c:v>1.0372960664446651</c:v>
                </c:pt>
                <c:pt idx="32">
                  <c:v>1.1782121374140366</c:v>
                </c:pt>
                <c:pt idx="33">
                  <c:v>1.3364349780829285</c:v>
                </c:pt>
                <c:pt idx="34">
                  <c:v>1.5103522672564342</c:v>
                </c:pt>
                <c:pt idx="35">
                  <c:v>1.6946933621753784</c:v>
                </c:pt>
                <c:pt idx="36">
                  <c:v>1.8788872930725196</c:v>
                </c:pt>
                <c:pt idx="37">
                  <c:v>2.0466553898913227</c:v>
                </c:pt>
                <c:pt idx="38">
                  <c:v>2.1787661726775815</c:v>
                </c:pt>
                <c:pt idx="39">
                  <c:v>2.2111254628172508</c:v>
                </c:pt>
                <c:pt idx="40">
                  <c:v>2.2733341619235317</c:v>
                </c:pt>
                <c:pt idx="41">
                  <c:v>2.2794758156576145</c:v>
                </c:pt>
                <c:pt idx="42">
                  <c:v>2.2390917769355321</c:v>
                </c:pt>
                <c:pt idx="43">
                  <c:v>2.1671764851446023</c:v>
                </c:pt>
                <c:pt idx="44">
                  <c:v>2.0782664827564985</c:v>
                </c:pt>
                <c:pt idx="45">
                  <c:v>1.9833491584035789</c:v>
                </c:pt>
                <c:pt idx="46">
                  <c:v>1.8894370266624958</c:v>
                </c:pt>
                <c:pt idx="47">
                  <c:v>1.8004036122547353</c:v>
                </c:pt>
                <c:pt idx="48">
                  <c:v>1.7180362951962087</c:v>
                </c:pt>
                <c:pt idx="49">
                  <c:v>1.6428800535467103</c:v>
                </c:pt>
                <c:pt idx="50">
                  <c:v>1.5748033751254678</c:v>
                </c:pt>
                <c:pt idx="51">
                  <c:v>1.5133428875947135</c:v>
                </c:pt>
                <c:pt idx="52">
                  <c:v>1.4579001918992971</c:v>
                </c:pt>
                <c:pt idx="53">
                  <c:v>1.4078482374057375</c:v>
                </c:pt>
                <c:pt idx="54">
                  <c:v>1.3625851213657625</c:v>
                </c:pt>
                <c:pt idx="55">
                  <c:v>1.3215584444011077</c:v>
                </c:pt>
                <c:pt idx="56">
                  <c:v>1.2842737446429706</c:v>
                </c:pt>
                <c:pt idx="57">
                  <c:v>1.2502946995621886</c:v>
                </c:pt>
                <c:pt idx="58">
                  <c:v>1.2192393728204127</c:v>
                </c:pt>
                <c:pt idx="59">
                  <c:v>1.1907748312749207</c:v>
                </c:pt>
                <c:pt idx="60">
                  <c:v>1.1646113567059417</c:v>
                </c:pt>
                <c:pt idx="61">
                  <c:v>1.140496864502047</c:v>
                </c:pt>
                <c:pt idx="62">
                  <c:v>1.1182118061628268</c:v>
                </c:pt>
                <c:pt idx="63">
                  <c:v>1.0975646529978911</c:v>
                </c:pt>
                <c:pt idx="64">
                  <c:v>1.0783879659759421</c:v>
                </c:pt>
                <c:pt idx="65">
                  <c:v>1.0605350123336386</c:v>
                </c:pt>
                <c:pt idx="66">
                  <c:v>1.0438768713069297</c:v>
                </c:pt>
                <c:pt idx="67">
                  <c:v>1.0282999668555644</c:v>
                </c:pt>
                <c:pt idx="68">
                  <c:v>1.0137039676399553</c:v>
                </c:pt>
                <c:pt idx="69">
                  <c:v>1</c:v>
                </c:pt>
                <c:pt idx="70">
                  <c:v>0.9248775837731108</c:v>
                </c:pt>
                <c:pt idx="71">
                  <c:v>0.87171013030791378</c:v>
                </c:pt>
                <c:pt idx="72">
                  <c:v>0.8317679840872253</c:v>
                </c:pt>
                <c:pt idx="73">
                  <c:v>0.80029976910742162</c:v>
                </c:pt>
                <c:pt idx="74">
                  <c:v>0.77452535688315916</c:v>
                </c:pt>
                <c:pt idx="75">
                  <c:v>0.75272386488392695</c:v>
                </c:pt>
                <c:pt idx="76">
                  <c:v>0.73378169196191756</c:v>
                </c:pt>
                <c:pt idx="77">
                  <c:v>0.71695212083513848</c:v>
                </c:pt>
                <c:pt idx="78">
                  <c:v>0.70171979637125559</c:v>
                </c:pt>
                <c:pt idx="79">
                  <c:v>0.68772053775691788</c:v>
                </c:pt>
                <c:pt idx="80">
                  <c:v>0.67469191662288797</c:v>
                </c:pt>
                <c:pt idx="81">
                  <c:v>0.6624417207487634</c:v>
                </c:pt>
                <c:pt idx="82">
                  <c:v>0.65082722151455918</c:v>
                </c:pt>
              </c:numCache>
            </c:numRef>
          </c:yVal>
          <c:smooth val="1"/>
          <c:extLst>
            <c:ext xmlns:c16="http://schemas.microsoft.com/office/drawing/2014/chart" uri="{C3380CC4-5D6E-409C-BE32-E72D297353CC}">
              <c16:uniqueId val="{00000002-6DE9-4B0A-8E5B-E524A2DC1134}"/>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RTC!$C$50:$CG$50</c:f>
              <c:numCache>
                <c:formatCode>General</c:formatCode>
                <c:ptCount val="83"/>
                <c:pt idx="0">
                  <c:v>2.1818182479920704E-8</c:v>
                </c:pt>
                <c:pt idx="1">
                  <c:v>1.2885285829841006E-3</c:v>
                </c:pt>
                <c:pt idx="2">
                  <c:v>3.2950119481721194E-3</c:v>
                </c:pt>
                <c:pt idx="3">
                  <c:v>6.2440144033623097E-3</c:v>
                </c:pt>
                <c:pt idx="4">
                  <c:v>1.0158553191859945E-2</c:v>
                </c:pt>
                <c:pt idx="5">
                  <c:v>1.5069602622699301E-2</c:v>
                </c:pt>
                <c:pt idx="6">
                  <c:v>2.1016704876682134E-2</c:v>
                </c:pt>
                <c:pt idx="7">
                  <c:v>2.8048768388947723E-2</c:v>
                </c:pt>
                <c:pt idx="8">
                  <c:v>3.6225083729408088E-2</c:v>
                </c:pt>
                <c:pt idx="9">
                  <c:v>4.5616596356075428E-2</c:v>
                </c:pt>
                <c:pt idx="10">
                  <c:v>5.6307487501055131E-2</c:v>
                </c:pt>
                <c:pt idx="11">
                  <c:v>6.83971296301875E-2</c:v>
                </c:pt>
                <c:pt idx="12">
                  <c:v>8.2002502564154742E-2</c:v>
                </c:pt>
                <c:pt idx="13">
                  <c:v>9.7261182059277002E-2</c:v>
                </c:pt>
                <c:pt idx="14">
                  <c:v>0.11433504662530793</c:v>
                </c:pt>
                <c:pt idx="15">
                  <c:v>0.13341489367348136</c:v>
                </c:pt>
                <c:pt idx="16">
                  <c:v>0.15472621704054584</c:v>
                </c:pt>
                <c:pt idx="17">
                  <c:v>0.17853648058534624</c:v>
                </c:pt>
                <c:pt idx="18">
                  <c:v>0.20516433548851423</c:v>
                </c:pt>
                <c:pt idx="19">
                  <c:v>0.23499138428974772</c:v>
                </c:pt>
                <c:pt idx="20">
                  <c:v>0.26847730985236462</c:v>
                </c:pt>
                <c:pt idx="21">
                  <c:v>0.30617948669159406</c:v>
                </c:pt>
                <c:pt idx="22">
                  <c:v>0.34877860915110864</c:v>
                </c:pt>
                <c:pt idx="23">
                  <c:v>0.39711245078414564</c:v>
                </c:pt>
                <c:pt idx="24">
                  <c:v>0.45222066752110879</c:v>
                </c:pt>
                <c:pt idx="25">
                  <c:v>0.51540462938092035</c:v>
                </c:pt>
                <c:pt idx="26">
                  <c:v>0.58830762840615813</c:v>
                </c:pt>
                <c:pt idx="27">
                  <c:v>0.67302232488870162</c:v>
                </c:pt>
                <c:pt idx="28">
                  <c:v>0.77223333712321429</c:v>
                </c:pt>
                <c:pt idx="29">
                  <c:v>0.88940146434470002</c:v>
                </c:pt>
                <c:pt idx="30">
                  <c:v>1.0289864824494521</c:v>
                </c:pt>
                <c:pt idx="31">
                  <c:v>1.1966724314094623</c:v>
                </c:pt>
                <c:pt idx="32">
                  <c:v>1.3994632574174968</c:v>
                </c:pt>
                <c:pt idx="33">
                  <c:v>1.6452628496952006</c:v>
                </c:pt>
                <c:pt idx="34">
                  <c:v>1.9409529095430136</c:v>
                </c:pt>
                <c:pt idx="35">
                  <c:v>2.286856711332343</c:v>
                </c:pt>
                <c:pt idx="36">
                  <c:v>2.664689739148864</c:v>
                </c:pt>
                <c:pt idx="37">
                  <c:v>3.0210297534050943</c:v>
                </c:pt>
                <c:pt idx="38">
                  <c:v>3.2681466330811526</c:v>
                </c:pt>
                <c:pt idx="39">
                  <c:v>3.3110252196145522</c:v>
                </c:pt>
                <c:pt idx="40">
                  <c:v>3.3156909367168934</c:v>
                </c:pt>
                <c:pt idx="41">
                  <c:v>3.165485129035889</c:v>
                </c:pt>
                <c:pt idx="42">
                  <c:v>2.9379147301897302</c:v>
                </c:pt>
                <c:pt idx="43">
                  <c:v>2.6956469422014004</c:v>
                </c:pt>
                <c:pt idx="44">
                  <c:v>2.4705166769883413</c:v>
                </c:pt>
                <c:pt idx="45">
                  <c:v>2.2731978578150067</c:v>
                </c:pt>
                <c:pt idx="46">
                  <c:v>2.1043137440172504</c:v>
                </c:pt>
                <c:pt idx="47">
                  <c:v>1.9607997258777867</c:v>
                </c:pt>
                <c:pt idx="48">
                  <c:v>1.8387414801727384</c:v>
                </c:pt>
                <c:pt idx="49">
                  <c:v>1.7344475901781762</c:v>
                </c:pt>
                <c:pt idx="50">
                  <c:v>1.6447671953798582</c:v>
                </c:pt>
                <c:pt idx="51">
                  <c:v>1.5671176092543677</c:v>
                </c:pt>
                <c:pt idx="52">
                  <c:v>1.4994159312519777</c:v>
                </c:pt>
                <c:pt idx="53">
                  <c:v>1.4399901776491046</c:v>
                </c:pt>
                <c:pt idx="54">
                  <c:v>1.3874966034904137</c:v>
                </c:pt>
                <c:pt idx="55">
                  <c:v>1.3408506390314692</c:v>
                </c:pt>
                <c:pt idx="56">
                  <c:v>1.2991717638123261</c:v>
                </c:pt>
                <c:pt idx="57">
                  <c:v>1.2617403838170929</c:v>
                </c:pt>
                <c:pt idx="58">
                  <c:v>1.2279643637936826</c:v>
                </c:pt>
                <c:pt idx="59">
                  <c:v>1.1973530893088902</c:v>
                </c:pt>
                <c:pt idx="60">
                  <c:v>1.1694973196907215</c:v>
                </c:pt>
                <c:pt idx="61">
                  <c:v>1.1440534718277999</c:v>
                </c:pt>
                <c:pt idx="62">
                  <c:v>1.1207312935183062</c:v>
                </c:pt>
                <c:pt idx="63">
                  <c:v>1.0992841366401696</c:v>
                </c:pt>
                <c:pt idx="64">
                  <c:v>1.0795012330280616</c:v>
                </c:pt>
                <c:pt idx="65">
                  <c:v>1.0612015212514392</c:v>
                </c:pt>
                <c:pt idx="66">
                  <c:v>1.0442286814174895</c:v>
                </c:pt>
                <c:pt idx="67">
                  <c:v>1.028447116660097</c:v>
                </c:pt>
                <c:pt idx="68">
                  <c:v>1.0137386810967635</c:v>
                </c:pt>
                <c:pt idx="69">
                  <c:v>1</c:v>
                </c:pt>
                <c:pt idx="70">
                  <c:v>0.9259862501827153</c:v>
                </c:pt>
                <c:pt idx="71">
                  <c:v>0.87515050886117685</c:v>
                </c:pt>
                <c:pt idx="72">
                  <c:v>0.83806761170528898</c:v>
                </c:pt>
                <c:pt idx="73">
                  <c:v>0.80972746125639039</c:v>
                </c:pt>
                <c:pt idx="74">
                  <c:v>0.78723671009002483</c:v>
                </c:pt>
                <c:pt idx="75">
                  <c:v>0.76881622259455229</c:v>
                </c:pt>
                <c:pt idx="76">
                  <c:v>0.75331704608022088</c:v>
                </c:pt>
                <c:pt idx="77">
                  <c:v>0.73996753261833481</c:v>
                </c:pt>
                <c:pt idx="78">
                  <c:v>0.72823262046716475</c:v>
                </c:pt>
                <c:pt idx="79">
                  <c:v>0.71773138144407611</c:v>
                </c:pt>
                <c:pt idx="80">
                  <c:v>0.70818658508753285</c:v>
                </c:pt>
                <c:pt idx="81">
                  <c:v>0.69939270288926503</c:v>
                </c:pt>
                <c:pt idx="82">
                  <c:v>0.69119496620994025</c:v>
                </c:pt>
              </c:numCache>
            </c:numRef>
          </c:yVal>
          <c:smooth val="1"/>
          <c:extLst>
            <c:ext xmlns:c16="http://schemas.microsoft.com/office/drawing/2014/chart" uri="{C3380CC4-5D6E-409C-BE32-E72D297353CC}">
              <c16:uniqueId val="{00000003-6DE9-4B0A-8E5B-E524A2DC1134}"/>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RTC!$C$67:$CG$67</c:f>
              <c:numCache>
                <c:formatCode>General</c:formatCode>
                <c:ptCount val="83"/>
                <c:pt idx="0">
                  <c:v>0.79284042553191492</c:v>
                </c:pt>
                <c:pt idx="1">
                  <c:v>0.79284042553191492</c:v>
                </c:pt>
                <c:pt idx="2">
                  <c:v>0.79284042553191492</c:v>
                </c:pt>
                <c:pt idx="3">
                  <c:v>0.79284042553191492</c:v>
                </c:pt>
                <c:pt idx="4">
                  <c:v>0.79284042553191492</c:v>
                </c:pt>
                <c:pt idx="5">
                  <c:v>0.79284042553191492</c:v>
                </c:pt>
                <c:pt idx="6">
                  <c:v>0.79284042553191492</c:v>
                </c:pt>
                <c:pt idx="7">
                  <c:v>0.79284042553191492</c:v>
                </c:pt>
                <c:pt idx="8">
                  <c:v>0.79284042553191492</c:v>
                </c:pt>
                <c:pt idx="9">
                  <c:v>0.79284042553191492</c:v>
                </c:pt>
                <c:pt idx="10">
                  <c:v>0.79284042553191492</c:v>
                </c:pt>
                <c:pt idx="11">
                  <c:v>0.79284042553191492</c:v>
                </c:pt>
                <c:pt idx="12">
                  <c:v>0.79284042553191492</c:v>
                </c:pt>
                <c:pt idx="13">
                  <c:v>0.79284042553191492</c:v>
                </c:pt>
                <c:pt idx="14">
                  <c:v>0.79284042553191492</c:v>
                </c:pt>
                <c:pt idx="15">
                  <c:v>0.79284042553191492</c:v>
                </c:pt>
                <c:pt idx="16">
                  <c:v>0.79284042553191492</c:v>
                </c:pt>
                <c:pt idx="17">
                  <c:v>0.79284042553191492</c:v>
                </c:pt>
                <c:pt idx="18">
                  <c:v>0.79284042553191492</c:v>
                </c:pt>
                <c:pt idx="19">
                  <c:v>0.79284042553191492</c:v>
                </c:pt>
                <c:pt idx="20">
                  <c:v>0.79284042553191492</c:v>
                </c:pt>
                <c:pt idx="21">
                  <c:v>0.79284042553191492</c:v>
                </c:pt>
                <c:pt idx="22">
                  <c:v>0.79284042553191492</c:v>
                </c:pt>
                <c:pt idx="23">
                  <c:v>0.79284042553191492</c:v>
                </c:pt>
                <c:pt idx="24">
                  <c:v>0.79284042553191492</c:v>
                </c:pt>
                <c:pt idx="25">
                  <c:v>0.79284042553191492</c:v>
                </c:pt>
                <c:pt idx="26">
                  <c:v>0.79284042553191492</c:v>
                </c:pt>
                <c:pt idx="27">
                  <c:v>0.79284042553191492</c:v>
                </c:pt>
                <c:pt idx="28">
                  <c:v>0.79284042553191492</c:v>
                </c:pt>
                <c:pt idx="29">
                  <c:v>0.79284042553191492</c:v>
                </c:pt>
                <c:pt idx="30">
                  <c:v>0.79284042553191492</c:v>
                </c:pt>
                <c:pt idx="31">
                  <c:v>0.79284042553191492</c:v>
                </c:pt>
                <c:pt idx="32">
                  <c:v>0.79284042553191492</c:v>
                </c:pt>
                <c:pt idx="33">
                  <c:v>0.79284042553191492</c:v>
                </c:pt>
                <c:pt idx="34">
                  <c:v>0.79284042553191492</c:v>
                </c:pt>
                <c:pt idx="35">
                  <c:v>0.79284042553191492</c:v>
                </c:pt>
                <c:pt idx="36">
                  <c:v>0.79284042553191492</c:v>
                </c:pt>
                <c:pt idx="37">
                  <c:v>0.79284042553191492</c:v>
                </c:pt>
                <c:pt idx="38">
                  <c:v>0.79284042553191492</c:v>
                </c:pt>
                <c:pt idx="39">
                  <c:v>0.79284042553191492</c:v>
                </c:pt>
                <c:pt idx="40">
                  <c:v>0.79284042553191492</c:v>
                </c:pt>
                <c:pt idx="41">
                  <c:v>0.79284042553191492</c:v>
                </c:pt>
                <c:pt idx="42">
                  <c:v>0.79284042553191492</c:v>
                </c:pt>
                <c:pt idx="43">
                  <c:v>0.79284042553191492</c:v>
                </c:pt>
                <c:pt idx="44">
                  <c:v>0.79284042553191492</c:v>
                </c:pt>
                <c:pt idx="45">
                  <c:v>0.79284042553191492</c:v>
                </c:pt>
                <c:pt idx="46">
                  <c:v>0.79284042553191492</c:v>
                </c:pt>
                <c:pt idx="47">
                  <c:v>0.79284042553191492</c:v>
                </c:pt>
                <c:pt idx="48">
                  <c:v>0.79284042553191492</c:v>
                </c:pt>
                <c:pt idx="49">
                  <c:v>0.79284042553191492</c:v>
                </c:pt>
                <c:pt idx="50">
                  <c:v>0.79284042553191492</c:v>
                </c:pt>
                <c:pt idx="51">
                  <c:v>0.79284042553191492</c:v>
                </c:pt>
                <c:pt idx="52">
                  <c:v>0.79284042553191492</c:v>
                </c:pt>
                <c:pt idx="53">
                  <c:v>0.79284042553191492</c:v>
                </c:pt>
                <c:pt idx="54">
                  <c:v>0.79284042553191492</c:v>
                </c:pt>
                <c:pt idx="55">
                  <c:v>0.79284042553191492</c:v>
                </c:pt>
                <c:pt idx="56">
                  <c:v>0.79284042553191492</c:v>
                </c:pt>
                <c:pt idx="57">
                  <c:v>0.79284042553191492</c:v>
                </c:pt>
                <c:pt idx="58">
                  <c:v>0.79284042553191492</c:v>
                </c:pt>
                <c:pt idx="59">
                  <c:v>0.79284042553191492</c:v>
                </c:pt>
                <c:pt idx="60">
                  <c:v>0.79284042553191492</c:v>
                </c:pt>
                <c:pt idx="61">
                  <c:v>0.79284042553191492</c:v>
                </c:pt>
                <c:pt idx="62">
                  <c:v>0.79284042553191492</c:v>
                </c:pt>
                <c:pt idx="63">
                  <c:v>0.79284042553191492</c:v>
                </c:pt>
                <c:pt idx="64">
                  <c:v>0.79284042553191492</c:v>
                </c:pt>
                <c:pt idx="65">
                  <c:v>0.79284042553191492</c:v>
                </c:pt>
                <c:pt idx="66">
                  <c:v>0.79284042553191492</c:v>
                </c:pt>
                <c:pt idx="67">
                  <c:v>0.79284042553191492</c:v>
                </c:pt>
                <c:pt idx="68">
                  <c:v>0.79284042553191492</c:v>
                </c:pt>
                <c:pt idx="69">
                  <c:v>0.79284042553191492</c:v>
                </c:pt>
                <c:pt idx="70">
                  <c:v>0.79284042553191492</c:v>
                </c:pt>
                <c:pt idx="71">
                  <c:v>0.79284042553191492</c:v>
                </c:pt>
                <c:pt idx="72">
                  <c:v>0.79284042553191492</c:v>
                </c:pt>
                <c:pt idx="73">
                  <c:v>0.79284042553191492</c:v>
                </c:pt>
                <c:pt idx="74">
                  <c:v>0.79284042553191492</c:v>
                </c:pt>
                <c:pt idx="75">
                  <c:v>0.79284042553191492</c:v>
                </c:pt>
                <c:pt idx="76">
                  <c:v>0.79284042553191492</c:v>
                </c:pt>
                <c:pt idx="77">
                  <c:v>0.79284042553191492</c:v>
                </c:pt>
                <c:pt idx="78">
                  <c:v>0.79284042553191492</c:v>
                </c:pt>
                <c:pt idx="79">
                  <c:v>0.79284042553191492</c:v>
                </c:pt>
                <c:pt idx="80">
                  <c:v>0.79284042553191492</c:v>
                </c:pt>
                <c:pt idx="81">
                  <c:v>0.79284042553191492</c:v>
                </c:pt>
                <c:pt idx="82">
                  <c:v>0.79284042553191492</c:v>
                </c:pt>
              </c:numCache>
            </c:numRef>
          </c:yVal>
          <c:smooth val="1"/>
          <c:extLst>
            <c:ext xmlns:c16="http://schemas.microsoft.com/office/drawing/2014/chart" uri="{C3380CC4-5D6E-409C-BE32-E72D297353CC}">
              <c16:uniqueId val="{00000004-6DE9-4B0A-8E5B-E524A2DC1134}"/>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RTC!$C$69:$CG$69</c:f>
              <c:numCache>
                <c:formatCode>General</c:formatCode>
                <c:ptCount val="83"/>
                <c:pt idx="0">
                  <c:v>0.91549326621053717</c:v>
                </c:pt>
                <c:pt idx="1">
                  <c:v>0.91549326621053717</c:v>
                </c:pt>
                <c:pt idx="2">
                  <c:v>0.91549326621053717</c:v>
                </c:pt>
                <c:pt idx="3">
                  <c:v>0.91549326621053717</c:v>
                </c:pt>
                <c:pt idx="4">
                  <c:v>0.91549326621053717</c:v>
                </c:pt>
                <c:pt idx="5">
                  <c:v>0.91549326621053717</c:v>
                </c:pt>
                <c:pt idx="6">
                  <c:v>0.91549326621053717</c:v>
                </c:pt>
                <c:pt idx="7">
                  <c:v>0.91549326621053717</c:v>
                </c:pt>
                <c:pt idx="8">
                  <c:v>0.91549326621053717</c:v>
                </c:pt>
                <c:pt idx="9">
                  <c:v>0.91549326621053717</c:v>
                </c:pt>
                <c:pt idx="10">
                  <c:v>0.91549326621053717</c:v>
                </c:pt>
                <c:pt idx="11">
                  <c:v>0.91549326621053717</c:v>
                </c:pt>
                <c:pt idx="12">
                  <c:v>0.91549326621053717</c:v>
                </c:pt>
                <c:pt idx="13">
                  <c:v>0.91549326621053717</c:v>
                </c:pt>
                <c:pt idx="14">
                  <c:v>0.91549326621053717</c:v>
                </c:pt>
                <c:pt idx="15">
                  <c:v>0.91549326621053717</c:v>
                </c:pt>
                <c:pt idx="16">
                  <c:v>0.91549326621053717</c:v>
                </c:pt>
                <c:pt idx="17">
                  <c:v>0.91549326621053717</c:v>
                </c:pt>
                <c:pt idx="18">
                  <c:v>0.91549326621053717</c:v>
                </c:pt>
                <c:pt idx="19">
                  <c:v>0.91549326621053717</c:v>
                </c:pt>
                <c:pt idx="20">
                  <c:v>0.91549326621053717</c:v>
                </c:pt>
                <c:pt idx="21">
                  <c:v>0.91549326621053717</c:v>
                </c:pt>
                <c:pt idx="22">
                  <c:v>0.91549326621053717</c:v>
                </c:pt>
                <c:pt idx="23">
                  <c:v>0.91549326621053717</c:v>
                </c:pt>
                <c:pt idx="24">
                  <c:v>0.91549326621053717</c:v>
                </c:pt>
                <c:pt idx="25">
                  <c:v>0.91549326621053717</c:v>
                </c:pt>
                <c:pt idx="26">
                  <c:v>0.91549326621053717</c:v>
                </c:pt>
                <c:pt idx="27">
                  <c:v>0.91549326621053717</c:v>
                </c:pt>
                <c:pt idx="28">
                  <c:v>0.91549326621053717</c:v>
                </c:pt>
                <c:pt idx="29">
                  <c:v>0.91549326621053717</c:v>
                </c:pt>
                <c:pt idx="30">
                  <c:v>0.91549326621053717</c:v>
                </c:pt>
                <c:pt idx="31">
                  <c:v>0.91549326621053717</c:v>
                </c:pt>
                <c:pt idx="32">
                  <c:v>0.91549326621053717</c:v>
                </c:pt>
                <c:pt idx="33">
                  <c:v>0.91549326621053717</c:v>
                </c:pt>
                <c:pt idx="34">
                  <c:v>0.91549326621053717</c:v>
                </c:pt>
                <c:pt idx="35">
                  <c:v>0.91549326621053717</c:v>
                </c:pt>
                <c:pt idx="36">
                  <c:v>0.91549326621053717</c:v>
                </c:pt>
                <c:pt idx="37">
                  <c:v>0.91549326621053717</c:v>
                </c:pt>
                <c:pt idx="38">
                  <c:v>0.91549326621053717</c:v>
                </c:pt>
                <c:pt idx="39">
                  <c:v>0.91549326621053717</c:v>
                </c:pt>
                <c:pt idx="40">
                  <c:v>0.91549326621053717</c:v>
                </c:pt>
                <c:pt idx="41">
                  <c:v>0.91549326621053717</c:v>
                </c:pt>
                <c:pt idx="42">
                  <c:v>0.91549326621053717</c:v>
                </c:pt>
                <c:pt idx="43">
                  <c:v>0.91549326621053717</c:v>
                </c:pt>
                <c:pt idx="44">
                  <c:v>0.91549326621053717</c:v>
                </c:pt>
                <c:pt idx="45">
                  <c:v>0.91549326621053717</c:v>
                </c:pt>
                <c:pt idx="46">
                  <c:v>0.91549326621053717</c:v>
                </c:pt>
                <c:pt idx="47">
                  <c:v>0.91549326621053717</c:v>
                </c:pt>
                <c:pt idx="48">
                  <c:v>0.91549326621053717</c:v>
                </c:pt>
                <c:pt idx="49">
                  <c:v>0.91549326621053717</c:v>
                </c:pt>
                <c:pt idx="50">
                  <c:v>0.91549326621053717</c:v>
                </c:pt>
                <c:pt idx="51">
                  <c:v>0.91549326621053717</c:v>
                </c:pt>
                <c:pt idx="52">
                  <c:v>0.91549326621053717</c:v>
                </c:pt>
                <c:pt idx="53">
                  <c:v>0.91549326621053717</c:v>
                </c:pt>
                <c:pt idx="54">
                  <c:v>0.91549326621053717</c:v>
                </c:pt>
                <c:pt idx="55">
                  <c:v>0.91549326621053717</c:v>
                </c:pt>
                <c:pt idx="56">
                  <c:v>0.91549326621053717</c:v>
                </c:pt>
                <c:pt idx="57">
                  <c:v>0.91549326621053717</c:v>
                </c:pt>
                <c:pt idx="58">
                  <c:v>0.91549326621053717</c:v>
                </c:pt>
                <c:pt idx="59">
                  <c:v>0.91549326621053717</c:v>
                </c:pt>
                <c:pt idx="60">
                  <c:v>0.91549326621053717</c:v>
                </c:pt>
                <c:pt idx="61">
                  <c:v>0.91549326621053717</c:v>
                </c:pt>
                <c:pt idx="62">
                  <c:v>0.91549326621053717</c:v>
                </c:pt>
                <c:pt idx="63">
                  <c:v>0.91549326621053717</c:v>
                </c:pt>
                <c:pt idx="64">
                  <c:v>0.91549326621053717</c:v>
                </c:pt>
                <c:pt idx="65">
                  <c:v>0.91549326621053717</c:v>
                </c:pt>
                <c:pt idx="66">
                  <c:v>0.91549326621053717</c:v>
                </c:pt>
                <c:pt idx="67">
                  <c:v>0.91549326621053717</c:v>
                </c:pt>
                <c:pt idx="68">
                  <c:v>0.91549326621053717</c:v>
                </c:pt>
                <c:pt idx="69">
                  <c:v>0.91549326621053717</c:v>
                </c:pt>
                <c:pt idx="70">
                  <c:v>0.91549326621053717</c:v>
                </c:pt>
                <c:pt idx="71">
                  <c:v>0.91549326621053717</c:v>
                </c:pt>
                <c:pt idx="72">
                  <c:v>0.91549326621053717</c:v>
                </c:pt>
                <c:pt idx="73">
                  <c:v>0.91549326621053717</c:v>
                </c:pt>
                <c:pt idx="74">
                  <c:v>0.91549326621053717</c:v>
                </c:pt>
                <c:pt idx="75">
                  <c:v>0.91549326621053717</c:v>
                </c:pt>
                <c:pt idx="76">
                  <c:v>0.91549326621053717</c:v>
                </c:pt>
                <c:pt idx="77">
                  <c:v>0.91549326621053717</c:v>
                </c:pt>
                <c:pt idx="78">
                  <c:v>0.91549326621053717</c:v>
                </c:pt>
                <c:pt idx="79">
                  <c:v>0.91549326621053717</c:v>
                </c:pt>
                <c:pt idx="80">
                  <c:v>0.91549326621053717</c:v>
                </c:pt>
                <c:pt idx="81">
                  <c:v>0.91549326621053717</c:v>
                </c:pt>
                <c:pt idx="82">
                  <c:v>0.91549326621053717</c:v>
                </c:pt>
              </c:numCache>
            </c:numRef>
          </c:yVal>
          <c:smooth val="1"/>
          <c:extLst>
            <c:ext xmlns:c16="http://schemas.microsoft.com/office/drawing/2014/chart" uri="{C3380CC4-5D6E-409C-BE32-E72D297353CC}">
              <c16:uniqueId val="{00000005-6DE9-4B0A-8E5B-E524A2DC1134}"/>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RTC!$C$70:$CG$70</c:f>
              <c:numCache>
                <c:formatCode>General</c:formatCode>
                <c:ptCount val="83"/>
                <c:pt idx="0">
                  <c:v>1.12124568258489</c:v>
                </c:pt>
                <c:pt idx="1">
                  <c:v>1.12124568258489</c:v>
                </c:pt>
                <c:pt idx="2">
                  <c:v>1.12124568258489</c:v>
                </c:pt>
                <c:pt idx="3">
                  <c:v>1.12124568258489</c:v>
                </c:pt>
                <c:pt idx="4">
                  <c:v>1.12124568258489</c:v>
                </c:pt>
                <c:pt idx="5">
                  <c:v>1.12124568258489</c:v>
                </c:pt>
                <c:pt idx="6">
                  <c:v>1.12124568258489</c:v>
                </c:pt>
                <c:pt idx="7">
                  <c:v>1.12124568258489</c:v>
                </c:pt>
                <c:pt idx="8">
                  <c:v>1.12124568258489</c:v>
                </c:pt>
                <c:pt idx="9">
                  <c:v>1.12124568258489</c:v>
                </c:pt>
                <c:pt idx="10">
                  <c:v>1.12124568258489</c:v>
                </c:pt>
                <c:pt idx="11">
                  <c:v>1.12124568258489</c:v>
                </c:pt>
                <c:pt idx="12">
                  <c:v>1.12124568258489</c:v>
                </c:pt>
                <c:pt idx="13">
                  <c:v>1.12124568258489</c:v>
                </c:pt>
                <c:pt idx="14">
                  <c:v>1.12124568258489</c:v>
                </c:pt>
                <c:pt idx="15">
                  <c:v>1.12124568258489</c:v>
                </c:pt>
                <c:pt idx="16">
                  <c:v>1.12124568258489</c:v>
                </c:pt>
                <c:pt idx="17">
                  <c:v>1.12124568258489</c:v>
                </c:pt>
                <c:pt idx="18">
                  <c:v>1.12124568258489</c:v>
                </c:pt>
                <c:pt idx="19">
                  <c:v>1.12124568258489</c:v>
                </c:pt>
                <c:pt idx="20">
                  <c:v>1.12124568258489</c:v>
                </c:pt>
                <c:pt idx="21">
                  <c:v>1.12124568258489</c:v>
                </c:pt>
                <c:pt idx="22">
                  <c:v>1.12124568258489</c:v>
                </c:pt>
                <c:pt idx="23">
                  <c:v>1.12124568258489</c:v>
                </c:pt>
                <c:pt idx="24">
                  <c:v>1.12124568258489</c:v>
                </c:pt>
                <c:pt idx="25">
                  <c:v>1.12124568258489</c:v>
                </c:pt>
                <c:pt idx="26">
                  <c:v>1.12124568258489</c:v>
                </c:pt>
                <c:pt idx="27">
                  <c:v>1.12124568258489</c:v>
                </c:pt>
                <c:pt idx="28">
                  <c:v>1.12124568258489</c:v>
                </c:pt>
                <c:pt idx="29">
                  <c:v>1.12124568258489</c:v>
                </c:pt>
                <c:pt idx="30">
                  <c:v>1.12124568258489</c:v>
                </c:pt>
                <c:pt idx="31">
                  <c:v>1.12124568258489</c:v>
                </c:pt>
                <c:pt idx="32">
                  <c:v>1.12124568258489</c:v>
                </c:pt>
                <c:pt idx="33">
                  <c:v>1.12124568258489</c:v>
                </c:pt>
                <c:pt idx="34">
                  <c:v>1.12124568258489</c:v>
                </c:pt>
                <c:pt idx="35">
                  <c:v>1.12124568258489</c:v>
                </c:pt>
                <c:pt idx="36">
                  <c:v>1.12124568258489</c:v>
                </c:pt>
                <c:pt idx="37">
                  <c:v>1.12124568258489</c:v>
                </c:pt>
                <c:pt idx="38">
                  <c:v>1.12124568258489</c:v>
                </c:pt>
                <c:pt idx="39">
                  <c:v>1.12124568258489</c:v>
                </c:pt>
                <c:pt idx="40">
                  <c:v>1.12124568258489</c:v>
                </c:pt>
                <c:pt idx="41">
                  <c:v>1.12124568258489</c:v>
                </c:pt>
                <c:pt idx="42">
                  <c:v>1.12124568258489</c:v>
                </c:pt>
                <c:pt idx="43">
                  <c:v>1.12124568258489</c:v>
                </c:pt>
                <c:pt idx="44">
                  <c:v>1.12124568258489</c:v>
                </c:pt>
                <c:pt idx="45">
                  <c:v>1.12124568258489</c:v>
                </c:pt>
                <c:pt idx="46">
                  <c:v>1.12124568258489</c:v>
                </c:pt>
                <c:pt idx="47">
                  <c:v>1.12124568258489</c:v>
                </c:pt>
                <c:pt idx="48">
                  <c:v>1.12124568258489</c:v>
                </c:pt>
                <c:pt idx="49">
                  <c:v>1.12124568258489</c:v>
                </c:pt>
                <c:pt idx="50">
                  <c:v>1.12124568258489</c:v>
                </c:pt>
                <c:pt idx="51">
                  <c:v>1.12124568258489</c:v>
                </c:pt>
                <c:pt idx="52">
                  <c:v>1.12124568258489</c:v>
                </c:pt>
                <c:pt idx="53">
                  <c:v>1.12124568258489</c:v>
                </c:pt>
                <c:pt idx="54">
                  <c:v>1.12124568258489</c:v>
                </c:pt>
                <c:pt idx="55">
                  <c:v>1.12124568258489</c:v>
                </c:pt>
                <c:pt idx="56">
                  <c:v>1.12124568258489</c:v>
                </c:pt>
                <c:pt idx="57">
                  <c:v>1.12124568258489</c:v>
                </c:pt>
                <c:pt idx="58">
                  <c:v>1.12124568258489</c:v>
                </c:pt>
                <c:pt idx="59">
                  <c:v>1.12124568258489</c:v>
                </c:pt>
                <c:pt idx="60">
                  <c:v>1.12124568258489</c:v>
                </c:pt>
                <c:pt idx="61">
                  <c:v>1.12124568258489</c:v>
                </c:pt>
                <c:pt idx="62">
                  <c:v>1.12124568258489</c:v>
                </c:pt>
                <c:pt idx="63">
                  <c:v>1.12124568258489</c:v>
                </c:pt>
                <c:pt idx="64">
                  <c:v>1.12124568258489</c:v>
                </c:pt>
                <c:pt idx="65">
                  <c:v>1.12124568258489</c:v>
                </c:pt>
                <c:pt idx="66">
                  <c:v>1.12124568258489</c:v>
                </c:pt>
                <c:pt idx="67">
                  <c:v>1.12124568258489</c:v>
                </c:pt>
                <c:pt idx="68">
                  <c:v>1.12124568258489</c:v>
                </c:pt>
                <c:pt idx="69">
                  <c:v>1.12124568258489</c:v>
                </c:pt>
                <c:pt idx="70">
                  <c:v>1.12124568258489</c:v>
                </c:pt>
                <c:pt idx="71">
                  <c:v>1.12124568258489</c:v>
                </c:pt>
                <c:pt idx="72">
                  <c:v>1.12124568258489</c:v>
                </c:pt>
                <c:pt idx="73">
                  <c:v>1.12124568258489</c:v>
                </c:pt>
                <c:pt idx="74">
                  <c:v>1.12124568258489</c:v>
                </c:pt>
                <c:pt idx="75">
                  <c:v>1.12124568258489</c:v>
                </c:pt>
                <c:pt idx="76">
                  <c:v>1.12124568258489</c:v>
                </c:pt>
                <c:pt idx="77">
                  <c:v>1.12124568258489</c:v>
                </c:pt>
                <c:pt idx="78">
                  <c:v>1.12124568258489</c:v>
                </c:pt>
                <c:pt idx="79">
                  <c:v>1.12124568258489</c:v>
                </c:pt>
                <c:pt idx="80">
                  <c:v>1.12124568258489</c:v>
                </c:pt>
                <c:pt idx="81">
                  <c:v>1.12124568258489</c:v>
                </c:pt>
                <c:pt idx="82">
                  <c:v>1.12124568258489</c:v>
                </c:pt>
              </c:numCache>
            </c:numRef>
          </c:yVal>
          <c:smooth val="1"/>
          <c:extLst>
            <c:ext xmlns:c16="http://schemas.microsoft.com/office/drawing/2014/chart" uri="{C3380CC4-5D6E-409C-BE32-E72D297353CC}">
              <c16:uniqueId val="{00000006-6DE9-4B0A-8E5B-E524A2DC1134}"/>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1921.5837087114464</c:v>
                </c:pt>
                <c:pt idx="39">
                  <c:v>6.499999999999007</c:v>
                </c:pt>
                <c:pt idx="40">
                  <c:v>3.2529106029008803</c:v>
                </c:pt>
                <c:pt idx="41">
                  <c:v>2.4982667258847973</c:v>
                </c:pt>
                <c:pt idx="42">
                  <c:v>2.1257309304031207</c:v>
                </c:pt>
                <c:pt idx="43">
                  <c:v>1.8960339956097945</c:v>
                </c:pt>
                <c:pt idx="44">
                  <c:v>1.7376131616797115</c:v>
                </c:pt>
                <c:pt idx="45">
                  <c:v>1.6206354136476369</c:v>
                </c:pt>
                <c:pt idx="46">
                  <c:v>1.5301841113520063</c:v>
                </c:pt>
                <c:pt idx="47">
                  <c:v>1.4578754741100259</c:v>
                </c:pt>
                <c:pt idx="48">
                  <c:v>1.3985939180008431</c:v>
                </c:pt>
                <c:pt idx="49">
                  <c:v>1.3490213172523273</c:v>
                </c:pt>
                <c:pt idx="50">
                  <c:v>1.3069011244615849</c:v>
                </c:pt>
                <c:pt idx="51">
                  <c:v>1.2706396576782892</c:v>
                </c:pt>
                <c:pt idx="52">
                  <c:v>1.2390760932765092</c:v>
                </c:pt>
                <c:pt idx="53">
                  <c:v>1.2113428740117067</c:v>
                </c:pt>
                <c:pt idx="54">
                  <c:v>1.1867773590313537</c:v>
                </c:pt>
                <c:pt idx="55">
                  <c:v>1.1648638953701158</c:v>
                </c:pt>
                <c:pt idx="56">
                  <c:v>1.1451946731274369</c:v>
                </c:pt>
                <c:pt idx="57">
                  <c:v>1.1274425752841599</c:v>
                </c:pt>
                <c:pt idx="58">
                  <c:v>1.1113419135083229</c:v>
                </c:pt>
                <c:pt idx="59">
                  <c:v>1.0966744827478272</c:v>
                </c:pt>
                <c:pt idx="60">
                  <c:v>1.0832592849365161</c:v>
                </c:pt>
                <c:pt idx="61">
                  <c:v>1.0709448350980926</c:v>
                </c:pt>
                <c:pt idx="62">
                  <c:v>1.0596033179556184</c:v>
                </c:pt>
                <c:pt idx="63">
                  <c:v>1.0491260922331147</c:v>
                </c:pt>
                <c:pt idx="64">
                  <c:v>1.0394201909627108</c:v>
                </c:pt>
                <c:pt idx="65">
                  <c:v>1.0304055677788071</c:v>
                </c:pt>
                <c:pt idx="66">
                  <c:v>1.022012908801389</c:v>
                </c:pt>
                <c:pt idx="67">
                  <c:v>1.0141818781648655</c:v>
                </c:pt>
                <c:pt idx="68">
                  <c:v>1.0068596994765564</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6DE9-4B0A-8E5B-E524A2DC1134}"/>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RTC!$C$31:$CG$31</c:f>
              <c:numCache>
                <c:formatCode>General</c:formatCode>
                <c:ptCount val="83"/>
                <c:pt idx="0">
                  <c:v>0.68571428571428572</c:v>
                </c:pt>
                <c:pt idx="1">
                  <c:v>0.68571428571428572</c:v>
                </c:pt>
                <c:pt idx="2">
                  <c:v>0.68571428571428572</c:v>
                </c:pt>
                <c:pt idx="3">
                  <c:v>0.68571428571428572</c:v>
                </c:pt>
                <c:pt idx="4">
                  <c:v>0.68571428571428572</c:v>
                </c:pt>
                <c:pt idx="5">
                  <c:v>0.68571428571428572</c:v>
                </c:pt>
                <c:pt idx="6">
                  <c:v>0.68571428571428572</c:v>
                </c:pt>
                <c:pt idx="7">
                  <c:v>0.68571428571428572</c:v>
                </c:pt>
                <c:pt idx="8">
                  <c:v>0.68571428571428572</c:v>
                </c:pt>
                <c:pt idx="9">
                  <c:v>0.68571428571428572</c:v>
                </c:pt>
                <c:pt idx="10">
                  <c:v>0.68571428571428572</c:v>
                </c:pt>
                <c:pt idx="11">
                  <c:v>0.68571428571428572</c:v>
                </c:pt>
                <c:pt idx="12">
                  <c:v>0.68571428571428572</c:v>
                </c:pt>
                <c:pt idx="13">
                  <c:v>0.68571428571428572</c:v>
                </c:pt>
                <c:pt idx="14">
                  <c:v>0.68571428571428572</c:v>
                </c:pt>
                <c:pt idx="15">
                  <c:v>0.68571428571428572</c:v>
                </c:pt>
                <c:pt idx="16">
                  <c:v>0.68571428571428572</c:v>
                </c:pt>
                <c:pt idx="17">
                  <c:v>0.68571428571428572</c:v>
                </c:pt>
                <c:pt idx="18">
                  <c:v>0.68571428571428572</c:v>
                </c:pt>
                <c:pt idx="19">
                  <c:v>0.68571428571428572</c:v>
                </c:pt>
                <c:pt idx="20">
                  <c:v>0.68571428571428572</c:v>
                </c:pt>
                <c:pt idx="21">
                  <c:v>0.68571428571428572</c:v>
                </c:pt>
                <c:pt idx="22">
                  <c:v>0.68571428571428572</c:v>
                </c:pt>
                <c:pt idx="23">
                  <c:v>0.68571428571428572</c:v>
                </c:pt>
                <c:pt idx="24">
                  <c:v>0.68571428571428572</c:v>
                </c:pt>
                <c:pt idx="25">
                  <c:v>0.68571428571428572</c:v>
                </c:pt>
                <c:pt idx="26">
                  <c:v>0.68571428571428572</c:v>
                </c:pt>
                <c:pt idx="27">
                  <c:v>0.68571428571428572</c:v>
                </c:pt>
                <c:pt idx="28">
                  <c:v>0.68571428571428572</c:v>
                </c:pt>
                <c:pt idx="29">
                  <c:v>0.68571428571428572</c:v>
                </c:pt>
                <c:pt idx="30">
                  <c:v>0.68571428571428572</c:v>
                </c:pt>
                <c:pt idx="31">
                  <c:v>0.68571428571428572</c:v>
                </c:pt>
                <c:pt idx="32">
                  <c:v>0.68571428571428572</c:v>
                </c:pt>
                <c:pt idx="33">
                  <c:v>0.68571428571428572</c:v>
                </c:pt>
                <c:pt idx="34">
                  <c:v>0.68571428571428572</c:v>
                </c:pt>
                <c:pt idx="35">
                  <c:v>0.68571428571428572</c:v>
                </c:pt>
                <c:pt idx="36">
                  <c:v>0.68571428571428572</c:v>
                </c:pt>
                <c:pt idx="37">
                  <c:v>0.68571428571428572</c:v>
                </c:pt>
                <c:pt idx="38">
                  <c:v>0.68571428571428572</c:v>
                </c:pt>
                <c:pt idx="39">
                  <c:v>0.68571428571428572</c:v>
                </c:pt>
                <c:pt idx="40">
                  <c:v>0.68571428571428572</c:v>
                </c:pt>
                <c:pt idx="41">
                  <c:v>0.68571428571428572</c:v>
                </c:pt>
                <c:pt idx="42">
                  <c:v>0.68571428571428572</c:v>
                </c:pt>
                <c:pt idx="43">
                  <c:v>0.68571428571428572</c:v>
                </c:pt>
                <c:pt idx="44">
                  <c:v>0.68571428571428572</c:v>
                </c:pt>
                <c:pt idx="45">
                  <c:v>0.68571428571428572</c:v>
                </c:pt>
                <c:pt idx="46">
                  <c:v>0.68571428571428572</c:v>
                </c:pt>
                <c:pt idx="47">
                  <c:v>0.68571428571428572</c:v>
                </c:pt>
                <c:pt idx="48">
                  <c:v>0.68571428571428572</c:v>
                </c:pt>
                <c:pt idx="49">
                  <c:v>0.68571428571428572</c:v>
                </c:pt>
                <c:pt idx="50">
                  <c:v>0.68571428571428572</c:v>
                </c:pt>
                <c:pt idx="51">
                  <c:v>0.68571428571428572</c:v>
                </c:pt>
                <c:pt idx="52">
                  <c:v>0.68571428571428572</c:v>
                </c:pt>
                <c:pt idx="53">
                  <c:v>0.68571428571428572</c:v>
                </c:pt>
                <c:pt idx="54">
                  <c:v>0.68571428571428572</c:v>
                </c:pt>
                <c:pt idx="55">
                  <c:v>0.68571428571428572</c:v>
                </c:pt>
                <c:pt idx="56">
                  <c:v>0.68571428571428572</c:v>
                </c:pt>
                <c:pt idx="57">
                  <c:v>0.68571428571428572</c:v>
                </c:pt>
                <c:pt idx="58">
                  <c:v>0.68571428571428572</c:v>
                </c:pt>
                <c:pt idx="59">
                  <c:v>0.68571428571428572</c:v>
                </c:pt>
                <c:pt idx="60">
                  <c:v>0.68571428571428572</c:v>
                </c:pt>
                <c:pt idx="61">
                  <c:v>0.68571428571428572</c:v>
                </c:pt>
                <c:pt idx="62">
                  <c:v>0.68571428571428572</c:v>
                </c:pt>
                <c:pt idx="63">
                  <c:v>0.68571428571428572</c:v>
                </c:pt>
                <c:pt idx="64">
                  <c:v>0.68571428571428572</c:v>
                </c:pt>
                <c:pt idx="65">
                  <c:v>0.68571428571428572</c:v>
                </c:pt>
                <c:pt idx="66">
                  <c:v>0.68571428571428572</c:v>
                </c:pt>
                <c:pt idx="67">
                  <c:v>0.68571428571428572</c:v>
                </c:pt>
                <c:pt idx="68">
                  <c:v>0.68571428571428572</c:v>
                </c:pt>
                <c:pt idx="69">
                  <c:v>0.68571428571428572</c:v>
                </c:pt>
                <c:pt idx="70">
                  <c:v>0.68571428571428572</c:v>
                </c:pt>
                <c:pt idx="71">
                  <c:v>0.68571428571428572</c:v>
                </c:pt>
                <c:pt idx="72">
                  <c:v>0.68571428571428572</c:v>
                </c:pt>
                <c:pt idx="73">
                  <c:v>0.68571428571428572</c:v>
                </c:pt>
                <c:pt idx="74">
                  <c:v>0.68571428571428572</c:v>
                </c:pt>
                <c:pt idx="75">
                  <c:v>0.68571428571428572</c:v>
                </c:pt>
                <c:pt idx="76">
                  <c:v>0.68571428571428572</c:v>
                </c:pt>
                <c:pt idx="77">
                  <c:v>0.68571428571428572</c:v>
                </c:pt>
                <c:pt idx="78">
                  <c:v>0.68571428571428572</c:v>
                </c:pt>
                <c:pt idx="79">
                  <c:v>0.68571428571428572</c:v>
                </c:pt>
                <c:pt idx="80">
                  <c:v>0.68571428571428572</c:v>
                </c:pt>
                <c:pt idx="81">
                  <c:v>0.68571428571428572</c:v>
                </c:pt>
                <c:pt idx="82">
                  <c:v>0.68571428571428572</c:v>
                </c:pt>
              </c:numCache>
            </c:numRef>
          </c:yVal>
          <c:smooth val="1"/>
          <c:extLst>
            <c:ext xmlns:c16="http://schemas.microsoft.com/office/drawing/2014/chart" uri="{C3380CC4-5D6E-409C-BE32-E72D297353CC}">
              <c16:uniqueId val="{00000008-6DE9-4B0A-8E5B-E524A2DC1134}"/>
            </c:ext>
          </c:extLst>
        </c:ser>
        <c:dLbls>
          <c:showLegendKey val="0"/>
          <c:showVal val="0"/>
          <c:showCatName val="0"/>
          <c:showSerName val="0"/>
          <c:showPercent val="0"/>
          <c:showBubbleSize val="0"/>
        </c:dLbls>
        <c:axId val="51239639"/>
        <c:axId val="12301910"/>
      </c:scatterChart>
      <c:valAx>
        <c:axId val="51239639"/>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2301910"/>
        <c:crosses val="autoZero"/>
        <c:crossBetween val="midCat"/>
        <c:majorUnit val="1"/>
        <c:minorUnit val="1"/>
      </c:valAx>
      <c:valAx>
        <c:axId val="12301910"/>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1239639"/>
        <c:crosses val="autoZero"/>
        <c:crossBetween val="midCat"/>
      </c:valAx>
      <c:spPr>
        <a:noFill/>
        <a:ln w="0">
          <a:noFill/>
        </a:ln>
      </c:spPr>
    </c:plotArea>
    <c:legend>
      <c:legendPos val="r"/>
      <c:layout>
        <c:manualLayout>
          <c:xMode val="edge"/>
          <c:yMode val="edge"/>
          <c:x val="0.65216113502583095"/>
          <c:y val="0.169142867158386"/>
          <c:w val="0.26800419091369598"/>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a:t>
            </a:r>
          </a:p>
        </c:rich>
      </c:tx>
      <c:layout>
        <c:manualLayout>
          <c:xMode val="edge"/>
          <c:yMode val="edge"/>
          <c:x val="0.161437482543525"/>
          <c:y val="2.3242982274639602E-2"/>
        </c:manualLayout>
      </c:layout>
      <c:overlay val="0"/>
      <c:spPr>
        <a:noFill/>
        <a:ln w="0">
          <a:noFill/>
        </a:ln>
      </c:spPr>
    </c:title>
    <c:autoTitleDeleted val="0"/>
    <c:plotArea>
      <c:layout>
        <c:manualLayout>
          <c:layoutTarget val="inner"/>
          <c:xMode val="edge"/>
          <c:yMode val="edge"/>
          <c:x val="0.12536076715389599"/>
          <c:y val="0.141802882957445"/>
          <c:w val="0.82627315892374997"/>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RTC!$C$28:$CG$28</c:f>
              <c:numCache>
                <c:formatCode>General</c:formatCode>
                <c:ptCount val="83"/>
                <c:pt idx="0">
                  <c:v>2.1818182512396718E-8</c:v>
                </c:pt>
                <c:pt idx="1">
                  <c:v>1.2886419367458453E-3</c:v>
                </c:pt>
                <c:pt idx="2">
                  <c:v>3.2957540508757933E-3</c:v>
                </c:pt>
                <c:pt idx="3">
                  <c:v>6.2466838217803949E-3</c:v>
                </c:pt>
                <c:pt idx="4">
                  <c:v>1.0165634844491057E-2</c:v>
                </c:pt>
                <c:pt idx="5">
                  <c:v>1.5085230808885637E-2</c:v>
                </c:pt>
                <c:pt idx="6">
                  <c:v>2.104720710419164E-2</c:v>
                </c:pt>
                <c:pt idx="7">
                  <c:v>2.8103319587713758E-2</c:v>
                </c:pt>
                <c:pt idx="8">
                  <c:v>3.6316508449383139E-2</c:v>
                </c:pt>
                <c:pt idx="9">
                  <c:v>4.5762367743434479E-2</c:v>
                </c:pt>
                <c:pt idx="10">
                  <c:v>5.6530987448607108E-2</c:v>
                </c:pt>
                <c:pt idx="11">
                  <c:v>6.8729256295102084E-2</c:v>
                </c:pt>
                <c:pt idx="12">
                  <c:v>8.2483742085161724E-2</c:v>
                </c:pt>
                <c:pt idx="13">
                  <c:v>9.7944304735298124E-2</c:v>
                </c:pt>
                <c:pt idx="14">
                  <c:v>0.11528864999952876</c:v>
                </c:pt>
                <c:pt idx="15">
                  <c:v>0.1347281050187448</c:v>
                </c:pt>
                <c:pt idx="16">
                  <c:v>0.15651499980883612</c:v>
                </c:pt>
                <c:pt idx="17">
                  <c:v>0.18095218575415503</c:v>
                </c:pt>
                <c:pt idx="18">
                  <c:v>0.20840543512238516</c:v>
                </c:pt>
                <c:pt idx="19">
                  <c:v>0.23931977930378859</c:v>
                </c:pt>
                <c:pt idx="20">
                  <c:v>0.27424131386312434</c:v>
                </c:pt>
                <c:pt idx="21">
                  <c:v>0.31384671772931005</c:v>
                </c:pt>
                <c:pt idx="22">
                  <c:v>0.3589838574142431</c:v>
                </c:pt>
                <c:pt idx="23">
                  <c:v>0.41072864448862639</c:v>
                </c:pt>
                <c:pt idx="24">
                  <c:v>0.47046626668653735</c:v>
                </c:pt>
                <c:pt idx="25">
                  <c:v>0.54000990781304037</c:v>
                </c:pt>
                <c:pt idx="26">
                  <c:v>0.62177881033586746</c:v>
                </c:pt>
                <c:pt idx="27">
                  <c:v>0.71907341857608231</c:v>
                </c:pt>
                <c:pt idx="28">
                  <c:v>0.83651551018079373</c:v>
                </c:pt>
                <c:pt idx="29">
                  <c:v>0.98078153994784389</c:v>
                </c:pt>
                <c:pt idx="30">
                  <c:v>1.1618855338834528</c:v>
                </c:pt>
                <c:pt idx="31">
                  <c:v>1.3955605407023011</c:v>
                </c:pt>
                <c:pt idx="32">
                  <c:v>1.70801881699095</c:v>
                </c:pt>
                <c:pt idx="33">
                  <c:v>2.1464163817304032</c:v>
                </c:pt>
                <c:pt idx="34">
                  <c:v>2.8049873938594398</c:v>
                </c:pt>
                <c:pt idx="35">
                  <c:v>3.9033273688464369</c:v>
                </c:pt>
                <c:pt idx="36">
                  <c:v>6.098718634915044</c:v>
                </c:pt>
                <c:pt idx="37">
                  <c:v>12.659566924581251</c:v>
                </c:pt>
                <c:pt idx="38">
                  <c:v>1921.5837087114464</c:v>
                </c:pt>
                <c:pt idx="39">
                  <c:v>42.249999999987104</c:v>
                </c:pt>
                <c:pt idx="40">
                  <c:v>10.581427390464974</c:v>
                </c:pt>
                <c:pt idx="41">
                  <c:v>6.2413366336631526</c:v>
                </c:pt>
                <c:pt idx="42">
                  <c:v>4.5187319884725161</c:v>
                </c:pt>
                <c:pt idx="43">
                  <c:v>3.5949449125080415</c:v>
                </c:pt>
                <c:pt idx="44">
                  <c:v>3.0192994996425648</c:v>
                </c:pt>
                <c:pt idx="45">
                  <c:v>2.6264591439688467</c:v>
                </c:pt>
                <c:pt idx="46">
                  <c:v>2.3414634146341284</c:v>
                </c:pt>
                <c:pt idx="47">
                  <c:v>2.1254008980115326</c:v>
                </c:pt>
                <c:pt idx="48">
                  <c:v>1.9560649474689491</c:v>
                </c:pt>
                <c:pt idx="49">
                  <c:v>1.8198585144012047</c:v>
                </c:pt>
                <c:pt idx="50">
                  <c:v>1.7079905491189553</c:v>
                </c:pt>
                <c:pt idx="51">
                  <c:v>1.6145251396647997</c:v>
                </c:pt>
                <c:pt idx="52">
                  <c:v>1.5353095649293769</c:v>
                </c:pt>
                <c:pt idx="53">
                  <c:v>1.4673515584189416</c:v>
                </c:pt>
                <c:pt idx="54">
                  <c:v>1.4084404999094342</c:v>
                </c:pt>
                <c:pt idx="55">
                  <c:v>1.35690789473684</c:v>
                </c:pt>
                <c:pt idx="56">
                  <c:v>1.3114708393594574</c:v>
                </c:pt>
                <c:pt idx="57">
                  <c:v>1.2711267605633787</c:v>
                </c:pt>
                <c:pt idx="58">
                  <c:v>1.2350808487203404</c:v>
                </c:pt>
                <c:pt idx="59">
                  <c:v>1.2026949211102145</c:v>
                </c:pt>
                <c:pt idx="60">
                  <c:v>1.1734506784011727</c:v>
                </c:pt>
                <c:pt idx="61">
                  <c:v>1.1469228398232809</c:v>
                </c:pt>
                <c:pt idx="62">
                  <c:v>1.1227591914225556</c:v>
                </c:pt>
                <c:pt idx="63">
                  <c:v>1.1006655574043258</c:v>
                </c:pt>
                <c:pt idx="64">
                  <c:v>1.080394333380958</c:v>
                </c:pt>
                <c:pt idx="65">
                  <c:v>1.0617356341095658</c:v>
                </c:pt>
                <c:pt idx="66">
                  <c:v>1.0445103857566764</c:v>
                </c:pt>
                <c:pt idx="67">
                  <c:v>1.0285648819980142</c:v>
                </c:pt>
                <c:pt idx="68">
                  <c:v>1.0137664544300213</c:v>
                </c:pt>
                <c:pt idx="69">
                  <c:v>1</c:v>
                </c:pt>
                <c:pt idx="70">
                  <c:v>0.92687605964801134</c:v>
                </c:pt>
                <c:pt idx="71">
                  <c:v>0.87793233473094412</c:v>
                </c:pt>
                <c:pt idx="72">
                  <c:v>0.8432116897802775</c:v>
                </c:pt>
                <c:pt idx="73">
                  <c:v>0.81751431221486071</c:v>
                </c:pt>
                <c:pt idx="74">
                  <c:v>0.79786908756308172</c:v>
                </c:pt>
                <c:pt idx="75">
                  <c:v>0.78246071684854068</c:v>
                </c:pt>
                <c:pt idx="76">
                  <c:v>0.7701209595806876</c:v>
                </c:pt>
                <c:pt idx="77">
                  <c:v>0.76006613168945525</c:v>
                </c:pt>
                <c:pt idx="78">
                  <c:v>0.75175235378607119</c:v>
                </c:pt>
                <c:pt idx="79">
                  <c:v>0.74479131918510189</c:v>
                </c:pt>
                <c:pt idx="80">
                  <c:v>0.73889904941593587</c:v>
                </c:pt>
                <c:pt idx="81">
                  <c:v>0.73386352963092394</c:v>
                </c:pt>
                <c:pt idx="82">
                  <c:v>0.72952360451323239</c:v>
                </c:pt>
              </c:numCache>
            </c:numRef>
          </c:yVal>
          <c:smooth val="1"/>
          <c:extLst>
            <c:ext xmlns:c16="http://schemas.microsoft.com/office/drawing/2014/chart" uri="{C3380CC4-5D6E-409C-BE32-E72D297353CC}">
              <c16:uniqueId val="{00000000-2583-45F5-8A92-A301CDEADA0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RTC!$C$47:$CG$47</c:f>
              <c:numCache>
                <c:formatCode>General</c:formatCode>
                <c:ptCount val="83"/>
                <c:pt idx="0">
                  <c:v>2.1818182382492675E-8</c:v>
                </c:pt>
                <c:pt idx="1">
                  <c:v>1.2881887010930794E-3</c:v>
                </c:pt>
                <c:pt idx="2">
                  <c:v>3.2927886442313385E-3</c:v>
                </c:pt>
                <c:pt idx="3">
                  <c:v>6.2360266346062031E-3</c:v>
                </c:pt>
                <c:pt idx="4">
                  <c:v>1.0137396704165301E-2</c:v>
                </c:pt>
                <c:pt idx="5">
                  <c:v>1.5023007895528954E-2</c:v>
                </c:pt>
                <c:pt idx="6">
                  <c:v>2.0925987778792478E-2</c:v>
                </c:pt>
                <c:pt idx="7">
                  <c:v>2.7887001276361342E-2</c:v>
                </c:pt>
                <c:pt idx="8">
                  <c:v>3.5954897539339017E-2</c:v>
                </c:pt>
                <c:pt idx="9">
                  <c:v>4.5187500817546217E-2</c:v>
                </c:pt>
                <c:pt idx="10">
                  <c:v>5.5652564835327163E-2</c:v>
                </c:pt>
                <c:pt idx="11">
                  <c:v>6.7428914152122668E-2</c:v>
                </c:pt>
                <c:pt idx="12">
                  <c:v>8.0607800331455051E-2</c:v>
                </c:pt>
                <c:pt idx="13">
                  <c:v>9.5294505365001059E-2</c:v>
                </c:pt>
                <c:pt idx="14">
                  <c:v>0.11161022945863958</c:v>
                </c:pt>
                <c:pt idx="15">
                  <c:v>0.12969430450041747</c:v>
                </c:pt>
                <c:pt idx="16">
                  <c:v>0.14970677740192706</c:v>
                </c:pt>
                <c:pt idx="17">
                  <c:v>0.17183140745740369</c:v>
                </c:pt>
                <c:pt idx="18">
                  <c:v>0.19627911619524036</c:v>
                </c:pt>
                <c:pt idx="19">
                  <c:v>0.22329191235764032</c:v>
                </c:pt>
                <c:pt idx="20">
                  <c:v>0.25314728109657647</c:v>
                </c:pt>
                <c:pt idx="21">
                  <c:v>0.28616296286546417</c:v>
                </c:pt>
                <c:pt idx="22">
                  <c:v>0.32270193381356715</c:v>
                </c:pt>
                <c:pt idx="23">
                  <c:v>0.36317720380577329</c:v>
                </c:pt>
                <c:pt idx="24">
                  <c:v>0.40805572039200749</c:v>
                </c:pt>
                <c:pt idx="25">
                  <c:v>0.45786013065995684</c:v>
                </c:pt>
                <c:pt idx="26">
                  <c:v>0.51316629609248432</c:v>
                </c:pt>
                <c:pt idx="27">
                  <c:v>0.57459312657902117</c:v>
                </c:pt>
                <c:pt idx="28">
                  <c:v>0.64277932160959372</c:v>
                </c:pt>
                <c:pt idx="29">
                  <c:v>0.71833884691119299</c:v>
                </c:pt>
                <c:pt idx="30">
                  <c:v>0.80178354597124124</c:v>
                </c:pt>
                <c:pt idx="31">
                  <c:v>0.89339801137383779</c:v>
                </c:pt>
                <c:pt idx="32">
                  <c:v>0.99305115057053139</c:v>
                </c:pt>
                <c:pt idx="33">
                  <c:v>1.0999361156437204</c:v>
                </c:pt>
                <c:pt idx="34">
                  <c:v>1.2122544795938535</c:v>
                </c:pt>
                <c:pt idx="35">
                  <c:v>1.3269116345880969</c:v>
                </c:pt>
                <c:pt idx="36">
                  <c:v>1.4393666612797296</c:v>
                </c:pt>
                <c:pt idx="37">
                  <c:v>1.5438437181055409</c:v>
                </c:pt>
                <c:pt idx="38">
                  <c:v>1.634075089047597</c:v>
                </c:pt>
                <c:pt idx="39">
                  <c:v>1.6593385553953328</c:v>
                </c:pt>
                <c:pt idx="40">
                  <c:v>1.7224809596753172</c:v>
                </c:pt>
                <c:pt idx="41">
                  <c:v>1.7617858065342098</c:v>
                </c:pt>
                <c:pt idx="42">
                  <c:v>1.7775007606476596</c:v>
                </c:pt>
                <c:pt idx="43">
                  <c:v>1.7723770936820213</c:v>
                </c:pt>
                <c:pt idx="44">
                  <c:v>1.7506688032071991</c:v>
                </c:pt>
                <c:pt idx="45">
                  <c:v>1.7170352094878036</c:v>
                </c:pt>
                <c:pt idx="46">
                  <c:v>1.6757354437264311</c:v>
                </c:pt>
                <c:pt idx="47">
                  <c:v>1.6302254633798372</c:v>
                </c:pt>
                <c:pt idx="48">
                  <c:v>1.5830741957458498</c:v>
                </c:pt>
                <c:pt idx="49">
                  <c:v>1.5360596375513149</c:v>
                </c:pt>
                <c:pt idx="50">
                  <c:v>1.4903324554146884</c:v>
                </c:pt>
                <c:pt idx="51">
                  <c:v>1.446581713956461</c:v>
                </c:pt>
                <c:pt idx="52">
                  <c:v>1.4051745142564538</c:v>
                </c:pt>
                <c:pt idx="53">
                  <c:v>1.3662628198799427</c:v>
                </c:pt>
                <c:pt idx="54">
                  <c:v>1.329860503810347</c:v>
                </c:pt>
                <c:pt idx="55">
                  <c:v>1.2958967576600455</c:v>
                </c:pt>
                <c:pt idx="56">
                  <c:v>1.2642520414530216</c:v>
                </c:pt>
                <c:pt idx="57">
                  <c:v>1.2347816882910965</c:v>
                </c:pt>
                <c:pt idx="58">
                  <c:v>1.2073310266874606</c:v>
                </c:pt>
                <c:pt idx="59">
                  <c:v>1.1817447922027622</c:v>
                </c:pt>
                <c:pt idx="60">
                  <c:v>1.1578727557635651</c:v>
                </c:pt>
                <c:pt idx="61">
                  <c:v>1.1355728820271946</c:v>
                </c:pt>
                <c:pt idx="62">
                  <c:v>1.1147129003379874</c:v>
                </c:pt>
                <c:pt idx="63">
                  <c:v>1.0951708751382412</c:v>
                </c:pt>
                <c:pt idx="64">
                  <c:v>1.0768351626045636</c:v>
                </c:pt>
                <c:pt idx="65">
                  <c:v>1.0596040061373857</c:v>
                </c:pt>
                <c:pt idx="66">
                  <c:v>1.0433849339971508</c:v>
                </c:pt>
                <c:pt idx="67">
                  <c:v>1.0280940632015909</c:v>
                </c:pt>
                <c:pt idx="68">
                  <c:v>1.0136553747908899</c:v>
                </c:pt>
                <c:pt idx="69">
                  <c:v>1</c:v>
                </c:pt>
                <c:pt idx="70">
                  <c:v>0.92333211953700123</c:v>
                </c:pt>
                <c:pt idx="71">
                  <c:v>0.86696105834124759</c:v>
                </c:pt>
                <c:pt idx="72">
                  <c:v>0.82318248090522994</c:v>
                </c:pt>
                <c:pt idx="73">
                  <c:v>0.78763759103387965</c:v>
                </c:pt>
                <c:pt idx="74">
                  <c:v>0.75772129315258452</c:v>
                </c:pt>
                <c:pt idx="75">
                  <c:v>0.73180269010084442</c:v>
                </c:pt>
                <c:pt idx="76">
                  <c:v>0.70882081816335396</c:v>
                </c:pt>
                <c:pt idx="77">
                  <c:v>0.68806311613752202</c:v>
                </c:pt>
                <c:pt idx="78">
                  <c:v>0.66903798029635431</c:v>
                </c:pt>
                <c:pt idx="79">
                  <c:v>0.65139830863734394</c:v>
                </c:pt>
                <c:pt idx="80">
                  <c:v>0.63489396113171548</c:v>
                </c:pt>
                <c:pt idx="81">
                  <c:v>0.61934128252039466</c:v>
                </c:pt>
                <c:pt idx="82">
                  <c:v>0.60460304808045218</c:v>
                </c:pt>
              </c:numCache>
            </c:numRef>
          </c:yVal>
          <c:smooth val="1"/>
          <c:extLst>
            <c:ext xmlns:c16="http://schemas.microsoft.com/office/drawing/2014/chart" uri="{C3380CC4-5D6E-409C-BE32-E72D297353CC}">
              <c16:uniqueId val="{00000001-2583-45F5-8A92-A301CDEADA0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RTC!$C$49:$CG$49</c:f>
              <c:numCache>
                <c:formatCode>General</c:formatCode>
                <c:ptCount val="83"/>
                <c:pt idx="0">
                  <c:v>2.1818182439325691E-8</c:v>
                </c:pt>
                <c:pt idx="1">
                  <c:v>1.288386932838223E-3</c:v>
                </c:pt>
                <c:pt idx="2">
                  <c:v>3.294085024357045E-3</c:v>
                </c:pt>
                <c:pt idx="3">
                  <c:v>6.2406824378399874E-3</c:v>
                </c:pt>
                <c:pt idx="4">
                  <c:v>1.0149721903320651E-2</c:v>
                </c:pt>
                <c:pt idx="5">
                  <c:v>1.5050135523851146E-2</c:v>
                </c:pt>
                <c:pt idx="6">
                  <c:v>2.0978762930202923E-2</c:v>
                </c:pt>
                <c:pt idx="7">
                  <c:v>2.7981024024538607E-2</c:v>
                </c:pt>
                <c:pt idx="8">
                  <c:v>3.6111767932241016E-2</c:v>
                </c:pt>
                <c:pt idx="9">
                  <c:v>4.5436326096875805E-2</c:v>
                </c:pt>
                <c:pt idx="10">
                  <c:v>5.6031805097773321E-2</c:v>
                </c:pt>
                <c:pt idx="11">
                  <c:v>6.7988664131966317E-2</c:v>
                </c:pt>
                <c:pt idx="12">
                  <c:v>8.1412633661487821E-2</c:v>
                </c:pt>
                <c:pt idx="13">
                  <c:v>9.6427046070027292E-2</c:v>
                </c:pt>
                <c:pt idx="14">
                  <c:v>0.11317566700622338</c:v>
                </c:pt>
                <c:pt idx="15">
                  <c:v>0.13182613823889974</c:v>
                </c:pt>
                <c:pt idx="16">
                  <c:v>0.15257417021874703</c:v>
                </c:pt>
                <c:pt idx="17">
                  <c:v>0.17564865601082363</c:v>
                </c:pt>
                <c:pt idx="18">
                  <c:v>0.20131791842768321</c:v>
                </c:pt>
                <c:pt idx="19">
                  <c:v>0.22989734881129481</c:v>
                </c:pt>
                <c:pt idx="20">
                  <c:v>0.26175874677386279</c:v>
                </c:pt>
                <c:pt idx="21">
                  <c:v>0.29734171889440625</c:v>
                </c:pt>
                <c:pt idx="22">
                  <c:v>0.33716752587048926</c:v>
                </c:pt>
                <c:pt idx="23">
                  <c:v>0.38185574987982207</c:v>
                </c:pt>
                <c:pt idx="24">
                  <c:v>0.4321440215917321</c:v>
                </c:pt>
                <c:pt idx="25">
                  <c:v>0.48891067008148426</c:v>
                </c:pt>
                <c:pt idx="26">
                  <c:v>0.55319928820362751</c:v>
                </c:pt>
                <c:pt idx="27">
                  <c:v>0.62624236450510695</c:v>
                </c:pt>
                <c:pt idx="28">
                  <c:v>0.70947743818119835</c:v>
                </c:pt>
                <c:pt idx="29">
                  <c:v>0.80454211618310545</c:v>
                </c:pt>
                <c:pt idx="30">
                  <c:v>0.91322115987396457</c:v>
                </c:pt>
                <c:pt idx="31">
                  <c:v>1.0372960664446651</c:v>
                </c:pt>
                <c:pt idx="32">
                  <c:v>1.1782121374140366</c:v>
                </c:pt>
                <c:pt idx="33">
                  <c:v>1.3364349780829285</c:v>
                </c:pt>
                <c:pt idx="34">
                  <c:v>1.5103522672564342</c:v>
                </c:pt>
                <c:pt idx="35">
                  <c:v>1.6946933621753784</c:v>
                </c:pt>
                <c:pt idx="36">
                  <c:v>1.8788872930725196</c:v>
                </c:pt>
                <c:pt idx="37">
                  <c:v>2.0466553898913227</c:v>
                </c:pt>
                <c:pt idx="38">
                  <c:v>2.1787661726775815</c:v>
                </c:pt>
                <c:pt idx="39">
                  <c:v>2.2111254628172508</c:v>
                </c:pt>
                <c:pt idx="40">
                  <c:v>2.2733341619235317</c:v>
                </c:pt>
                <c:pt idx="41">
                  <c:v>2.2794758156576145</c:v>
                </c:pt>
                <c:pt idx="42">
                  <c:v>2.2390917769355321</c:v>
                </c:pt>
                <c:pt idx="43">
                  <c:v>2.1671764851446023</c:v>
                </c:pt>
                <c:pt idx="44">
                  <c:v>2.0782664827564985</c:v>
                </c:pt>
                <c:pt idx="45">
                  <c:v>1.9833491584035789</c:v>
                </c:pt>
                <c:pt idx="46">
                  <c:v>1.8894370266624958</c:v>
                </c:pt>
                <c:pt idx="47">
                  <c:v>1.8004036122547353</c:v>
                </c:pt>
                <c:pt idx="48">
                  <c:v>1.7180362951962087</c:v>
                </c:pt>
                <c:pt idx="49">
                  <c:v>1.6428800535467103</c:v>
                </c:pt>
                <c:pt idx="50">
                  <c:v>1.5748033751254678</c:v>
                </c:pt>
                <c:pt idx="51">
                  <c:v>1.5133428875947135</c:v>
                </c:pt>
                <c:pt idx="52">
                  <c:v>1.4579001918992971</c:v>
                </c:pt>
                <c:pt idx="53">
                  <c:v>1.4078482374057375</c:v>
                </c:pt>
                <c:pt idx="54">
                  <c:v>1.3625851213657625</c:v>
                </c:pt>
                <c:pt idx="55">
                  <c:v>1.3215584444011077</c:v>
                </c:pt>
                <c:pt idx="56">
                  <c:v>1.2842737446429706</c:v>
                </c:pt>
                <c:pt idx="57">
                  <c:v>1.2502946995621886</c:v>
                </c:pt>
                <c:pt idx="58">
                  <c:v>1.2192393728204127</c:v>
                </c:pt>
                <c:pt idx="59">
                  <c:v>1.1907748312749207</c:v>
                </c:pt>
                <c:pt idx="60">
                  <c:v>1.1646113567059417</c:v>
                </c:pt>
                <c:pt idx="61">
                  <c:v>1.140496864502047</c:v>
                </c:pt>
                <c:pt idx="62">
                  <c:v>1.1182118061628268</c:v>
                </c:pt>
                <c:pt idx="63">
                  <c:v>1.0975646529978911</c:v>
                </c:pt>
                <c:pt idx="64">
                  <c:v>1.0783879659759421</c:v>
                </c:pt>
                <c:pt idx="65">
                  <c:v>1.0605350123336386</c:v>
                </c:pt>
                <c:pt idx="66">
                  <c:v>1.0438768713069297</c:v>
                </c:pt>
                <c:pt idx="67">
                  <c:v>1.0282999668555644</c:v>
                </c:pt>
                <c:pt idx="68">
                  <c:v>1.0137039676399553</c:v>
                </c:pt>
                <c:pt idx="69">
                  <c:v>1</c:v>
                </c:pt>
                <c:pt idx="70">
                  <c:v>0.9248775837731108</c:v>
                </c:pt>
                <c:pt idx="71">
                  <c:v>0.87171013030791378</c:v>
                </c:pt>
                <c:pt idx="72">
                  <c:v>0.8317679840872253</c:v>
                </c:pt>
                <c:pt idx="73">
                  <c:v>0.80029976910742162</c:v>
                </c:pt>
                <c:pt idx="74">
                  <c:v>0.77452535688315916</c:v>
                </c:pt>
                <c:pt idx="75">
                  <c:v>0.75272386488392695</c:v>
                </c:pt>
                <c:pt idx="76">
                  <c:v>0.73378169196191756</c:v>
                </c:pt>
                <c:pt idx="77">
                  <c:v>0.71695212083513848</c:v>
                </c:pt>
                <c:pt idx="78">
                  <c:v>0.70171979637125559</c:v>
                </c:pt>
                <c:pt idx="79">
                  <c:v>0.68772053775691788</c:v>
                </c:pt>
                <c:pt idx="80">
                  <c:v>0.67469191662288797</c:v>
                </c:pt>
                <c:pt idx="81">
                  <c:v>0.6624417207487634</c:v>
                </c:pt>
                <c:pt idx="82">
                  <c:v>0.65082722151455918</c:v>
                </c:pt>
              </c:numCache>
            </c:numRef>
          </c:yVal>
          <c:smooth val="1"/>
          <c:extLst>
            <c:ext xmlns:c16="http://schemas.microsoft.com/office/drawing/2014/chart" uri="{C3380CC4-5D6E-409C-BE32-E72D297353CC}">
              <c16:uniqueId val="{00000002-2583-45F5-8A92-A301CDEADA0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RTC!$C$50:$CG$50</c:f>
              <c:numCache>
                <c:formatCode>General</c:formatCode>
                <c:ptCount val="83"/>
                <c:pt idx="0">
                  <c:v>2.1818182479920704E-8</c:v>
                </c:pt>
                <c:pt idx="1">
                  <c:v>1.2885285829841006E-3</c:v>
                </c:pt>
                <c:pt idx="2">
                  <c:v>3.2950119481721194E-3</c:v>
                </c:pt>
                <c:pt idx="3">
                  <c:v>6.2440144033623097E-3</c:v>
                </c:pt>
                <c:pt idx="4">
                  <c:v>1.0158553191859945E-2</c:v>
                </c:pt>
                <c:pt idx="5">
                  <c:v>1.5069602622699301E-2</c:v>
                </c:pt>
                <c:pt idx="6">
                  <c:v>2.1016704876682134E-2</c:v>
                </c:pt>
                <c:pt idx="7">
                  <c:v>2.8048768388947723E-2</c:v>
                </c:pt>
                <c:pt idx="8">
                  <c:v>3.6225083729408088E-2</c:v>
                </c:pt>
                <c:pt idx="9">
                  <c:v>4.5616596356075428E-2</c:v>
                </c:pt>
                <c:pt idx="10">
                  <c:v>5.6307487501055131E-2</c:v>
                </c:pt>
                <c:pt idx="11">
                  <c:v>6.83971296301875E-2</c:v>
                </c:pt>
                <c:pt idx="12">
                  <c:v>8.2002502564154742E-2</c:v>
                </c:pt>
                <c:pt idx="13">
                  <c:v>9.7261182059277002E-2</c:v>
                </c:pt>
                <c:pt idx="14">
                  <c:v>0.11433504662530793</c:v>
                </c:pt>
                <c:pt idx="15">
                  <c:v>0.13341489367348136</c:v>
                </c:pt>
                <c:pt idx="16">
                  <c:v>0.15472621704054584</c:v>
                </c:pt>
                <c:pt idx="17">
                  <c:v>0.17853648058534624</c:v>
                </c:pt>
                <c:pt idx="18">
                  <c:v>0.20516433548851423</c:v>
                </c:pt>
                <c:pt idx="19">
                  <c:v>0.23499138428974772</c:v>
                </c:pt>
                <c:pt idx="20">
                  <c:v>0.26847730985236462</c:v>
                </c:pt>
                <c:pt idx="21">
                  <c:v>0.30617948669159406</c:v>
                </c:pt>
                <c:pt idx="22">
                  <c:v>0.34877860915110864</c:v>
                </c:pt>
                <c:pt idx="23">
                  <c:v>0.39711245078414564</c:v>
                </c:pt>
                <c:pt idx="24">
                  <c:v>0.45222066752110879</c:v>
                </c:pt>
                <c:pt idx="25">
                  <c:v>0.51540462938092035</c:v>
                </c:pt>
                <c:pt idx="26">
                  <c:v>0.58830762840615813</c:v>
                </c:pt>
                <c:pt idx="27">
                  <c:v>0.67302232488870162</c:v>
                </c:pt>
                <c:pt idx="28">
                  <c:v>0.77223333712321429</c:v>
                </c:pt>
                <c:pt idx="29">
                  <c:v>0.88940146434470002</c:v>
                </c:pt>
                <c:pt idx="30">
                  <c:v>1.0289864824494521</c:v>
                </c:pt>
                <c:pt idx="31">
                  <c:v>1.1966724314094623</c:v>
                </c:pt>
                <c:pt idx="32">
                  <c:v>1.3994632574174968</c:v>
                </c:pt>
                <c:pt idx="33">
                  <c:v>1.6452628496952006</c:v>
                </c:pt>
                <c:pt idx="34">
                  <c:v>1.9409529095430136</c:v>
                </c:pt>
                <c:pt idx="35">
                  <c:v>2.286856711332343</c:v>
                </c:pt>
                <c:pt idx="36">
                  <c:v>2.664689739148864</c:v>
                </c:pt>
                <c:pt idx="37">
                  <c:v>3.0210297534050943</c:v>
                </c:pt>
                <c:pt idx="38">
                  <c:v>3.2681466330811526</c:v>
                </c:pt>
                <c:pt idx="39">
                  <c:v>3.3110252196145522</c:v>
                </c:pt>
                <c:pt idx="40">
                  <c:v>3.3156909367168934</c:v>
                </c:pt>
                <c:pt idx="41">
                  <c:v>3.165485129035889</c:v>
                </c:pt>
                <c:pt idx="42">
                  <c:v>2.9379147301897302</c:v>
                </c:pt>
                <c:pt idx="43">
                  <c:v>2.6956469422014004</c:v>
                </c:pt>
                <c:pt idx="44">
                  <c:v>2.4705166769883413</c:v>
                </c:pt>
                <c:pt idx="45">
                  <c:v>2.2731978578150067</c:v>
                </c:pt>
                <c:pt idx="46">
                  <c:v>2.1043137440172504</c:v>
                </c:pt>
                <c:pt idx="47">
                  <c:v>1.9607997258777867</c:v>
                </c:pt>
                <c:pt idx="48">
                  <c:v>1.8387414801727384</c:v>
                </c:pt>
                <c:pt idx="49">
                  <c:v>1.7344475901781762</c:v>
                </c:pt>
                <c:pt idx="50">
                  <c:v>1.6447671953798582</c:v>
                </c:pt>
                <c:pt idx="51">
                  <c:v>1.5671176092543677</c:v>
                </c:pt>
                <c:pt idx="52">
                  <c:v>1.4994159312519777</c:v>
                </c:pt>
                <c:pt idx="53">
                  <c:v>1.4399901776491046</c:v>
                </c:pt>
                <c:pt idx="54">
                  <c:v>1.3874966034904137</c:v>
                </c:pt>
                <c:pt idx="55">
                  <c:v>1.3408506390314692</c:v>
                </c:pt>
                <c:pt idx="56">
                  <c:v>1.2991717638123261</c:v>
                </c:pt>
                <c:pt idx="57">
                  <c:v>1.2617403838170929</c:v>
                </c:pt>
                <c:pt idx="58">
                  <c:v>1.2279643637936826</c:v>
                </c:pt>
                <c:pt idx="59">
                  <c:v>1.1973530893088902</c:v>
                </c:pt>
                <c:pt idx="60">
                  <c:v>1.1694973196907215</c:v>
                </c:pt>
                <c:pt idx="61">
                  <c:v>1.1440534718277999</c:v>
                </c:pt>
                <c:pt idx="62">
                  <c:v>1.1207312935183062</c:v>
                </c:pt>
                <c:pt idx="63">
                  <c:v>1.0992841366401696</c:v>
                </c:pt>
                <c:pt idx="64">
                  <c:v>1.0795012330280616</c:v>
                </c:pt>
                <c:pt idx="65">
                  <c:v>1.0612015212514392</c:v>
                </c:pt>
                <c:pt idx="66">
                  <c:v>1.0442286814174895</c:v>
                </c:pt>
                <c:pt idx="67">
                  <c:v>1.028447116660097</c:v>
                </c:pt>
                <c:pt idx="68">
                  <c:v>1.0137386810967635</c:v>
                </c:pt>
                <c:pt idx="69">
                  <c:v>1</c:v>
                </c:pt>
                <c:pt idx="70">
                  <c:v>0.9259862501827153</c:v>
                </c:pt>
                <c:pt idx="71">
                  <c:v>0.87515050886117685</c:v>
                </c:pt>
                <c:pt idx="72">
                  <c:v>0.83806761170528898</c:v>
                </c:pt>
                <c:pt idx="73">
                  <c:v>0.80972746125639039</c:v>
                </c:pt>
                <c:pt idx="74">
                  <c:v>0.78723671009002483</c:v>
                </c:pt>
                <c:pt idx="75">
                  <c:v>0.76881622259455229</c:v>
                </c:pt>
                <c:pt idx="76">
                  <c:v>0.75331704608022088</c:v>
                </c:pt>
                <c:pt idx="77">
                  <c:v>0.73996753261833481</c:v>
                </c:pt>
                <c:pt idx="78">
                  <c:v>0.72823262046716475</c:v>
                </c:pt>
                <c:pt idx="79">
                  <c:v>0.71773138144407611</c:v>
                </c:pt>
                <c:pt idx="80">
                  <c:v>0.70818658508753285</c:v>
                </c:pt>
                <c:pt idx="81">
                  <c:v>0.69939270288926503</c:v>
                </c:pt>
                <c:pt idx="82">
                  <c:v>0.69119496620994025</c:v>
                </c:pt>
              </c:numCache>
            </c:numRef>
          </c:yVal>
          <c:smooth val="1"/>
          <c:extLst>
            <c:ext xmlns:c16="http://schemas.microsoft.com/office/drawing/2014/chart" uri="{C3380CC4-5D6E-409C-BE32-E72D297353CC}">
              <c16:uniqueId val="{00000003-2583-45F5-8A92-A301CDEADA0D}"/>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RTC!$C$67:$CG$67</c:f>
              <c:numCache>
                <c:formatCode>General</c:formatCode>
                <c:ptCount val="83"/>
                <c:pt idx="0">
                  <c:v>0.79284042553191492</c:v>
                </c:pt>
                <c:pt idx="1">
                  <c:v>0.79284042553191492</c:v>
                </c:pt>
                <c:pt idx="2">
                  <c:v>0.79284042553191492</c:v>
                </c:pt>
                <c:pt idx="3">
                  <c:v>0.79284042553191492</c:v>
                </c:pt>
                <c:pt idx="4">
                  <c:v>0.79284042553191492</c:v>
                </c:pt>
                <c:pt idx="5">
                  <c:v>0.79284042553191492</c:v>
                </c:pt>
                <c:pt idx="6">
                  <c:v>0.79284042553191492</c:v>
                </c:pt>
                <c:pt idx="7">
                  <c:v>0.79284042553191492</c:v>
                </c:pt>
                <c:pt idx="8">
                  <c:v>0.79284042553191492</c:v>
                </c:pt>
                <c:pt idx="9">
                  <c:v>0.79284042553191492</c:v>
                </c:pt>
                <c:pt idx="10">
                  <c:v>0.79284042553191492</c:v>
                </c:pt>
                <c:pt idx="11">
                  <c:v>0.79284042553191492</c:v>
                </c:pt>
                <c:pt idx="12">
                  <c:v>0.79284042553191492</c:v>
                </c:pt>
                <c:pt idx="13">
                  <c:v>0.79284042553191492</c:v>
                </c:pt>
                <c:pt idx="14">
                  <c:v>0.79284042553191492</c:v>
                </c:pt>
                <c:pt idx="15">
                  <c:v>0.79284042553191492</c:v>
                </c:pt>
                <c:pt idx="16">
                  <c:v>0.79284042553191492</c:v>
                </c:pt>
                <c:pt idx="17">
                  <c:v>0.79284042553191492</c:v>
                </c:pt>
                <c:pt idx="18">
                  <c:v>0.79284042553191492</c:v>
                </c:pt>
                <c:pt idx="19">
                  <c:v>0.79284042553191492</c:v>
                </c:pt>
                <c:pt idx="20">
                  <c:v>0.79284042553191492</c:v>
                </c:pt>
                <c:pt idx="21">
                  <c:v>0.79284042553191492</c:v>
                </c:pt>
                <c:pt idx="22">
                  <c:v>0.79284042553191492</c:v>
                </c:pt>
                <c:pt idx="23">
                  <c:v>0.79284042553191492</c:v>
                </c:pt>
                <c:pt idx="24">
                  <c:v>0.79284042553191492</c:v>
                </c:pt>
                <c:pt idx="25">
                  <c:v>0.79284042553191492</c:v>
                </c:pt>
                <c:pt idx="26">
                  <c:v>0.79284042553191492</c:v>
                </c:pt>
                <c:pt idx="27">
                  <c:v>0.79284042553191492</c:v>
                </c:pt>
                <c:pt idx="28">
                  <c:v>0.79284042553191492</c:v>
                </c:pt>
                <c:pt idx="29">
                  <c:v>0.79284042553191492</c:v>
                </c:pt>
                <c:pt idx="30">
                  <c:v>0.79284042553191492</c:v>
                </c:pt>
                <c:pt idx="31">
                  <c:v>0.79284042553191492</c:v>
                </c:pt>
                <c:pt idx="32">
                  <c:v>0.79284042553191492</c:v>
                </c:pt>
                <c:pt idx="33">
                  <c:v>0.79284042553191492</c:v>
                </c:pt>
                <c:pt idx="34">
                  <c:v>0.79284042553191492</c:v>
                </c:pt>
                <c:pt idx="35">
                  <c:v>0.79284042553191492</c:v>
                </c:pt>
                <c:pt idx="36">
                  <c:v>0.79284042553191492</c:v>
                </c:pt>
                <c:pt idx="37">
                  <c:v>0.79284042553191492</c:v>
                </c:pt>
                <c:pt idx="38">
                  <c:v>0.79284042553191492</c:v>
                </c:pt>
                <c:pt idx="39">
                  <c:v>0.79284042553191492</c:v>
                </c:pt>
                <c:pt idx="40">
                  <c:v>0.79284042553191492</c:v>
                </c:pt>
                <c:pt idx="41">
                  <c:v>0.79284042553191492</c:v>
                </c:pt>
                <c:pt idx="42">
                  <c:v>0.79284042553191492</c:v>
                </c:pt>
                <c:pt idx="43">
                  <c:v>0.79284042553191492</c:v>
                </c:pt>
                <c:pt idx="44">
                  <c:v>0.79284042553191492</c:v>
                </c:pt>
                <c:pt idx="45">
                  <c:v>0.79284042553191492</c:v>
                </c:pt>
                <c:pt idx="46">
                  <c:v>0.79284042553191492</c:v>
                </c:pt>
                <c:pt idx="47">
                  <c:v>0.79284042553191492</c:v>
                </c:pt>
                <c:pt idx="48">
                  <c:v>0.79284042553191492</c:v>
                </c:pt>
                <c:pt idx="49">
                  <c:v>0.79284042553191492</c:v>
                </c:pt>
                <c:pt idx="50">
                  <c:v>0.79284042553191492</c:v>
                </c:pt>
                <c:pt idx="51">
                  <c:v>0.79284042553191492</c:v>
                </c:pt>
                <c:pt idx="52">
                  <c:v>0.79284042553191492</c:v>
                </c:pt>
                <c:pt idx="53">
                  <c:v>0.79284042553191492</c:v>
                </c:pt>
                <c:pt idx="54">
                  <c:v>0.79284042553191492</c:v>
                </c:pt>
                <c:pt idx="55">
                  <c:v>0.79284042553191492</c:v>
                </c:pt>
                <c:pt idx="56">
                  <c:v>0.79284042553191492</c:v>
                </c:pt>
                <c:pt idx="57">
                  <c:v>0.79284042553191492</c:v>
                </c:pt>
                <c:pt idx="58">
                  <c:v>0.79284042553191492</c:v>
                </c:pt>
                <c:pt idx="59">
                  <c:v>0.79284042553191492</c:v>
                </c:pt>
                <c:pt idx="60">
                  <c:v>0.79284042553191492</c:v>
                </c:pt>
                <c:pt idx="61">
                  <c:v>0.79284042553191492</c:v>
                </c:pt>
                <c:pt idx="62">
                  <c:v>0.79284042553191492</c:v>
                </c:pt>
                <c:pt idx="63">
                  <c:v>0.79284042553191492</c:v>
                </c:pt>
                <c:pt idx="64">
                  <c:v>0.79284042553191492</c:v>
                </c:pt>
                <c:pt idx="65">
                  <c:v>0.79284042553191492</c:v>
                </c:pt>
                <c:pt idx="66">
                  <c:v>0.79284042553191492</c:v>
                </c:pt>
                <c:pt idx="67">
                  <c:v>0.79284042553191492</c:v>
                </c:pt>
                <c:pt idx="68">
                  <c:v>0.79284042553191492</c:v>
                </c:pt>
                <c:pt idx="69">
                  <c:v>0.79284042553191492</c:v>
                </c:pt>
                <c:pt idx="70">
                  <c:v>0.79284042553191492</c:v>
                </c:pt>
                <c:pt idx="71">
                  <c:v>0.79284042553191492</c:v>
                </c:pt>
                <c:pt idx="72">
                  <c:v>0.79284042553191492</c:v>
                </c:pt>
                <c:pt idx="73">
                  <c:v>0.79284042553191492</c:v>
                </c:pt>
                <c:pt idx="74">
                  <c:v>0.79284042553191492</c:v>
                </c:pt>
                <c:pt idx="75">
                  <c:v>0.79284042553191492</c:v>
                </c:pt>
                <c:pt idx="76">
                  <c:v>0.79284042553191492</c:v>
                </c:pt>
                <c:pt idx="77">
                  <c:v>0.79284042553191492</c:v>
                </c:pt>
                <c:pt idx="78">
                  <c:v>0.79284042553191492</c:v>
                </c:pt>
                <c:pt idx="79">
                  <c:v>0.79284042553191492</c:v>
                </c:pt>
                <c:pt idx="80">
                  <c:v>0.79284042553191492</c:v>
                </c:pt>
                <c:pt idx="81">
                  <c:v>0.79284042553191492</c:v>
                </c:pt>
                <c:pt idx="82">
                  <c:v>0.79284042553191492</c:v>
                </c:pt>
              </c:numCache>
            </c:numRef>
          </c:yVal>
          <c:smooth val="1"/>
          <c:extLst>
            <c:ext xmlns:c16="http://schemas.microsoft.com/office/drawing/2014/chart" uri="{C3380CC4-5D6E-409C-BE32-E72D297353CC}">
              <c16:uniqueId val="{00000004-2583-45F5-8A92-A301CDEADA0D}"/>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RTC!$C$69:$CG$69</c:f>
              <c:numCache>
                <c:formatCode>General</c:formatCode>
                <c:ptCount val="83"/>
                <c:pt idx="0">
                  <c:v>0.91549326621053717</c:v>
                </c:pt>
                <c:pt idx="1">
                  <c:v>0.91549326621053717</c:v>
                </c:pt>
                <c:pt idx="2">
                  <c:v>0.91549326621053717</c:v>
                </c:pt>
                <c:pt idx="3">
                  <c:v>0.91549326621053717</c:v>
                </c:pt>
                <c:pt idx="4">
                  <c:v>0.91549326621053717</c:v>
                </c:pt>
                <c:pt idx="5">
                  <c:v>0.91549326621053717</c:v>
                </c:pt>
                <c:pt idx="6">
                  <c:v>0.91549326621053717</c:v>
                </c:pt>
                <c:pt idx="7">
                  <c:v>0.91549326621053717</c:v>
                </c:pt>
                <c:pt idx="8">
                  <c:v>0.91549326621053717</c:v>
                </c:pt>
                <c:pt idx="9">
                  <c:v>0.91549326621053717</c:v>
                </c:pt>
                <c:pt idx="10">
                  <c:v>0.91549326621053717</c:v>
                </c:pt>
                <c:pt idx="11">
                  <c:v>0.91549326621053717</c:v>
                </c:pt>
                <c:pt idx="12">
                  <c:v>0.91549326621053717</c:v>
                </c:pt>
                <c:pt idx="13">
                  <c:v>0.91549326621053717</c:v>
                </c:pt>
                <c:pt idx="14">
                  <c:v>0.91549326621053717</c:v>
                </c:pt>
                <c:pt idx="15">
                  <c:v>0.91549326621053717</c:v>
                </c:pt>
                <c:pt idx="16">
                  <c:v>0.91549326621053717</c:v>
                </c:pt>
                <c:pt idx="17">
                  <c:v>0.91549326621053717</c:v>
                </c:pt>
                <c:pt idx="18">
                  <c:v>0.91549326621053717</c:v>
                </c:pt>
                <c:pt idx="19">
                  <c:v>0.91549326621053717</c:v>
                </c:pt>
                <c:pt idx="20">
                  <c:v>0.91549326621053717</c:v>
                </c:pt>
                <c:pt idx="21">
                  <c:v>0.91549326621053717</c:v>
                </c:pt>
                <c:pt idx="22">
                  <c:v>0.91549326621053717</c:v>
                </c:pt>
                <c:pt idx="23">
                  <c:v>0.91549326621053717</c:v>
                </c:pt>
                <c:pt idx="24">
                  <c:v>0.91549326621053717</c:v>
                </c:pt>
                <c:pt idx="25">
                  <c:v>0.91549326621053717</c:v>
                </c:pt>
                <c:pt idx="26">
                  <c:v>0.91549326621053717</c:v>
                </c:pt>
                <c:pt idx="27">
                  <c:v>0.91549326621053717</c:v>
                </c:pt>
                <c:pt idx="28">
                  <c:v>0.91549326621053717</c:v>
                </c:pt>
                <c:pt idx="29">
                  <c:v>0.91549326621053717</c:v>
                </c:pt>
                <c:pt idx="30">
                  <c:v>0.91549326621053717</c:v>
                </c:pt>
                <c:pt idx="31">
                  <c:v>0.91549326621053717</c:v>
                </c:pt>
                <c:pt idx="32">
                  <c:v>0.91549326621053717</c:v>
                </c:pt>
                <c:pt idx="33">
                  <c:v>0.91549326621053717</c:v>
                </c:pt>
                <c:pt idx="34">
                  <c:v>0.91549326621053717</c:v>
                </c:pt>
                <c:pt idx="35">
                  <c:v>0.91549326621053717</c:v>
                </c:pt>
                <c:pt idx="36">
                  <c:v>0.91549326621053717</c:v>
                </c:pt>
                <c:pt idx="37">
                  <c:v>0.91549326621053717</c:v>
                </c:pt>
                <c:pt idx="38">
                  <c:v>0.91549326621053717</c:v>
                </c:pt>
                <c:pt idx="39">
                  <c:v>0.91549326621053717</c:v>
                </c:pt>
                <c:pt idx="40">
                  <c:v>0.91549326621053717</c:v>
                </c:pt>
                <c:pt idx="41">
                  <c:v>0.91549326621053717</c:v>
                </c:pt>
                <c:pt idx="42">
                  <c:v>0.91549326621053717</c:v>
                </c:pt>
                <c:pt idx="43">
                  <c:v>0.91549326621053717</c:v>
                </c:pt>
                <c:pt idx="44">
                  <c:v>0.91549326621053717</c:v>
                </c:pt>
                <c:pt idx="45">
                  <c:v>0.91549326621053717</c:v>
                </c:pt>
                <c:pt idx="46">
                  <c:v>0.91549326621053717</c:v>
                </c:pt>
                <c:pt idx="47">
                  <c:v>0.91549326621053717</c:v>
                </c:pt>
                <c:pt idx="48">
                  <c:v>0.91549326621053717</c:v>
                </c:pt>
                <c:pt idx="49">
                  <c:v>0.91549326621053717</c:v>
                </c:pt>
                <c:pt idx="50">
                  <c:v>0.91549326621053717</c:v>
                </c:pt>
                <c:pt idx="51">
                  <c:v>0.91549326621053717</c:v>
                </c:pt>
                <c:pt idx="52">
                  <c:v>0.91549326621053717</c:v>
                </c:pt>
                <c:pt idx="53">
                  <c:v>0.91549326621053717</c:v>
                </c:pt>
                <c:pt idx="54">
                  <c:v>0.91549326621053717</c:v>
                </c:pt>
                <c:pt idx="55">
                  <c:v>0.91549326621053717</c:v>
                </c:pt>
                <c:pt idx="56">
                  <c:v>0.91549326621053717</c:v>
                </c:pt>
                <c:pt idx="57">
                  <c:v>0.91549326621053717</c:v>
                </c:pt>
                <c:pt idx="58">
                  <c:v>0.91549326621053717</c:v>
                </c:pt>
                <c:pt idx="59">
                  <c:v>0.91549326621053717</c:v>
                </c:pt>
                <c:pt idx="60">
                  <c:v>0.91549326621053717</c:v>
                </c:pt>
                <c:pt idx="61">
                  <c:v>0.91549326621053717</c:v>
                </c:pt>
                <c:pt idx="62">
                  <c:v>0.91549326621053717</c:v>
                </c:pt>
                <c:pt idx="63">
                  <c:v>0.91549326621053717</c:v>
                </c:pt>
                <c:pt idx="64">
                  <c:v>0.91549326621053717</c:v>
                </c:pt>
                <c:pt idx="65">
                  <c:v>0.91549326621053717</c:v>
                </c:pt>
                <c:pt idx="66">
                  <c:v>0.91549326621053717</c:v>
                </c:pt>
                <c:pt idx="67">
                  <c:v>0.91549326621053717</c:v>
                </c:pt>
                <c:pt idx="68">
                  <c:v>0.91549326621053717</c:v>
                </c:pt>
                <c:pt idx="69">
                  <c:v>0.91549326621053717</c:v>
                </c:pt>
                <c:pt idx="70">
                  <c:v>0.91549326621053717</c:v>
                </c:pt>
                <c:pt idx="71">
                  <c:v>0.91549326621053717</c:v>
                </c:pt>
                <c:pt idx="72">
                  <c:v>0.91549326621053717</c:v>
                </c:pt>
                <c:pt idx="73">
                  <c:v>0.91549326621053717</c:v>
                </c:pt>
                <c:pt idx="74">
                  <c:v>0.91549326621053717</c:v>
                </c:pt>
                <c:pt idx="75">
                  <c:v>0.91549326621053717</c:v>
                </c:pt>
                <c:pt idx="76">
                  <c:v>0.91549326621053717</c:v>
                </c:pt>
                <c:pt idx="77">
                  <c:v>0.91549326621053717</c:v>
                </c:pt>
                <c:pt idx="78">
                  <c:v>0.91549326621053717</c:v>
                </c:pt>
                <c:pt idx="79">
                  <c:v>0.91549326621053717</c:v>
                </c:pt>
                <c:pt idx="80">
                  <c:v>0.91549326621053717</c:v>
                </c:pt>
                <c:pt idx="81">
                  <c:v>0.91549326621053717</c:v>
                </c:pt>
                <c:pt idx="82">
                  <c:v>0.91549326621053717</c:v>
                </c:pt>
              </c:numCache>
            </c:numRef>
          </c:yVal>
          <c:smooth val="1"/>
          <c:extLst>
            <c:ext xmlns:c16="http://schemas.microsoft.com/office/drawing/2014/chart" uri="{C3380CC4-5D6E-409C-BE32-E72D297353CC}">
              <c16:uniqueId val="{00000005-2583-45F5-8A92-A301CDEADA0D}"/>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RTC!$C$70:$CG$70</c:f>
              <c:numCache>
                <c:formatCode>General</c:formatCode>
                <c:ptCount val="83"/>
                <c:pt idx="0">
                  <c:v>1.12124568258489</c:v>
                </c:pt>
                <c:pt idx="1">
                  <c:v>1.12124568258489</c:v>
                </c:pt>
                <c:pt idx="2">
                  <c:v>1.12124568258489</c:v>
                </c:pt>
                <c:pt idx="3">
                  <c:v>1.12124568258489</c:v>
                </c:pt>
                <c:pt idx="4">
                  <c:v>1.12124568258489</c:v>
                </c:pt>
                <c:pt idx="5">
                  <c:v>1.12124568258489</c:v>
                </c:pt>
                <c:pt idx="6">
                  <c:v>1.12124568258489</c:v>
                </c:pt>
                <c:pt idx="7">
                  <c:v>1.12124568258489</c:v>
                </c:pt>
                <c:pt idx="8">
                  <c:v>1.12124568258489</c:v>
                </c:pt>
                <c:pt idx="9">
                  <c:v>1.12124568258489</c:v>
                </c:pt>
                <c:pt idx="10">
                  <c:v>1.12124568258489</c:v>
                </c:pt>
                <c:pt idx="11">
                  <c:v>1.12124568258489</c:v>
                </c:pt>
                <c:pt idx="12">
                  <c:v>1.12124568258489</c:v>
                </c:pt>
                <c:pt idx="13">
                  <c:v>1.12124568258489</c:v>
                </c:pt>
                <c:pt idx="14">
                  <c:v>1.12124568258489</c:v>
                </c:pt>
                <c:pt idx="15">
                  <c:v>1.12124568258489</c:v>
                </c:pt>
                <c:pt idx="16">
                  <c:v>1.12124568258489</c:v>
                </c:pt>
                <c:pt idx="17">
                  <c:v>1.12124568258489</c:v>
                </c:pt>
                <c:pt idx="18">
                  <c:v>1.12124568258489</c:v>
                </c:pt>
                <c:pt idx="19">
                  <c:v>1.12124568258489</c:v>
                </c:pt>
                <c:pt idx="20">
                  <c:v>1.12124568258489</c:v>
                </c:pt>
                <c:pt idx="21">
                  <c:v>1.12124568258489</c:v>
                </c:pt>
                <c:pt idx="22">
                  <c:v>1.12124568258489</c:v>
                </c:pt>
                <c:pt idx="23">
                  <c:v>1.12124568258489</c:v>
                </c:pt>
                <c:pt idx="24">
                  <c:v>1.12124568258489</c:v>
                </c:pt>
                <c:pt idx="25">
                  <c:v>1.12124568258489</c:v>
                </c:pt>
                <c:pt idx="26">
                  <c:v>1.12124568258489</c:v>
                </c:pt>
                <c:pt idx="27">
                  <c:v>1.12124568258489</c:v>
                </c:pt>
                <c:pt idx="28">
                  <c:v>1.12124568258489</c:v>
                </c:pt>
                <c:pt idx="29">
                  <c:v>1.12124568258489</c:v>
                </c:pt>
                <c:pt idx="30">
                  <c:v>1.12124568258489</c:v>
                </c:pt>
                <c:pt idx="31">
                  <c:v>1.12124568258489</c:v>
                </c:pt>
                <c:pt idx="32">
                  <c:v>1.12124568258489</c:v>
                </c:pt>
                <c:pt idx="33">
                  <c:v>1.12124568258489</c:v>
                </c:pt>
                <c:pt idx="34">
                  <c:v>1.12124568258489</c:v>
                </c:pt>
                <c:pt idx="35">
                  <c:v>1.12124568258489</c:v>
                </c:pt>
                <c:pt idx="36">
                  <c:v>1.12124568258489</c:v>
                </c:pt>
                <c:pt idx="37">
                  <c:v>1.12124568258489</c:v>
                </c:pt>
                <c:pt idx="38">
                  <c:v>1.12124568258489</c:v>
                </c:pt>
                <c:pt idx="39">
                  <c:v>1.12124568258489</c:v>
                </c:pt>
                <c:pt idx="40">
                  <c:v>1.12124568258489</c:v>
                </c:pt>
                <c:pt idx="41">
                  <c:v>1.12124568258489</c:v>
                </c:pt>
                <c:pt idx="42">
                  <c:v>1.12124568258489</c:v>
                </c:pt>
                <c:pt idx="43">
                  <c:v>1.12124568258489</c:v>
                </c:pt>
                <c:pt idx="44">
                  <c:v>1.12124568258489</c:v>
                </c:pt>
                <c:pt idx="45">
                  <c:v>1.12124568258489</c:v>
                </c:pt>
                <c:pt idx="46">
                  <c:v>1.12124568258489</c:v>
                </c:pt>
                <c:pt idx="47">
                  <c:v>1.12124568258489</c:v>
                </c:pt>
                <c:pt idx="48">
                  <c:v>1.12124568258489</c:v>
                </c:pt>
                <c:pt idx="49">
                  <c:v>1.12124568258489</c:v>
                </c:pt>
                <c:pt idx="50">
                  <c:v>1.12124568258489</c:v>
                </c:pt>
                <c:pt idx="51">
                  <c:v>1.12124568258489</c:v>
                </c:pt>
                <c:pt idx="52">
                  <c:v>1.12124568258489</c:v>
                </c:pt>
                <c:pt idx="53">
                  <c:v>1.12124568258489</c:v>
                </c:pt>
                <c:pt idx="54">
                  <c:v>1.12124568258489</c:v>
                </c:pt>
                <c:pt idx="55">
                  <c:v>1.12124568258489</c:v>
                </c:pt>
                <c:pt idx="56">
                  <c:v>1.12124568258489</c:v>
                </c:pt>
                <c:pt idx="57">
                  <c:v>1.12124568258489</c:v>
                </c:pt>
                <c:pt idx="58">
                  <c:v>1.12124568258489</c:v>
                </c:pt>
                <c:pt idx="59">
                  <c:v>1.12124568258489</c:v>
                </c:pt>
                <c:pt idx="60">
                  <c:v>1.12124568258489</c:v>
                </c:pt>
                <c:pt idx="61">
                  <c:v>1.12124568258489</c:v>
                </c:pt>
                <c:pt idx="62">
                  <c:v>1.12124568258489</c:v>
                </c:pt>
                <c:pt idx="63">
                  <c:v>1.12124568258489</c:v>
                </c:pt>
                <c:pt idx="64">
                  <c:v>1.12124568258489</c:v>
                </c:pt>
                <c:pt idx="65">
                  <c:v>1.12124568258489</c:v>
                </c:pt>
                <c:pt idx="66">
                  <c:v>1.12124568258489</c:v>
                </c:pt>
                <c:pt idx="67">
                  <c:v>1.12124568258489</c:v>
                </c:pt>
                <c:pt idx="68">
                  <c:v>1.12124568258489</c:v>
                </c:pt>
                <c:pt idx="69">
                  <c:v>1.12124568258489</c:v>
                </c:pt>
                <c:pt idx="70">
                  <c:v>1.12124568258489</c:v>
                </c:pt>
                <c:pt idx="71">
                  <c:v>1.12124568258489</c:v>
                </c:pt>
                <c:pt idx="72">
                  <c:v>1.12124568258489</c:v>
                </c:pt>
                <c:pt idx="73">
                  <c:v>1.12124568258489</c:v>
                </c:pt>
                <c:pt idx="74">
                  <c:v>1.12124568258489</c:v>
                </c:pt>
                <c:pt idx="75">
                  <c:v>1.12124568258489</c:v>
                </c:pt>
                <c:pt idx="76">
                  <c:v>1.12124568258489</c:v>
                </c:pt>
                <c:pt idx="77">
                  <c:v>1.12124568258489</c:v>
                </c:pt>
                <c:pt idx="78">
                  <c:v>1.12124568258489</c:v>
                </c:pt>
                <c:pt idx="79">
                  <c:v>1.12124568258489</c:v>
                </c:pt>
                <c:pt idx="80">
                  <c:v>1.12124568258489</c:v>
                </c:pt>
                <c:pt idx="81">
                  <c:v>1.12124568258489</c:v>
                </c:pt>
                <c:pt idx="82">
                  <c:v>1.12124568258489</c:v>
                </c:pt>
              </c:numCache>
            </c:numRef>
          </c:yVal>
          <c:smooth val="1"/>
          <c:extLst>
            <c:ext xmlns:c16="http://schemas.microsoft.com/office/drawing/2014/chart" uri="{C3380CC4-5D6E-409C-BE32-E72D297353CC}">
              <c16:uniqueId val="{00000006-2583-45F5-8A92-A301CDEADA0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1921.5837087114464</c:v>
                </c:pt>
                <c:pt idx="39">
                  <c:v>6.499999999999007</c:v>
                </c:pt>
                <c:pt idx="40">
                  <c:v>3.2529106029008803</c:v>
                </c:pt>
                <c:pt idx="41">
                  <c:v>2.4982667258847973</c:v>
                </c:pt>
                <c:pt idx="42">
                  <c:v>2.1257309304031207</c:v>
                </c:pt>
                <c:pt idx="43">
                  <c:v>1.8960339956097945</c:v>
                </c:pt>
                <c:pt idx="44">
                  <c:v>1.7376131616797115</c:v>
                </c:pt>
                <c:pt idx="45">
                  <c:v>1.6206354136476369</c:v>
                </c:pt>
                <c:pt idx="46">
                  <c:v>1.5301841113520063</c:v>
                </c:pt>
                <c:pt idx="47">
                  <c:v>1.4578754741100259</c:v>
                </c:pt>
                <c:pt idx="48">
                  <c:v>1.3985939180008431</c:v>
                </c:pt>
                <c:pt idx="49">
                  <c:v>1.3490213172523273</c:v>
                </c:pt>
                <c:pt idx="50">
                  <c:v>1.3069011244615849</c:v>
                </c:pt>
                <c:pt idx="51">
                  <c:v>1.2706396576782892</c:v>
                </c:pt>
                <c:pt idx="52">
                  <c:v>1.2390760932765092</c:v>
                </c:pt>
                <c:pt idx="53">
                  <c:v>1.2113428740117067</c:v>
                </c:pt>
                <c:pt idx="54">
                  <c:v>1.1867773590313537</c:v>
                </c:pt>
                <c:pt idx="55">
                  <c:v>1.1648638953701158</c:v>
                </c:pt>
                <c:pt idx="56">
                  <c:v>1.1451946731274369</c:v>
                </c:pt>
                <c:pt idx="57">
                  <c:v>1.1274425752841599</c:v>
                </c:pt>
                <c:pt idx="58">
                  <c:v>1.1113419135083229</c:v>
                </c:pt>
                <c:pt idx="59">
                  <c:v>1.0966744827478272</c:v>
                </c:pt>
                <c:pt idx="60">
                  <c:v>1.0832592849365161</c:v>
                </c:pt>
                <c:pt idx="61">
                  <c:v>1.0709448350980926</c:v>
                </c:pt>
                <c:pt idx="62">
                  <c:v>1.0596033179556184</c:v>
                </c:pt>
                <c:pt idx="63">
                  <c:v>1.0491260922331147</c:v>
                </c:pt>
                <c:pt idx="64">
                  <c:v>1.0394201909627108</c:v>
                </c:pt>
                <c:pt idx="65">
                  <c:v>1.0304055677788071</c:v>
                </c:pt>
                <c:pt idx="66">
                  <c:v>1.022012908801389</c:v>
                </c:pt>
                <c:pt idx="67">
                  <c:v>1.0141818781648655</c:v>
                </c:pt>
                <c:pt idx="68">
                  <c:v>1.0068596994765564</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2583-45F5-8A92-A301CDEADA0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RTC!$C$31:$CG$31</c:f>
              <c:numCache>
                <c:formatCode>General</c:formatCode>
                <c:ptCount val="83"/>
                <c:pt idx="0">
                  <c:v>0.68571428571428572</c:v>
                </c:pt>
                <c:pt idx="1">
                  <c:v>0.68571428571428572</c:v>
                </c:pt>
                <c:pt idx="2">
                  <c:v>0.68571428571428572</c:v>
                </c:pt>
                <c:pt idx="3">
                  <c:v>0.68571428571428572</c:v>
                </c:pt>
                <c:pt idx="4">
                  <c:v>0.68571428571428572</c:v>
                </c:pt>
                <c:pt idx="5">
                  <c:v>0.68571428571428572</c:v>
                </c:pt>
                <c:pt idx="6">
                  <c:v>0.68571428571428572</c:v>
                </c:pt>
                <c:pt idx="7">
                  <c:v>0.68571428571428572</c:v>
                </c:pt>
                <c:pt idx="8">
                  <c:v>0.68571428571428572</c:v>
                </c:pt>
                <c:pt idx="9">
                  <c:v>0.68571428571428572</c:v>
                </c:pt>
                <c:pt idx="10">
                  <c:v>0.68571428571428572</c:v>
                </c:pt>
                <c:pt idx="11">
                  <c:v>0.68571428571428572</c:v>
                </c:pt>
                <c:pt idx="12">
                  <c:v>0.68571428571428572</c:v>
                </c:pt>
                <c:pt idx="13">
                  <c:v>0.68571428571428572</c:v>
                </c:pt>
                <c:pt idx="14">
                  <c:v>0.68571428571428572</c:v>
                </c:pt>
                <c:pt idx="15">
                  <c:v>0.68571428571428572</c:v>
                </c:pt>
                <c:pt idx="16">
                  <c:v>0.68571428571428572</c:v>
                </c:pt>
                <c:pt idx="17">
                  <c:v>0.68571428571428572</c:v>
                </c:pt>
                <c:pt idx="18">
                  <c:v>0.68571428571428572</c:v>
                </c:pt>
                <c:pt idx="19">
                  <c:v>0.68571428571428572</c:v>
                </c:pt>
                <c:pt idx="20">
                  <c:v>0.68571428571428572</c:v>
                </c:pt>
                <c:pt idx="21">
                  <c:v>0.68571428571428572</c:v>
                </c:pt>
                <c:pt idx="22">
                  <c:v>0.68571428571428572</c:v>
                </c:pt>
                <c:pt idx="23">
                  <c:v>0.68571428571428572</c:v>
                </c:pt>
                <c:pt idx="24">
                  <c:v>0.68571428571428572</c:v>
                </c:pt>
                <c:pt idx="25">
                  <c:v>0.68571428571428572</c:v>
                </c:pt>
                <c:pt idx="26">
                  <c:v>0.68571428571428572</c:v>
                </c:pt>
                <c:pt idx="27">
                  <c:v>0.68571428571428572</c:v>
                </c:pt>
                <c:pt idx="28">
                  <c:v>0.68571428571428572</c:v>
                </c:pt>
                <c:pt idx="29">
                  <c:v>0.68571428571428572</c:v>
                </c:pt>
                <c:pt idx="30">
                  <c:v>0.68571428571428572</c:v>
                </c:pt>
                <c:pt idx="31">
                  <c:v>0.68571428571428572</c:v>
                </c:pt>
                <c:pt idx="32">
                  <c:v>0.68571428571428572</c:v>
                </c:pt>
                <c:pt idx="33">
                  <c:v>0.68571428571428572</c:v>
                </c:pt>
                <c:pt idx="34">
                  <c:v>0.68571428571428572</c:v>
                </c:pt>
                <c:pt idx="35">
                  <c:v>0.68571428571428572</c:v>
                </c:pt>
                <c:pt idx="36">
                  <c:v>0.68571428571428572</c:v>
                </c:pt>
                <c:pt idx="37">
                  <c:v>0.68571428571428572</c:v>
                </c:pt>
                <c:pt idx="38">
                  <c:v>0.68571428571428572</c:v>
                </c:pt>
                <c:pt idx="39">
                  <c:v>0.68571428571428572</c:v>
                </c:pt>
                <c:pt idx="40">
                  <c:v>0.68571428571428572</c:v>
                </c:pt>
                <c:pt idx="41">
                  <c:v>0.68571428571428572</c:v>
                </c:pt>
                <c:pt idx="42">
                  <c:v>0.68571428571428572</c:v>
                </c:pt>
                <c:pt idx="43">
                  <c:v>0.68571428571428572</c:v>
                </c:pt>
                <c:pt idx="44">
                  <c:v>0.68571428571428572</c:v>
                </c:pt>
                <c:pt idx="45">
                  <c:v>0.68571428571428572</c:v>
                </c:pt>
                <c:pt idx="46">
                  <c:v>0.68571428571428572</c:v>
                </c:pt>
                <c:pt idx="47">
                  <c:v>0.68571428571428572</c:v>
                </c:pt>
                <c:pt idx="48">
                  <c:v>0.68571428571428572</c:v>
                </c:pt>
                <c:pt idx="49">
                  <c:v>0.68571428571428572</c:v>
                </c:pt>
                <c:pt idx="50">
                  <c:v>0.68571428571428572</c:v>
                </c:pt>
                <c:pt idx="51">
                  <c:v>0.68571428571428572</c:v>
                </c:pt>
                <c:pt idx="52">
                  <c:v>0.68571428571428572</c:v>
                </c:pt>
                <c:pt idx="53">
                  <c:v>0.68571428571428572</c:v>
                </c:pt>
                <c:pt idx="54">
                  <c:v>0.68571428571428572</c:v>
                </c:pt>
                <c:pt idx="55">
                  <c:v>0.68571428571428572</c:v>
                </c:pt>
                <c:pt idx="56">
                  <c:v>0.68571428571428572</c:v>
                </c:pt>
                <c:pt idx="57">
                  <c:v>0.68571428571428572</c:v>
                </c:pt>
                <c:pt idx="58">
                  <c:v>0.68571428571428572</c:v>
                </c:pt>
                <c:pt idx="59">
                  <c:v>0.68571428571428572</c:v>
                </c:pt>
                <c:pt idx="60">
                  <c:v>0.68571428571428572</c:v>
                </c:pt>
                <c:pt idx="61">
                  <c:v>0.68571428571428572</c:v>
                </c:pt>
                <c:pt idx="62">
                  <c:v>0.68571428571428572</c:v>
                </c:pt>
                <c:pt idx="63">
                  <c:v>0.68571428571428572</c:v>
                </c:pt>
                <c:pt idx="64">
                  <c:v>0.68571428571428572</c:v>
                </c:pt>
                <c:pt idx="65">
                  <c:v>0.68571428571428572</c:v>
                </c:pt>
                <c:pt idx="66">
                  <c:v>0.68571428571428572</c:v>
                </c:pt>
                <c:pt idx="67">
                  <c:v>0.68571428571428572</c:v>
                </c:pt>
                <c:pt idx="68">
                  <c:v>0.68571428571428572</c:v>
                </c:pt>
                <c:pt idx="69">
                  <c:v>0.68571428571428572</c:v>
                </c:pt>
                <c:pt idx="70">
                  <c:v>0.68571428571428572</c:v>
                </c:pt>
                <c:pt idx="71">
                  <c:v>0.68571428571428572</c:v>
                </c:pt>
                <c:pt idx="72">
                  <c:v>0.68571428571428572</c:v>
                </c:pt>
                <c:pt idx="73">
                  <c:v>0.68571428571428572</c:v>
                </c:pt>
                <c:pt idx="74">
                  <c:v>0.68571428571428572</c:v>
                </c:pt>
                <c:pt idx="75">
                  <c:v>0.68571428571428572</c:v>
                </c:pt>
                <c:pt idx="76">
                  <c:v>0.68571428571428572</c:v>
                </c:pt>
                <c:pt idx="77">
                  <c:v>0.68571428571428572</c:v>
                </c:pt>
                <c:pt idx="78">
                  <c:v>0.68571428571428572</c:v>
                </c:pt>
                <c:pt idx="79">
                  <c:v>0.68571428571428572</c:v>
                </c:pt>
                <c:pt idx="80">
                  <c:v>0.68571428571428572</c:v>
                </c:pt>
                <c:pt idx="81">
                  <c:v>0.68571428571428572</c:v>
                </c:pt>
                <c:pt idx="82">
                  <c:v>0.68571428571428572</c:v>
                </c:pt>
              </c:numCache>
            </c:numRef>
          </c:yVal>
          <c:smooth val="1"/>
          <c:extLst>
            <c:ext xmlns:c16="http://schemas.microsoft.com/office/drawing/2014/chart" uri="{C3380CC4-5D6E-409C-BE32-E72D297353CC}">
              <c16:uniqueId val="{00000008-2583-45F5-8A92-A301CDEADA0D}"/>
            </c:ext>
          </c:extLst>
        </c:ser>
        <c:dLbls>
          <c:showLegendKey val="0"/>
          <c:showVal val="0"/>
          <c:showCatName val="0"/>
          <c:showSerName val="0"/>
          <c:showPercent val="0"/>
          <c:showBubbleSize val="0"/>
        </c:dLbls>
        <c:axId val="44361059"/>
        <c:axId val="96953026"/>
      </c:scatterChart>
      <c:valAx>
        <c:axId val="44361059"/>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6953026"/>
        <c:crosses val="autoZero"/>
        <c:crossBetween val="midCat"/>
        <c:majorUnit val="1"/>
        <c:minorUnit val="1"/>
      </c:valAx>
      <c:valAx>
        <c:axId val="96953026"/>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4361059"/>
        <c:crosses val="autoZero"/>
        <c:crossBetween val="midCat"/>
      </c:valAx>
      <c:spPr>
        <a:noFill/>
        <a:ln w="0">
          <a:noFill/>
        </a:ln>
      </c:spPr>
    </c:plotArea>
    <c:legend>
      <c:legendPos val="r"/>
      <c:layout>
        <c:manualLayout>
          <c:xMode val="edge"/>
          <c:yMode val="edge"/>
          <c:x val="0.65216113502583095"/>
          <c:y val="0.169142867158386"/>
          <c:w val="0.26779254848536499"/>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autoTitleDeleted val="1"/>
    <c:plotArea>
      <c:layout/>
      <c:scatterChart>
        <c:scatterStyle val="lineMarker"/>
        <c:varyColors val="0"/>
        <c:ser>
          <c:idx val="0"/>
          <c:order val="0"/>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19080" cap="rnd">
                <a:solidFill>
                  <a:srgbClr val="156082"/>
                </a:solidFill>
                <a:prstDash val="sysDot"/>
                <a:round/>
              </a:ln>
            </c:spPr>
            <c:trendlineType val="poly"/>
            <c:order val="4"/>
            <c:dispRSqr val="1"/>
            <c:dispEq val="1"/>
            <c:trendlineLbl>
              <c:numFmt formatCode="General" sourceLinked="0"/>
            </c:trendlineLbl>
          </c:trendline>
          <c:xVal>
            <c:numRef>
              <c:f>RTC!$CI$150:$CI$154</c:f>
              <c:numCache>
                <c:formatCode>General</c:formatCode>
                <c:ptCount val="5"/>
                <c:pt idx="0">
                  <c:v>0.78500000000000003</c:v>
                </c:pt>
                <c:pt idx="1">
                  <c:v>1.0466666666666666</c:v>
                </c:pt>
                <c:pt idx="2">
                  <c:v>1.57</c:v>
                </c:pt>
                <c:pt idx="3">
                  <c:v>2.0933333333333333</c:v>
                </c:pt>
                <c:pt idx="4">
                  <c:v>2.355</c:v>
                </c:pt>
              </c:numCache>
            </c:numRef>
          </c:xVal>
          <c:yVal>
            <c:numRef>
              <c:f>RTC!$CJ$150:$CJ$154</c:f>
              <c:numCache>
                <c:formatCode>General</c:formatCode>
                <c:ptCount val="5"/>
                <c:pt idx="0">
                  <c:v>0</c:v>
                </c:pt>
                <c:pt idx="1">
                  <c:v>0</c:v>
                </c:pt>
                <c:pt idx="2">
                  <c:v>0.71014492753623282</c:v>
                </c:pt>
                <c:pt idx="3">
                  <c:v>0</c:v>
                </c:pt>
                <c:pt idx="4">
                  <c:v>0</c:v>
                </c:pt>
              </c:numCache>
            </c:numRef>
          </c:yVal>
          <c:smooth val="1"/>
          <c:extLst>
            <c:ext xmlns:c16="http://schemas.microsoft.com/office/drawing/2014/chart" uri="{C3380CC4-5D6E-409C-BE32-E72D297353CC}">
              <c16:uniqueId val="{00000001-FFE8-40E8-B329-E4E7A3FA7B7C}"/>
            </c:ext>
          </c:extLst>
        </c:ser>
        <c:dLbls>
          <c:showLegendKey val="0"/>
          <c:showVal val="0"/>
          <c:showCatName val="0"/>
          <c:showSerName val="0"/>
          <c:showPercent val="0"/>
          <c:showBubbleSize val="0"/>
        </c:dLbls>
        <c:axId val="28909132"/>
        <c:axId val="53250752"/>
      </c:scatterChart>
      <c:valAx>
        <c:axId val="28909132"/>
        <c:scaling>
          <c:orientation val="minMax"/>
          <c:max val="3.1"/>
        </c:scaling>
        <c:delete val="0"/>
        <c:axPos val="b"/>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3250752"/>
        <c:crosses val="autoZero"/>
        <c:crossBetween val="midCat"/>
      </c:valAx>
      <c:valAx>
        <c:axId val="53250752"/>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8909132"/>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regulation@Vin_min- 100% Load</a:t>
            </a:r>
          </a:p>
        </c:rich>
      </c:tx>
      <c:layout>
        <c:manualLayout>
          <c:xMode val="edge"/>
          <c:yMode val="edge"/>
          <c:x val="0.161392405063291"/>
          <c:y val="2.32972011001456E-2"/>
        </c:manualLayout>
      </c:layout>
      <c:overlay val="0"/>
      <c:spPr>
        <a:noFill/>
        <a:ln w="0">
          <a:noFill/>
        </a:ln>
      </c:spPr>
    </c:title>
    <c:autoTitleDeleted val="0"/>
    <c:plotArea>
      <c:layout>
        <c:manualLayout>
          <c:layoutTarget val="inner"/>
          <c:xMode val="edge"/>
          <c:yMode val="edge"/>
          <c:x val="0.125372300819062"/>
          <c:y val="0.14177856873213601"/>
          <c:w val="0.82627513030528699"/>
          <c:h val="0.73682791349835497"/>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RTC!$C$28:$CG$28</c:f>
              <c:numCache>
                <c:formatCode>General</c:formatCode>
                <c:ptCount val="83"/>
                <c:pt idx="0">
                  <c:v>2.1818182512396718E-8</c:v>
                </c:pt>
                <c:pt idx="1">
                  <c:v>1.2886419367458453E-3</c:v>
                </c:pt>
                <c:pt idx="2">
                  <c:v>3.2957540508757933E-3</c:v>
                </c:pt>
                <c:pt idx="3">
                  <c:v>6.2466838217803949E-3</c:v>
                </c:pt>
                <c:pt idx="4">
                  <c:v>1.0165634844491057E-2</c:v>
                </c:pt>
                <c:pt idx="5">
                  <c:v>1.5085230808885637E-2</c:v>
                </c:pt>
                <c:pt idx="6">
                  <c:v>2.104720710419164E-2</c:v>
                </c:pt>
                <c:pt idx="7">
                  <c:v>2.8103319587713758E-2</c:v>
                </c:pt>
                <c:pt idx="8">
                  <c:v>3.6316508449383139E-2</c:v>
                </c:pt>
                <c:pt idx="9">
                  <c:v>4.5762367743434479E-2</c:v>
                </c:pt>
                <c:pt idx="10">
                  <c:v>5.6530987448607108E-2</c:v>
                </c:pt>
                <c:pt idx="11">
                  <c:v>6.8729256295102084E-2</c:v>
                </c:pt>
                <c:pt idx="12">
                  <c:v>8.2483742085161724E-2</c:v>
                </c:pt>
                <c:pt idx="13">
                  <c:v>9.7944304735298124E-2</c:v>
                </c:pt>
                <c:pt idx="14">
                  <c:v>0.11528864999952876</c:v>
                </c:pt>
                <c:pt idx="15">
                  <c:v>0.1347281050187448</c:v>
                </c:pt>
                <c:pt idx="16">
                  <c:v>0.15651499980883612</c:v>
                </c:pt>
                <c:pt idx="17">
                  <c:v>0.18095218575415503</c:v>
                </c:pt>
                <c:pt idx="18">
                  <c:v>0.20840543512238516</c:v>
                </c:pt>
                <c:pt idx="19">
                  <c:v>0.23931977930378859</c:v>
                </c:pt>
                <c:pt idx="20">
                  <c:v>0.27424131386312434</c:v>
                </c:pt>
                <c:pt idx="21">
                  <c:v>0.31384671772931005</c:v>
                </c:pt>
                <c:pt idx="22">
                  <c:v>0.3589838574142431</c:v>
                </c:pt>
                <c:pt idx="23">
                  <c:v>0.41072864448862639</c:v>
                </c:pt>
                <c:pt idx="24">
                  <c:v>0.47046626668653735</c:v>
                </c:pt>
                <c:pt idx="25">
                  <c:v>0.54000990781304037</c:v>
                </c:pt>
                <c:pt idx="26">
                  <c:v>0.62177881033586746</c:v>
                </c:pt>
                <c:pt idx="27">
                  <c:v>0.71907341857608231</c:v>
                </c:pt>
                <c:pt idx="28">
                  <c:v>0.83651551018079373</c:v>
                </c:pt>
                <c:pt idx="29">
                  <c:v>0.98078153994784389</c:v>
                </c:pt>
                <c:pt idx="30">
                  <c:v>1.1618855338834528</c:v>
                </c:pt>
                <c:pt idx="31">
                  <c:v>1.3955605407023011</c:v>
                </c:pt>
                <c:pt idx="32">
                  <c:v>1.70801881699095</c:v>
                </c:pt>
                <c:pt idx="33">
                  <c:v>2.1464163817304032</c:v>
                </c:pt>
                <c:pt idx="34">
                  <c:v>2.8049873938594398</c:v>
                </c:pt>
                <c:pt idx="35">
                  <c:v>3.9033273688464369</c:v>
                </c:pt>
                <c:pt idx="36">
                  <c:v>6.098718634915044</c:v>
                </c:pt>
                <c:pt idx="37">
                  <c:v>12.659566924581251</c:v>
                </c:pt>
                <c:pt idx="38">
                  <c:v>1921.5837087114464</c:v>
                </c:pt>
                <c:pt idx="39">
                  <c:v>42.249999999987104</c:v>
                </c:pt>
                <c:pt idx="40">
                  <c:v>10.581427390464974</c:v>
                </c:pt>
                <c:pt idx="41">
                  <c:v>6.2413366336631526</c:v>
                </c:pt>
                <c:pt idx="42">
                  <c:v>4.5187319884725161</c:v>
                </c:pt>
                <c:pt idx="43">
                  <c:v>3.5949449125080415</c:v>
                </c:pt>
                <c:pt idx="44">
                  <c:v>3.0192994996425648</c:v>
                </c:pt>
                <c:pt idx="45">
                  <c:v>2.6264591439688467</c:v>
                </c:pt>
                <c:pt idx="46">
                  <c:v>2.3414634146341284</c:v>
                </c:pt>
                <c:pt idx="47">
                  <c:v>2.1254008980115326</c:v>
                </c:pt>
                <c:pt idx="48">
                  <c:v>1.9560649474689491</c:v>
                </c:pt>
                <c:pt idx="49">
                  <c:v>1.8198585144012047</c:v>
                </c:pt>
                <c:pt idx="50">
                  <c:v>1.7079905491189553</c:v>
                </c:pt>
                <c:pt idx="51">
                  <c:v>1.6145251396647997</c:v>
                </c:pt>
                <c:pt idx="52">
                  <c:v>1.5353095649293769</c:v>
                </c:pt>
                <c:pt idx="53">
                  <c:v>1.4673515584189416</c:v>
                </c:pt>
                <c:pt idx="54">
                  <c:v>1.4084404999094342</c:v>
                </c:pt>
                <c:pt idx="55">
                  <c:v>1.35690789473684</c:v>
                </c:pt>
                <c:pt idx="56">
                  <c:v>1.3114708393594574</c:v>
                </c:pt>
                <c:pt idx="57">
                  <c:v>1.2711267605633787</c:v>
                </c:pt>
                <c:pt idx="58">
                  <c:v>1.2350808487203404</c:v>
                </c:pt>
                <c:pt idx="59">
                  <c:v>1.2026949211102145</c:v>
                </c:pt>
                <c:pt idx="60">
                  <c:v>1.1734506784011727</c:v>
                </c:pt>
                <c:pt idx="61">
                  <c:v>1.1469228398232809</c:v>
                </c:pt>
                <c:pt idx="62">
                  <c:v>1.1227591914225556</c:v>
                </c:pt>
                <c:pt idx="63">
                  <c:v>1.1006655574043258</c:v>
                </c:pt>
                <c:pt idx="64">
                  <c:v>1.080394333380958</c:v>
                </c:pt>
                <c:pt idx="65">
                  <c:v>1.0617356341095658</c:v>
                </c:pt>
                <c:pt idx="66">
                  <c:v>1.0445103857566764</c:v>
                </c:pt>
                <c:pt idx="67">
                  <c:v>1.0285648819980142</c:v>
                </c:pt>
                <c:pt idx="68">
                  <c:v>1.0137664544300213</c:v>
                </c:pt>
                <c:pt idx="69">
                  <c:v>1</c:v>
                </c:pt>
                <c:pt idx="70">
                  <c:v>0.92687605964801134</c:v>
                </c:pt>
                <c:pt idx="71">
                  <c:v>0.87793233473094412</c:v>
                </c:pt>
                <c:pt idx="72">
                  <c:v>0.8432116897802775</c:v>
                </c:pt>
                <c:pt idx="73">
                  <c:v>0.81751431221486071</c:v>
                </c:pt>
                <c:pt idx="74">
                  <c:v>0.79786908756308172</c:v>
                </c:pt>
                <c:pt idx="75">
                  <c:v>0.78246071684854068</c:v>
                </c:pt>
                <c:pt idx="76">
                  <c:v>0.7701209595806876</c:v>
                </c:pt>
                <c:pt idx="77">
                  <c:v>0.76006613168945525</c:v>
                </c:pt>
                <c:pt idx="78">
                  <c:v>0.75175235378607119</c:v>
                </c:pt>
                <c:pt idx="79">
                  <c:v>0.74479131918510189</c:v>
                </c:pt>
                <c:pt idx="80">
                  <c:v>0.73889904941593587</c:v>
                </c:pt>
                <c:pt idx="81">
                  <c:v>0.73386352963092394</c:v>
                </c:pt>
                <c:pt idx="82">
                  <c:v>0.72952360451323239</c:v>
                </c:pt>
              </c:numCache>
            </c:numRef>
          </c:yVal>
          <c:smooth val="1"/>
          <c:extLst>
            <c:ext xmlns:c16="http://schemas.microsoft.com/office/drawing/2014/chart" uri="{C3380CC4-5D6E-409C-BE32-E72D297353CC}">
              <c16:uniqueId val="{00000000-B879-498A-9786-9B1F8E0E07CE}"/>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RTC!$C$47:$CG$47</c:f>
              <c:numCache>
                <c:formatCode>General</c:formatCode>
                <c:ptCount val="83"/>
                <c:pt idx="0">
                  <c:v>2.1818182382492675E-8</c:v>
                </c:pt>
                <c:pt idx="1">
                  <c:v>1.2881887010930794E-3</c:v>
                </c:pt>
                <c:pt idx="2">
                  <c:v>3.2927886442313385E-3</c:v>
                </c:pt>
                <c:pt idx="3">
                  <c:v>6.2360266346062031E-3</c:v>
                </c:pt>
                <c:pt idx="4">
                  <c:v>1.0137396704165301E-2</c:v>
                </c:pt>
                <c:pt idx="5">
                  <c:v>1.5023007895528954E-2</c:v>
                </c:pt>
                <c:pt idx="6">
                  <c:v>2.0925987778792478E-2</c:v>
                </c:pt>
                <c:pt idx="7">
                  <c:v>2.7887001276361342E-2</c:v>
                </c:pt>
                <c:pt idx="8">
                  <c:v>3.5954897539339017E-2</c:v>
                </c:pt>
                <c:pt idx="9">
                  <c:v>4.5187500817546217E-2</c:v>
                </c:pt>
                <c:pt idx="10">
                  <c:v>5.5652564835327163E-2</c:v>
                </c:pt>
                <c:pt idx="11">
                  <c:v>6.7428914152122668E-2</c:v>
                </c:pt>
                <c:pt idx="12">
                  <c:v>8.0607800331455051E-2</c:v>
                </c:pt>
                <c:pt idx="13">
                  <c:v>9.5294505365001059E-2</c:v>
                </c:pt>
                <c:pt idx="14">
                  <c:v>0.11161022945863958</c:v>
                </c:pt>
                <c:pt idx="15">
                  <c:v>0.12969430450041747</c:v>
                </c:pt>
                <c:pt idx="16">
                  <c:v>0.14970677740192706</c:v>
                </c:pt>
                <c:pt idx="17">
                  <c:v>0.17183140745740369</c:v>
                </c:pt>
                <c:pt idx="18">
                  <c:v>0.19627911619524036</c:v>
                </c:pt>
                <c:pt idx="19">
                  <c:v>0.22329191235764032</c:v>
                </c:pt>
                <c:pt idx="20">
                  <c:v>0.25314728109657647</c:v>
                </c:pt>
                <c:pt idx="21">
                  <c:v>0.28616296286546417</c:v>
                </c:pt>
                <c:pt idx="22">
                  <c:v>0.32270193381356715</c:v>
                </c:pt>
                <c:pt idx="23">
                  <c:v>0.36317720380577329</c:v>
                </c:pt>
                <c:pt idx="24">
                  <c:v>0.40805572039200749</c:v>
                </c:pt>
                <c:pt idx="25">
                  <c:v>0.45786013065995684</c:v>
                </c:pt>
                <c:pt idx="26">
                  <c:v>0.51316629609248432</c:v>
                </c:pt>
                <c:pt idx="27">
                  <c:v>0.57459312657902117</c:v>
                </c:pt>
                <c:pt idx="28">
                  <c:v>0.64277932160959372</c:v>
                </c:pt>
                <c:pt idx="29">
                  <c:v>0.71833884691119299</c:v>
                </c:pt>
                <c:pt idx="30">
                  <c:v>0.80178354597124124</c:v>
                </c:pt>
                <c:pt idx="31">
                  <c:v>0.89339801137383779</c:v>
                </c:pt>
                <c:pt idx="32">
                  <c:v>0.99305115057053139</c:v>
                </c:pt>
                <c:pt idx="33">
                  <c:v>1.0999361156437204</c:v>
                </c:pt>
                <c:pt idx="34">
                  <c:v>1.2122544795938535</c:v>
                </c:pt>
                <c:pt idx="35">
                  <c:v>1.3269116345880969</c:v>
                </c:pt>
                <c:pt idx="36">
                  <c:v>1.4393666612797296</c:v>
                </c:pt>
                <c:pt idx="37">
                  <c:v>1.5438437181055409</c:v>
                </c:pt>
                <c:pt idx="38">
                  <c:v>1.634075089047597</c:v>
                </c:pt>
                <c:pt idx="39">
                  <c:v>1.6593385553953328</c:v>
                </c:pt>
                <c:pt idx="40">
                  <c:v>1.7224809596753172</c:v>
                </c:pt>
                <c:pt idx="41">
                  <c:v>1.7617858065342098</c:v>
                </c:pt>
                <c:pt idx="42">
                  <c:v>1.7775007606476596</c:v>
                </c:pt>
                <c:pt idx="43">
                  <c:v>1.7723770936820213</c:v>
                </c:pt>
                <c:pt idx="44">
                  <c:v>1.7506688032071991</c:v>
                </c:pt>
                <c:pt idx="45">
                  <c:v>1.7170352094878036</c:v>
                </c:pt>
                <c:pt idx="46">
                  <c:v>1.6757354437264311</c:v>
                </c:pt>
                <c:pt idx="47">
                  <c:v>1.6302254633798372</c:v>
                </c:pt>
                <c:pt idx="48">
                  <c:v>1.5830741957458498</c:v>
                </c:pt>
                <c:pt idx="49">
                  <c:v>1.5360596375513149</c:v>
                </c:pt>
                <c:pt idx="50">
                  <c:v>1.4903324554146884</c:v>
                </c:pt>
                <c:pt idx="51">
                  <c:v>1.446581713956461</c:v>
                </c:pt>
                <c:pt idx="52">
                  <c:v>1.4051745142564538</c:v>
                </c:pt>
                <c:pt idx="53">
                  <c:v>1.3662628198799427</c:v>
                </c:pt>
                <c:pt idx="54">
                  <c:v>1.329860503810347</c:v>
                </c:pt>
                <c:pt idx="55">
                  <c:v>1.2958967576600455</c:v>
                </c:pt>
                <c:pt idx="56">
                  <c:v>1.2642520414530216</c:v>
                </c:pt>
                <c:pt idx="57">
                  <c:v>1.2347816882910965</c:v>
                </c:pt>
                <c:pt idx="58">
                  <c:v>1.2073310266874606</c:v>
                </c:pt>
                <c:pt idx="59">
                  <c:v>1.1817447922027622</c:v>
                </c:pt>
                <c:pt idx="60">
                  <c:v>1.1578727557635651</c:v>
                </c:pt>
                <c:pt idx="61">
                  <c:v>1.1355728820271946</c:v>
                </c:pt>
                <c:pt idx="62">
                  <c:v>1.1147129003379874</c:v>
                </c:pt>
                <c:pt idx="63">
                  <c:v>1.0951708751382412</c:v>
                </c:pt>
                <c:pt idx="64">
                  <c:v>1.0768351626045636</c:v>
                </c:pt>
                <c:pt idx="65">
                  <c:v>1.0596040061373857</c:v>
                </c:pt>
                <c:pt idx="66">
                  <c:v>1.0433849339971508</c:v>
                </c:pt>
                <c:pt idx="67">
                  <c:v>1.0280940632015909</c:v>
                </c:pt>
                <c:pt idx="68">
                  <c:v>1.0136553747908899</c:v>
                </c:pt>
                <c:pt idx="69">
                  <c:v>1</c:v>
                </c:pt>
                <c:pt idx="70">
                  <c:v>0.92333211953700123</c:v>
                </c:pt>
                <c:pt idx="71">
                  <c:v>0.86696105834124759</c:v>
                </c:pt>
                <c:pt idx="72">
                  <c:v>0.82318248090522994</c:v>
                </c:pt>
                <c:pt idx="73">
                  <c:v>0.78763759103387965</c:v>
                </c:pt>
                <c:pt idx="74">
                  <c:v>0.75772129315258452</c:v>
                </c:pt>
                <c:pt idx="75">
                  <c:v>0.73180269010084442</c:v>
                </c:pt>
                <c:pt idx="76">
                  <c:v>0.70882081816335396</c:v>
                </c:pt>
                <c:pt idx="77">
                  <c:v>0.68806311613752202</c:v>
                </c:pt>
                <c:pt idx="78">
                  <c:v>0.66903798029635431</c:v>
                </c:pt>
                <c:pt idx="79">
                  <c:v>0.65139830863734394</c:v>
                </c:pt>
                <c:pt idx="80">
                  <c:v>0.63489396113171548</c:v>
                </c:pt>
                <c:pt idx="81">
                  <c:v>0.61934128252039466</c:v>
                </c:pt>
                <c:pt idx="82">
                  <c:v>0.60460304808045218</c:v>
                </c:pt>
              </c:numCache>
            </c:numRef>
          </c:yVal>
          <c:smooth val="1"/>
          <c:extLst>
            <c:ext xmlns:c16="http://schemas.microsoft.com/office/drawing/2014/chart" uri="{C3380CC4-5D6E-409C-BE32-E72D297353CC}">
              <c16:uniqueId val="{00000001-B879-498A-9786-9B1F8E0E07CE}"/>
            </c:ext>
          </c:extLst>
        </c:ser>
        <c:ser>
          <c:idx val="2"/>
          <c:order val="2"/>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RTC!$C$53:$CG$53</c:f>
              <c:numCache>
                <c:formatCode>General</c:formatCode>
                <c:ptCount val="83"/>
                <c:pt idx="0">
                  <c:v>1.5209591836734695</c:v>
                </c:pt>
                <c:pt idx="1">
                  <c:v>1.5209591836734695</c:v>
                </c:pt>
                <c:pt idx="2">
                  <c:v>1.5209591836734695</c:v>
                </c:pt>
                <c:pt idx="3">
                  <c:v>1.5209591836734695</c:v>
                </c:pt>
                <c:pt idx="4">
                  <c:v>1.5209591836734695</c:v>
                </c:pt>
                <c:pt idx="5">
                  <c:v>1.5209591836734695</c:v>
                </c:pt>
                <c:pt idx="6">
                  <c:v>1.5209591836734695</c:v>
                </c:pt>
                <c:pt idx="7">
                  <c:v>1.5209591836734695</c:v>
                </c:pt>
                <c:pt idx="8">
                  <c:v>1.5209591836734695</c:v>
                </c:pt>
                <c:pt idx="9">
                  <c:v>1.5209591836734695</c:v>
                </c:pt>
                <c:pt idx="10">
                  <c:v>1.5209591836734695</c:v>
                </c:pt>
                <c:pt idx="11">
                  <c:v>1.5209591836734695</c:v>
                </c:pt>
                <c:pt idx="12">
                  <c:v>1.5209591836734695</c:v>
                </c:pt>
                <c:pt idx="13">
                  <c:v>1.5209591836734695</c:v>
                </c:pt>
                <c:pt idx="14">
                  <c:v>1.5209591836734695</c:v>
                </c:pt>
                <c:pt idx="15">
                  <c:v>1.5209591836734695</c:v>
                </c:pt>
                <c:pt idx="16">
                  <c:v>1.5209591836734695</c:v>
                </c:pt>
                <c:pt idx="17">
                  <c:v>1.5209591836734695</c:v>
                </c:pt>
                <c:pt idx="18">
                  <c:v>1.5209591836734695</c:v>
                </c:pt>
                <c:pt idx="19">
                  <c:v>1.5209591836734695</c:v>
                </c:pt>
                <c:pt idx="20">
                  <c:v>1.5209591836734695</c:v>
                </c:pt>
                <c:pt idx="21">
                  <c:v>1.5209591836734695</c:v>
                </c:pt>
                <c:pt idx="22">
                  <c:v>1.5209591836734695</c:v>
                </c:pt>
                <c:pt idx="23">
                  <c:v>1.5209591836734695</c:v>
                </c:pt>
                <c:pt idx="24">
                  <c:v>1.5209591836734695</c:v>
                </c:pt>
                <c:pt idx="25">
                  <c:v>1.5209591836734695</c:v>
                </c:pt>
                <c:pt idx="26">
                  <c:v>1.5209591836734695</c:v>
                </c:pt>
                <c:pt idx="27">
                  <c:v>1.5209591836734695</c:v>
                </c:pt>
                <c:pt idx="28">
                  <c:v>1.5209591836734695</c:v>
                </c:pt>
                <c:pt idx="29">
                  <c:v>1.5209591836734695</c:v>
                </c:pt>
                <c:pt idx="30">
                  <c:v>1.5209591836734695</c:v>
                </c:pt>
                <c:pt idx="31">
                  <c:v>1.5209591836734695</c:v>
                </c:pt>
                <c:pt idx="32">
                  <c:v>1.5209591836734695</c:v>
                </c:pt>
                <c:pt idx="33">
                  <c:v>1.5209591836734695</c:v>
                </c:pt>
                <c:pt idx="34">
                  <c:v>1.5209591836734695</c:v>
                </c:pt>
                <c:pt idx="35">
                  <c:v>1.5209591836734695</c:v>
                </c:pt>
                <c:pt idx="36">
                  <c:v>1.5209591836734695</c:v>
                </c:pt>
                <c:pt idx="37">
                  <c:v>1.5209591836734695</c:v>
                </c:pt>
                <c:pt idx="38">
                  <c:v>1.5209591836734695</c:v>
                </c:pt>
                <c:pt idx="39">
                  <c:v>1.5209591836734695</c:v>
                </c:pt>
                <c:pt idx="40">
                  <c:v>1.5209591836734695</c:v>
                </c:pt>
                <c:pt idx="41">
                  <c:v>1.5209591836734695</c:v>
                </c:pt>
                <c:pt idx="42">
                  <c:v>1.5209591836734695</c:v>
                </c:pt>
                <c:pt idx="43">
                  <c:v>1.5209591836734695</c:v>
                </c:pt>
                <c:pt idx="44">
                  <c:v>1.5209591836734695</c:v>
                </c:pt>
                <c:pt idx="45">
                  <c:v>1.5209591836734695</c:v>
                </c:pt>
                <c:pt idx="46">
                  <c:v>1.5209591836734695</c:v>
                </c:pt>
                <c:pt idx="47">
                  <c:v>1.5209591836734695</c:v>
                </c:pt>
                <c:pt idx="48">
                  <c:v>1.5209591836734695</c:v>
                </c:pt>
                <c:pt idx="49">
                  <c:v>1.5209591836734695</c:v>
                </c:pt>
                <c:pt idx="50">
                  <c:v>1.5209591836734695</c:v>
                </c:pt>
                <c:pt idx="51">
                  <c:v>1.5209591836734695</c:v>
                </c:pt>
                <c:pt idx="52">
                  <c:v>1.5209591836734695</c:v>
                </c:pt>
                <c:pt idx="53">
                  <c:v>1.5209591836734695</c:v>
                </c:pt>
                <c:pt idx="54">
                  <c:v>1.5209591836734695</c:v>
                </c:pt>
                <c:pt idx="55">
                  <c:v>1.5209591836734695</c:v>
                </c:pt>
                <c:pt idx="56">
                  <c:v>1.5209591836734695</c:v>
                </c:pt>
                <c:pt idx="57">
                  <c:v>1.5209591836734695</c:v>
                </c:pt>
                <c:pt idx="58">
                  <c:v>1.5209591836734695</c:v>
                </c:pt>
                <c:pt idx="59">
                  <c:v>1.5209591836734695</c:v>
                </c:pt>
                <c:pt idx="60">
                  <c:v>1.5209591836734695</c:v>
                </c:pt>
                <c:pt idx="61">
                  <c:v>1.5209591836734695</c:v>
                </c:pt>
                <c:pt idx="62">
                  <c:v>1.5209591836734695</c:v>
                </c:pt>
                <c:pt idx="63">
                  <c:v>1.5209591836734695</c:v>
                </c:pt>
                <c:pt idx="64">
                  <c:v>1.5209591836734695</c:v>
                </c:pt>
                <c:pt idx="65">
                  <c:v>1.5209591836734695</c:v>
                </c:pt>
                <c:pt idx="66">
                  <c:v>1.5209591836734695</c:v>
                </c:pt>
                <c:pt idx="67">
                  <c:v>1.5209591836734695</c:v>
                </c:pt>
                <c:pt idx="68">
                  <c:v>1.5209591836734695</c:v>
                </c:pt>
                <c:pt idx="69">
                  <c:v>1.5209591836734695</c:v>
                </c:pt>
                <c:pt idx="70">
                  <c:v>1.5209591836734695</c:v>
                </c:pt>
                <c:pt idx="71">
                  <c:v>1.5209591836734695</c:v>
                </c:pt>
                <c:pt idx="72">
                  <c:v>1.5209591836734695</c:v>
                </c:pt>
                <c:pt idx="73">
                  <c:v>1.5209591836734695</c:v>
                </c:pt>
                <c:pt idx="74">
                  <c:v>1.5209591836734695</c:v>
                </c:pt>
                <c:pt idx="75">
                  <c:v>1.5209591836734695</c:v>
                </c:pt>
                <c:pt idx="76">
                  <c:v>1.5209591836734695</c:v>
                </c:pt>
                <c:pt idx="77">
                  <c:v>1.5209591836734695</c:v>
                </c:pt>
                <c:pt idx="78">
                  <c:v>1.5209591836734695</c:v>
                </c:pt>
                <c:pt idx="79">
                  <c:v>1.5209591836734695</c:v>
                </c:pt>
                <c:pt idx="80">
                  <c:v>1.5209591836734695</c:v>
                </c:pt>
                <c:pt idx="81">
                  <c:v>1.5209591836734695</c:v>
                </c:pt>
                <c:pt idx="82">
                  <c:v>1.5209591836734695</c:v>
                </c:pt>
              </c:numCache>
            </c:numRef>
          </c:yVal>
          <c:smooth val="1"/>
          <c:extLst>
            <c:ext xmlns:c16="http://schemas.microsoft.com/office/drawing/2014/chart" uri="{C3380CC4-5D6E-409C-BE32-E72D297353CC}">
              <c16:uniqueId val="{00000002-B879-498A-9786-9B1F8E0E07CE}"/>
            </c:ext>
          </c:extLst>
        </c:ser>
        <c:ser>
          <c:idx val="3"/>
          <c:order val="3"/>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1921.5837087114464</c:v>
                </c:pt>
                <c:pt idx="39">
                  <c:v>6.499999999999007</c:v>
                </c:pt>
                <c:pt idx="40">
                  <c:v>3.2529106029008803</c:v>
                </c:pt>
                <c:pt idx="41">
                  <c:v>2.4982667258847973</c:v>
                </c:pt>
                <c:pt idx="42">
                  <c:v>2.1257309304031207</c:v>
                </c:pt>
                <c:pt idx="43">
                  <c:v>1.8960339956097945</c:v>
                </c:pt>
                <c:pt idx="44">
                  <c:v>1.7376131616797115</c:v>
                </c:pt>
                <c:pt idx="45">
                  <c:v>1.6206354136476369</c:v>
                </c:pt>
                <c:pt idx="46">
                  <c:v>1.5301841113520063</c:v>
                </c:pt>
                <c:pt idx="47">
                  <c:v>1.4578754741100259</c:v>
                </c:pt>
                <c:pt idx="48">
                  <c:v>1.3985939180008431</c:v>
                </c:pt>
                <c:pt idx="49">
                  <c:v>1.3490213172523273</c:v>
                </c:pt>
                <c:pt idx="50">
                  <c:v>1.3069011244615849</c:v>
                </c:pt>
                <c:pt idx="51">
                  <c:v>1.2706396576782892</c:v>
                </c:pt>
                <c:pt idx="52">
                  <c:v>1.2390760932765092</c:v>
                </c:pt>
                <c:pt idx="53">
                  <c:v>1.2113428740117067</c:v>
                </c:pt>
                <c:pt idx="54">
                  <c:v>1.1867773590313537</c:v>
                </c:pt>
                <c:pt idx="55">
                  <c:v>1.1648638953701158</c:v>
                </c:pt>
                <c:pt idx="56">
                  <c:v>1.1451946731274369</c:v>
                </c:pt>
                <c:pt idx="57">
                  <c:v>1.1274425752841599</c:v>
                </c:pt>
                <c:pt idx="58">
                  <c:v>1.1113419135083229</c:v>
                </c:pt>
                <c:pt idx="59">
                  <c:v>1.0966744827478272</c:v>
                </c:pt>
                <c:pt idx="60">
                  <c:v>1.0832592849365161</c:v>
                </c:pt>
                <c:pt idx="61">
                  <c:v>1.0709448350980926</c:v>
                </c:pt>
                <c:pt idx="62">
                  <c:v>1.0596033179556184</c:v>
                </c:pt>
                <c:pt idx="63">
                  <c:v>1.0491260922331147</c:v>
                </c:pt>
                <c:pt idx="64">
                  <c:v>1.0394201909627108</c:v>
                </c:pt>
                <c:pt idx="65">
                  <c:v>1.0304055677788071</c:v>
                </c:pt>
                <c:pt idx="66">
                  <c:v>1.022012908801389</c:v>
                </c:pt>
                <c:pt idx="67">
                  <c:v>1.0141818781648655</c:v>
                </c:pt>
                <c:pt idx="68">
                  <c:v>1.0068596994765564</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3-B879-498A-9786-9B1F8E0E07CE}"/>
            </c:ext>
          </c:extLst>
        </c:ser>
        <c:ser>
          <c:idx val="4"/>
          <c:order val="4"/>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RTC!$C$31:$CG$31</c:f>
              <c:numCache>
                <c:formatCode>General</c:formatCode>
                <c:ptCount val="83"/>
                <c:pt idx="0">
                  <c:v>0.68571428571428572</c:v>
                </c:pt>
                <c:pt idx="1">
                  <c:v>0.68571428571428572</c:v>
                </c:pt>
                <c:pt idx="2">
                  <c:v>0.68571428571428572</c:v>
                </c:pt>
                <c:pt idx="3">
                  <c:v>0.68571428571428572</c:v>
                </c:pt>
                <c:pt idx="4">
                  <c:v>0.68571428571428572</c:v>
                </c:pt>
                <c:pt idx="5">
                  <c:v>0.68571428571428572</c:v>
                </c:pt>
                <c:pt idx="6">
                  <c:v>0.68571428571428572</c:v>
                </c:pt>
                <c:pt idx="7">
                  <c:v>0.68571428571428572</c:v>
                </c:pt>
                <c:pt idx="8">
                  <c:v>0.68571428571428572</c:v>
                </c:pt>
                <c:pt idx="9">
                  <c:v>0.68571428571428572</c:v>
                </c:pt>
                <c:pt idx="10">
                  <c:v>0.68571428571428572</c:v>
                </c:pt>
                <c:pt idx="11">
                  <c:v>0.68571428571428572</c:v>
                </c:pt>
                <c:pt idx="12">
                  <c:v>0.68571428571428572</c:v>
                </c:pt>
                <c:pt idx="13">
                  <c:v>0.68571428571428572</c:v>
                </c:pt>
                <c:pt idx="14">
                  <c:v>0.68571428571428572</c:v>
                </c:pt>
                <c:pt idx="15">
                  <c:v>0.68571428571428572</c:v>
                </c:pt>
                <c:pt idx="16">
                  <c:v>0.68571428571428572</c:v>
                </c:pt>
                <c:pt idx="17">
                  <c:v>0.68571428571428572</c:v>
                </c:pt>
                <c:pt idx="18">
                  <c:v>0.68571428571428572</c:v>
                </c:pt>
                <c:pt idx="19">
                  <c:v>0.68571428571428572</c:v>
                </c:pt>
                <c:pt idx="20">
                  <c:v>0.68571428571428572</c:v>
                </c:pt>
                <c:pt idx="21">
                  <c:v>0.68571428571428572</c:v>
                </c:pt>
                <c:pt idx="22">
                  <c:v>0.68571428571428572</c:v>
                </c:pt>
                <c:pt idx="23">
                  <c:v>0.68571428571428572</c:v>
                </c:pt>
                <c:pt idx="24">
                  <c:v>0.68571428571428572</c:v>
                </c:pt>
                <c:pt idx="25">
                  <c:v>0.68571428571428572</c:v>
                </c:pt>
                <c:pt idx="26">
                  <c:v>0.68571428571428572</c:v>
                </c:pt>
                <c:pt idx="27">
                  <c:v>0.68571428571428572</c:v>
                </c:pt>
                <c:pt idx="28">
                  <c:v>0.68571428571428572</c:v>
                </c:pt>
                <c:pt idx="29">
                  <c:v>0.68571428571428572</c:v>
                </c:pt>
                <c:pt idx="30">
                  <c:v>0.68571428571428572</c:v>
                </c:pt>
                <c:pt idx="31">
                  <c:v>0.68571428571428572</c:v>
                </c:pt>
                <c:pt idx="32">
                  <c:v>0.68571428571428572</c:v>
                </c:pt>
                <c:pt idx="33">
                  <c:v>0.68571428571428572</c:v>
                </c:pt>
                <c:pt idx="34">
                  <c:v>0.68571428571428572</c:v>
                </c:pt>
                <c:pt idx="35">
                  <c:v>0.68571428571428572</c:v>
                </c:pt>
                <c:pt idx="36">
                  <c:v>0.68571428571428572</c:v>
                </c:pt>
                <c:pt idx="37">
                  <c:v>0.68571428571428572</c:v>
                </c:pt>
                <c:pt idx="38">
                  <c:v>0.68571428571428572</c:v>
                </c:pt>
                <c:pt idx="39">
                  <c:v>0.68571428571428572</c:v>
                </c:pt>
                <c:pt idx="40">
                  <c:v>0.68571428571428572</c:v>
                </c:pt>
                <c:pt idx="41">
                  <c:v>0.68571428571428572</c:v>
                </c:pt>
                <c:pt idx="42">
                  <c:v>0.68571428571428572</c:v>
                </c:pt>
                <c:pt idx="43">
                  <c:v>0.68571428571428572</c:v>
                </c:pt>
                <c:pt idx="44">
                  <c:v>0.68571428571428572</c:v>
                </c:pt>
                <c:pt idx="45">
                  <c:v>0.68571428571428572</c:v>
                </c:pt>
                <c:pt idx="46">
                  <c:v>0.68571428571428572</c:v>
                </c:pt>
                <c:pt idx="47">
                  <c:v>0.68571428571428572</c:v>
                </c:pt>
                <c:pt idx="48">
                  <c:v>0.68571428571428572</c:v>
                </c:pt>
                <c:pt idx="49">
                  <c:v>0.68571428571428572</c:v>
                </c:pt>
                <c:pt idx="50">
                  <c:v>0.68571428571428572</c:v>
                </c:pt>
                <c:pt idx="51">
                  <c:v>0.68571428571428572</c:v>
                </c:pt>
                <c:pt idx="52">
                  <c:v>0.68571428571428572</c:v>
                </c:pt>
                <c:pt idx="53">
                  <c:v>0.68571428571428572</c:v>
                </c:pt>
                <c:pt idx="54">
                  <c:v>0.68571428571428572</c:v>
                </c:pt>
                <c:pt idx="55">
                  <c:v>0.68571428571428572</c:v>
                </c:pt>
                <c:pt idx="56">
                  <c:v>0.68571428571428572</c:v>
                </c:pt>
                <c:pt idx="57">
                  <c:v>0.68571428571428572</c:v>
                </c:pt>
                <c:pt idx="58">
                  <c:v>0.68571428571428572</c:v>
                </c:pt>
                <c:pt idx="59">
                  <c:v>0.68571428571428572</c:v>
                </c:pt>
                <c:pt idx="60">
                  <c:v>0.68571428571428572</c:v>
                </c:pt>
                <c:pt idx="61">
                  <c:v>0.68571428571428572</c:v>
                </c:pt>
                <c:pt idx="62">
                  <c:v>0.68571428571428572</c:v>
                </c:pt>
                <c:pt idx="63">
                  <c:v>0.68571428571428572</c:v>
                </c:pt>
                <c:pt idx="64">
                  <c:v>0.68571428571428572</c:v>
                </c:pt>
                <c:pt idx="65">
                  <c:v>0.68571428571428572</c:v>
                </c:pt>
                <c:pt idx="66">
                  <c:v>0.68571428571428572</c:v>
                </c:pt>
                <c:pt idx="67">
                  <c:v>0.68571428571428572</c:v>
                </c:pt>
                <c:pt idx="68">
                  <c:v>0.68571428571428572</c:v>
                </c:pt>
                <c:pt idx="69">
                  <c:v>0.68571428571428572</c:v>
                </c:pt>
                <c:pt idx="70">
                  <c:v>0.68571428571428572</c:v>
                </c:pt>
                <c:pt idx="71">
                  <c:v>0.68571428571428572</c:v>
                </c:pt>
                <c:pt idx="72">
                  <c:v>0.68571428571428572</c:v>
                </c:pt>
                <c:pt idx="73">
                  <c:v>0.68571428571428572</c:v>
                </c:pt>
                <c:pt idx="74">
                  <c:v>0.68571428571428572</c:v>
                </c:pt>
                <c:pt idx="75">
                  <c:v>0.68571428571428572</c:v>
                </c:pt>
                <c:pt idx="76">
                  <c:v>0.68571428571428572</c:v>
                </c:pt>
                <c:pt idx="77">
                  <c:v>0.68571428571428572</c:v>
                </c:pt>
                <c:pt idx="78">
                  <c:v>0.68571428571428572</c:v>
                </c:pt>
                <c:pt idx="79">
                  <c:v>0.68571428571428572</c:v>
                </c:pt>
                <c:pt idx="80">
                  <c:v>0.68571428571428572</c:v>
                </c:pt>
                <c:pt idx="81">
                  <c:v>0.68571428571428572</c:v>
                </c:pt>
                <c:pt idx="82">
                  <c:v>0.68571428571428572</c:v>
                </c:pt>
              </c:numCache>
            </c:numRef>
          </c:yVal>
          <c:smooth val="1"/>
          <c:extLst>
            <c:ext xmlns:c16="http://schemas.microsoft.com/office/drawing/2014/chart" uri="{C3380CC4-5D6E-409C-BE32-E72D297353CC}">
              <c16:uniqueId val="{00000004-B879-498A-9786-9B1F8E0E07CE}"/>
            </c:ext>
          </c:extLst>
        </c:ser>
        <c:dLbls>
          <c:showLegendKey val="0"/>
          <c:showVal val="0"/>
          <c:showCatName val="0"/>
          <c:showSerName val="0"/>
          <c:showPercent val="0"/>
          <c:showBubbleSize val="0"/>
        </c:dLbls>
        <c:axId val="6459798"/>
        <c:axId val="22431077"/>
      </c:scatterChart>
      <c:valAx>
        <c:axId val="6459798"/>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2431077"/>
        <c:crosses val="autoZero"/>
        <c:crossBetween val="midCat"/>
        <c:majorUnit val="1"/>
        <c:minorUnit val="1"/>
      </c:valAx>
      <c:valAx>
        <c:axId val="22431077"/>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459798"/>
        <c:crosses val="autoZero"/>
        <c:crossBetween val="midCat"/>
      </c:valAx>
      <c:spPr>
        <a:noFill/>
        <a:ln w="0">
          <a:noFill/>
        </a:ln>
      </c:spPr>
    </c:plotArea>
    <c:legend>
      <c:legendPos val="r"/>
      <c:layout>
        <c:manualLayout>
          <c:xMode val="edge"/>
          <c:yMode val="edge"/>
          <c:x val="0.66888263213995602"/>
          <c:y val="0.16027563224159799"/>
          <c:w val="0.26492290775178101"/>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@π/2</a:t>
            </a:r>
          </a:p>
        </c:rich>
      </c:tx>
      <c:layout>
        <c:manualLayout>
          <c:xMode val="edge"/>
          <c:yMode val="edge"/>
          <c:x val="0.161412005774694"/>
          <c:y val="2.3257418909592799E-2"/>
        </c:manualLayout>
      </c:layout>
      <c:overlay val="0"/>
      <c:spPr>
        <a:noFill/>
        <a:ln w="0">
          <a:noFill/>
        </a:ln>
      </c:spPr>
    </c:title>
    <c:autoTitleDeleted val="0"/>
    <c:plotArea>
      <c:layout>
        <c:manualLayout>
          <c:layoutTarget val="inner"/>
          <c:xMode val="edge"/>
          <c:yMode val="edge"/>
          <c:x val="0.12536673962650799"/>
          <c:y val="0.14182194616977201"/>
          <c:w val="0.82624691473012601"/>
          <c:h val="0.736783988957901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RTC!$C$28:$CG$28</c:f>
              <c:numCache>
                <c:formatCode>General</c:formatCode>
                <c:ptCount val="83"/>
                <c:pt idx="0">
                  <c:v>2.1818182512396718E-8</c:v>
                </c:pt>
                <c:pt idx="1">
                  <c:v>1.2886419367458453E-3</c:v>
                </c:pt>
                <c:pt idx="2">
                  <c:v>3.2957540508757933E-3</c:v>
                </c:pt>
                <c:pt idx="3">
                  <c:v>6.2466838217803949E-3</c:v>
                </c:pt>
                <c:pt idx="4">
                  <c:v>1.0165634844491057E-2</c:v>
                </c:pt>
                <c:pt idx="5">
                  <c:v>1.5085230808885637E-2</c:v>
                </c:pt>
                <c:pt idx="6">
                  <c:v>2.104720710419164E-2</c:v>
                </c:pt>
                <c:pt idx="7">
                  <c:v>2.8103319587713758E-2</c:v>
                </c:pt>
                <c:pt idx="8">
                  <c:v>3.6316508449383139E-2</c:v>
                </c:pt>
                <c:pt idx="9">
                  <c:v>4.5762367743434479E-2</c:v>
                </c:pt>
                <c:pt idx="10">
                  <c:v>5.6530987448607108E-2</c:v>
                </c:pt>
                <c:pt idx="11">
                  <c:v>6.8729256295102084E-2</c:v>
                </c:pt>
                <c:pt idx="12">
                  <c:v>8.2483742085161724E-2</c:v>
                </c:pt>
                <c:pt idx="13">
                  <c:v>9.7944304735298124E-2</c:v>
                </c:pt>
                <c:pt idx="14">
                  <c:v>0.11528864999952876</c:v>
                </c:pt>
                <c:pt idx="15">
                  <c:v>0.1347281050187448</c:v>
                </c:pt>
                <c:pt idx="16">
                  <c:v>0.15651499980883612</c:v>
                </c:pt>
                <c:pt idx="17">
                  <c:v>0.18095218575415503</c:v>
                </c:pt>
                <c:pt idx="18">
                  <c:v>0.20840543512238516</c:v>
                </c:pt>
                <c:pt idx="19">
                  <c:v>0.23931977930378859</c:v>
                </c:pt>
                <c:pt idx="20">
                  <c:v>0.27424131386312434</c:v>
                </c:pt>
                <c:pt idx="21">
                  <c:v>0.31384671772931005</c:v>
                </c:pt>
                <c:pt idx="22">
                  <c:v>0.3589838574142431</c:v>
                </c:pt>
                <c:pt idx="23">
                  <c:v>0.41072864448862639</c:v>
                </c:pt>
                <c:pt idx="24">
                  <c:v>0.47046626668653735</c:v>
                </c:pt>
                <c:pt idx="25">
                  <c:v>0.54000990781304037</c:v>
                </c:pt>
                <c:pt idx="26">
                  <c:v>0.62177881033586746</c:v>
                </c:pt>
                <c:pt idx="27">
                  <c:v>0.71907341857608231</c:v>
                </c:pt>
                <c:pt idx="28">
                  <c:v>0.83651551018079373</c:v>
                </c:pt>
                <c:pt idx="29">
                  <c:v>0.98078153994784389</c:v>
                </c:pt>
                <c:pt idx="30">
                  <c:v>1.1618855338834528</c:v>
                </c:pt>
                <c:pt idx="31">
                  <c:v>1.3955605407023011</c:v>
                </c:pt>
                <c:pt idx="32">
                  <c:v>1.70801881699095</c:v>
                </c:pt>
                <c:pt idx="33">
                  <c:v>2.1464163817304032</c:v>
                </c:pt>
                <c:pt idx="34">
                  <c:v>2.8049873938594398</c:v>
                </c:pt>
                <c:pt idx="35">
                  <c:v>3.9033273688464369</c:v>
                </c:pt>
                <c:pt idx="36">
                  <c:v>6.098718634915044</c:v>
                </c:pt>
                <c:pt idx="37">
                  <c:v>12.659566924581251</c:v>
                </c:pt>
                <c:pt idx="38">
                  <c:v>1921.5837087114464</c:v>
                </c:pt>
                <c:pt idx="39">
                  <c:v>42.249999999987104</c:v>
                </c:pt>
                <c:pt idx="40">
                  <c:v>10.581427390464974</c:v>
                </c:pt>
                <c:pt idx="41">
                  <c:v>6.2413366336631526</c:v>
                </c:pt>
                <c:pt idx="42">
                  <c:v>4.5187319884725161</c:v>
                </c:pt>
                <c:pt idx="43">
                  <c:v>3.5949449125080415</c:v>
                </c:pt>
                <c:pt idx="44">
                  <c:v>3.0192994996425648</c:v>
                </c:pt>
                <c:pt idx="45">
                  <c:v>2.6264591439688467</c:v>
                </c:pt>
                <c:pt idx="46">
                  <c:v>2.3414634146341284</c:v>
                </c:pt>
                <c:pt idx="47">
                  <c:v>2.1254008980115326</c:v>
                </c:pt>
                <c:pt idx="48">
                  <c:v>1.9560649474689491</c:v>
                </c:pt>
                <c:pt idx="49">
                  <c:v>1.8198585144012047</c:v>
                </c:pt>
                <c:pt idx="50">
                  <c:v>1.7079905491189553</c:v>
                </c:pt>
                <c:pt idx="51">
                  <c:v>1.6145251396647997</c:v>
                </c:pt>
                <c:pt idx="52">
                  <c:v>1.5353095649293769</c:v>
                </c:pt>
                <c:pt idx="53">
                  <c:v>1.4673515584189416</c:v>
                </c:pt>
                <c:pt idx="54">
                  <c:v>1.4084404999094342</c:v>
                </c:pt>
                <c:pt idx="55">
                  <c:v>1.35690789473684</c:v>
                </c:pt>
                <c:pt idx="56">
                  <c:v>1.3114708393594574</c:v>
                </c:pt>
                <c:pt idx="57">
                  <c:v>1.2711267605633787</c:v>
                </c:pt>
                <c:pt idx="58">
                  <c:v>1.2350808487203404</c:v>
                </c:pt>
                <c:pt idx="59">
                  <c:v>1.2026949211102145</c:v>
                </c:pt>
                <c:pt idx="60">
                  <c:v>1.1734506784011727</c:v>
                </c:pt>
                <c:pt idx="61">
                  <c:v>1.1469228398232809</c:v>
                </c:pt>
                <c:pt idx="62">
                  <c:v>1.1227591914225556</c:v>
                </c:pt>
                <c:pt idx="63">
                  <c:v>1.1006655574043258</c:v>
                </c:pt>
                <c:pt idx="64">
                  <c:v>1.080394333380958</c:v>
                </c:pt>
                <c:pt idx="65">
                  <c:v>1.0617356341095658</c:v>
                </c:pt>
                <c:pt idx="66">
                  <c:v>1.0445103857566764</c:v>
                </c:pt>
                <c:pt idx="67">
                  <c:v>1.0285648819980142</c:v>
                </c:pt>
                <c:pt idx="68">
                  <c:v>1.0137664544300213</c:v>
                </c:pt>
                <c:pt idx="69">
                  <c:v>1</c:v>
                </c:pt>
                <c:pt idx="70">
                  <c:v>0.92687605964801134</c:v>
                </c:pt>
                <c:pt idx="71">
                  <c:v>0.87793233473094412</c:v>
                </c:pt>
                <c:pt idx="72">
                  <c:v>0.8432116897802775</c:v>
                </c:pt>
                <c:pt idx="73">
                  <c:v>0.81751431221486071</c:v>
                </c:pt>
                <c:pt idx="74">
                  <c:v>0.79786908756308172</c:v>
                </c:pt>
                <c:pt idx="75">
                  <c:v>0.78246071684854068</c:v>
                </c:pt>
                <c:pt idx="76">
                  <c:v>0.7701209595806876</c:v>
                </c:pt>
                <c:pt idx="77">
                  <c:v>0.76006613168945525</c:v>
                </c:pt>
                <c:pt idx="78">
                  <c:v>0.75175235378607119</c:v>
                </c:pt>
                <c:pt idx="79">
                  <c:v>0.74479131918510189</c:v>
                </c:pt>
                <c:pt idx="80">
                  <c:v>0.73889904941593587</c:v>
                </c:pt>
                <c:pt idx="81">
                  <c:v>0.73386352963092394</c:v>
                </c:pt>
                <c:pt idx="82">
                  <c:v>0.72952360451323239</c:v>
                </c:pt>
              </c:numCache>
            </c:numRef>
          </c:yVal>
          <c:smooth val="1"/>
          <c:extLst>
            <c:ext xmlns:c16="http://schemas.microsoft.com/office/drawing/2014/chart" uri="{C3380CC4-5D6E-409C-BE32-E72D297353CC}">
              <c16:uniqueId val="{00000000-E619-43DA-A2E7-CD26B1CA2283}"/>
            </c:ext>
          </c:extLst>
        </c:ser>
        <c:ser>
          <c:idx val="1"/>
          <c:order val="1"/>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RTC!$C$67:$CG$67</c:f>
              <c:numCache>
                <c:formatCode>General</c:formatCode>
                <c:ptCount val="83"/>
                <c:pt idx="0">
                  <c:v>0.79284042553191492</c:v>
                </c:pt>
                <c:pt idx="1">
                  <c:v>0.79284042553191492</c:v>
                </c:pt>
                <c:pt idx="2">
                  <c:v>0.79284042553191492</c:v>
                </c:pt>
                <c:pt idx="3">
                  <c:v>0.79284042553191492</c:v>
                </c:pt>
                <c:pt idx="4">
                  <c:v>0.79284042553191492</c:v>
                </c:pt>
                <c:pt idx="5">
                  <c:v>0.79284042553191492</c:v>
                </c:pt>
                <c:pt idx="6">
                  <c:v>0.79284042553191492</c:v>
                </c:pt>
                <c:pt idx="7">
                  <c:v>0.79284042553191492</c:v>
                </c:pt>
                <c:pt idx="8">
                  <c:v>0.79284042553191492</c:v>
                </c:pt>
                <c:pt idx="9">
                  <c:v>0.79284042553191492</c:v>
                </c:pt>
                <c:pt idx="10">
                  <c:v>0.79284042553191492</c:v>
                </c:pt>
                <c:pt idx="11">
                  <c:v>0.79284042553191492</c:v>
                </c:pt>
                <c:pt idx="12">
                  <c:v>0.79284042553191492</c:v>
                </c:pt>
                <c:pt idx="13">
                  <c:v>0.79284042553191492</c:v>
                </c:pt>
                <c:pt idx="14">
                  <c:v>0.79284042553191492</c:v>
                </c:pt>
                <c:pt idx="15">
                  <c:v>0.79284042553191492</c:v>
                </c:pt>
                <c:pt idx="16">
                  <c:v>0.79284042553191492</c:v>
                </c:pt>
                <c:pt idx="17">
                  <c:v>0.79284042553191492</c:v>
                </c:pt>
                <c:pt idx="18">
                  <c:v>0.79284042553191492</c:v>
                </c:pt>
                <c:pt idx="19">
                  <c:v>0.79284042553191492</c:v>
                </c:pt>
                <c:pt idx="20">
                  <c:v>0.79284042553191492</c:v>
                </c:pt>
                <c:pt idx="21">
                  <c:v>0.79284042553191492</c:v>
                </c:pt>
                <c:pt idx="22">
                  <c:v>0.79284042553191492</c:v>
                </c:pt>
                <c:pt idx="23">
                  <c:v>0.79284042553191492</c:v>
                </c:pt>
                <c:pt idx="24">
                  <c:v>0.79284042553191492</c:v>
                </c:pt>
                <c:pt idx="25">
                  <c:v>0.79284042553191492</c:v>
                </c:pt>
                <c:pt idx="26">
                  <c:v>0.79284042553191492</c:v>
                </c:pt>
                <c:pt idx="27">
                  <c:v>0.79284042553191492</c:v>
                </c:pt>
                <c:pt idx="28">
                  <c:v>0.79284042553191492</c:v>
                </c:pt>
                <c:pt idx="29">
                  <c:v>0.79284042553191492</c:v>
                </c:pt>
                <c:pt idx="30">
                  <c:v>0.79284042553191492</c:v>
                </c:pt>
                <c:pt idx="31">
                  <c:v>0.79284042553191492</c:v>
                </c:pt>
                <c:pt idx="32">
                  <c:v>0.79284042553191492</c:v>
                </c:pt>
                <c:pt idx="33">
                  <c:v>0.79284042553191492</c:v>
                </c:pt>
                <c:pt idx="34">
                  <c:v>0.79284042553191492</c:v>
                </c:pt>
                <c:pt idx="35">
                  <c:v>0.79284042553191492</c:v>
                </c:pt>
                <c:pt idx="36">
                  <c:v>0.79284042553191492</c:v>
                </c:pt>
                <c:pt idx="37">
                  <c:v>0.79284042553191492</c:v>
                </c:pt>
                <c:pt idx="38">
                  <c:v>0.79284042553191492</c:v>
                </c:pt>
                <c:pt idx="39">
                  <c:v>0.79284042553191492</c:v>
                </c:pt>
                <c:pt idx="40">
                  <c:v>0.79284042553191492</c:v>
                </c:pt>
                <c:pt idx="41">
                  <c:v>0.79284042553191492</c:v>
                </c:pt>
                <c:pt idx="42">
                  <c:v>0.79284042553191492</c:v>
                </c:pt>
                <c:pt idx="43">
                  <c:v>0.79284042553191492</c:v>
                </c:pt>
                <c:pt idx="44">
                  <c:v>0.79284042553191492</c:v>
                </c:pt>
                <c:pt idx="45">
                  <c:v>0.79284042553191492</c:v>
                </c:pt>
                <c:pt idx="46">
                  <c:v>0.79284042553191492</c:v>
                </c:pt>
                <c:pt idx="47">
                  <c:v>0.79284042553191492</c:v>
                </c:pt>
                <c:pt idx="48">
                  <c:v>0.79284042553191492</c:v>
                </c:pt>
                <c:pt idx="49">
                  <c:v>0.79284042553191492</c:v>
                </c:pt>
                <c:pt idx="50">
                  <c:v>0.79284042553191492</c:v>
                </c:pt>
                <c:pt idx="51">
                  <c:v>0.79284042553191492</c:v>
                </c:pt>
                <c:pt idx="52">
                  <c:v>0.79284042553191492</c:v>
                </c:pt>
                <c:pt idx="53">
                  <c:v>0.79284042553191492</c:v>
                </c:pt>
                <c:pt idx="54">
                  <c:v>0.79284042553191492</c:v>
                </c:pt>
                <c:pt idx="55">
                  <c:v>0.79284042553191492</c:v>
                </c:pt>
                <c:pt idx="56">
                  <c:v>0.79284042553191492</c:v>
                </c:pt>
                <c:pt idx="57">
                  <c:v>0.79284042553191492</c:v>
                </c:pt>
                <c:pt idx="58">
                  <c:v>0.79284042553191492</c:v>
                </c:pt>
                <c:pt idx="59">
                  <c:v>0.79284042553191492</c:v>
                </c:pt>
                <c:pt idx="60">
                  <c:v>0.79284042553191492</c:v>
                </c:pt>
                <c:pt idx="61">
                  <c:v>0.79284042553191492</c:v>
                </c:pt>
                <c:pt idx="62">
                  <c:v>0.79284042553191492</c:v>
                </c:pt>
                <c:pt idx="63">
                  <c:v>0.79284042553191492</c:v>
                </c:pt>
                <c:pt idx="64">
                  <c:v>0.79284042553191492</c:v>
                </c:pt>
                <c:pt idx="65">
                  <c:v>0.79284042553191492</c:v>
                </c:pt>
                <c:pt idx="66">
                  <c:v>0.79284042553191492</c:v>
                </c:pt>
                <c:pt idx="67">
                  <c:v>0.79284042553191492</c:v>
                </c:pt>
                <c:pt idx="68">
                  <c:v>0.79284042553191492</c:v>
                </c:pt>
                <c:pt idx="69">
                  <c:v>0.79284042553191492</c:v>
                </c:pt>
                <c:pt idx="70">
                  <c:v>0.79284042553191492</c:v>
                </c:pt>
                <c:pt idx="71">
                  <c:v>0.79284042553191492</c:v>
                </c:pt>
                <c:pt idx="72">
                  <c:v>0.79284042553191492</c:v>
                </c:pt>
                <c:pt idx="73">
                  <c:v>0.79284042553191492</c:v>
                </c:pt>
                <c:pt idx="74">
                  <c:v>0.79284042553191492</c:v>
                </c:pt>
                <c:pt idx="75">
                  <c:v>0.79284042553191492</c:v>
                </c:pt>
                <c:pt idx="76">
                  <c:v>0.79284042553191492</c:v>
                </c:pt>
                <c:pt idx="77">
                  <c:v>0.79284042553191492</c:v>
                </c:pt>
                <c:pt idx="78">
                  <c:v>0.79284042553191492</c:v>
                </c:pt>
                <c:pt idx="79">
                  <c:v>0.79284042553191492</c:v>
                </c:pt>
                <c:pt idx="80">
                  <c:v>0.79284042553191492</c:v>
                </c:pt>
                <c:pt idx="81">
                  <c:v>0.79284042553191492</c:v>
                </c:pt>
                <c:pt idx="82">
                  <c:v>0.79284042553191492</c:v>
                </c:pt>
              </c:numCache>
            </c:numRef>
          </c:yVal>
          <c:smooth val="1"/>
          <c:extLst>
            <c:ext xmlns:c16="http://schemas.microsoft.com/office/drawing/2014/chart" uri="{C3380CC4-5D6E-409C-BE32-E72D297353CC}">
              <c16:uniqueId val="{00000001-E619-43DA-A2E7-CD26B1CA2283}"/>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1921.5837087114464</c:v>
                </c:pt>
                <c:pt idx="39">
                  <c:v>6.499999999999007</c:v>
                </c:pt>
                <c:pt idx="40">
                  <c:v>3.2529106029008803</c:v>
                </c:pt>
                <c:pt idx="41">
                  <c:v>2.4982667258847973</c:v>
                </c:pt>
                <c:pt idx="42">
                  <c:v>2.1257309304031207</c:v>
                </c:pt>
                <c:pt idx="43">
                  <c:v>1.8960339956097945</c:v>
                </c:pt>
                <c:pt idx="44">
                  <c:v>1.7376131616797115</c:v>
                </c:pt>
                <c:pt idx="45">
                  <c:v>1.6206354136476369</c:v>
                </c:pt>
                <c:pt idx="46">
                  <c:v>1.5301841113520063</c:v>
                </c:pt>
                <c:pt idx="47">
                  <c:v>1.4578754741100259</c:v>
                </c:pt>
                <c:pt idx="48">
                  <c:v>1.3985939180008431</c:v>
                </c:pt>
                <c:pt idx="49">
                  <c:v>1.3490213172523273</c:v>
                </c:pt>
                <c:pt idx="50">
                  <c:v>1.3069011244615849</c:v>
                </c:pt>
                <c:pt idx="51">
                  <c:v>1.2706396576782892</c:v>
                </c:pt>
                <c:pt idx="52">
                  <c:v>1.2390760932765092</c:v>
                </c:pt>
                <c:pt idx="53">
                  <c:v>1.2113428740117067</c:v>
                </c:pt>
                <c:pt idx="54">
                  <c:v>1.1867773590313537</c:v>
                </c:pt>
                <c:pt idx="55">
                  <c:v>1.1648638953701158</c:v>
                </c:pt>
                <c:pt idx="56">
                  <c:v>1.1451946731274369</c:v>
                </c:pt>
                <c:pt idx="57">
                  <c:v>1.1274425752841599</c:v>
                </c:pt>
                <c:pt idx="58">
                  <c:v>1.1113419135083229</c:v>
                </c:pt>
                <c:pt idx="59">
                  <c:v>1.0966744827478272</c:v>
                </c:pt>
                <c:pt idx="60">
                  <c:v>1.0832592849365161</c:v>
                </c:pt>
                <c:pt idx="61">
                  <c:v>1.0709448350980926</c:v>
                </c:pt>
                <c:pt idx="62">
                  <c:v>1.0596033179556184</c:v>
                </c:pt>
                <c:pt idx="63">
                  <c:v>1.0491260922331147</c:v>
                </c:pt>
                <c:pt idx="64">
                  <c:v>1.0394201909627108</c:v>
                </c:pt>
                <c:pt idx="65">
                  <c:v>1.0304055677788071</c:v>
                </c:pt>
                <c:pt idx="66">
                  <c:v>1.022012908801389</c:v>
                </c:pt>
                <c:pt idx="67">
                  <c:v>1.0141818781648655</c:v>
                </c:pt>
                <c:pt idx="68">
                  <c:v>1.0068596994765564</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E619-43DA-A2E7-CD26B1CA2283}"/>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RTC!$C$31:$CG$31</c:f>
              <c:numCache>
                <c:formatCode>General</c:formatCode>
                <c:ptCount val="83"/>
                <c:pt idx="0">
                  <c:v>0.68571428571428572</c:v>
                </c:pt>
                <c:pt idx="1">
                  <c:v>0.68571428571428572</c:v>
                </c:pt>
                <c:pt idx="2">
                  <c:v>0.68571428571428572</c:v>
                </c:pt>
                <c:pt idx="3">
                  <c:v>0.68571428571428572</c:v>
                </c:pt>
                <c:pt idx="4">
                  <c:v>0.68571428571428572</c:v>
                </c:pt>
                <c:pt idx="5">
                  <c:v>0.68571428571428572</c:v>
                </c:pt>
                <c:pt idx="6">
                  <c:v>0.68571428571428572</c:v>
                </c:pt>
                <c:pt idx="7">
                  <c:v>0.68571428571428572</c:v>
                </c:pt>
                <c:pt idx="8">
                  <c:v>0.68571428571428572</c:v>
                </c:pt>
                <c:pt idx="9">
                  <c:v>0.68571428571428572</c:v>
                </c:pt>
                <c:pt idx="10">
                  <c:v>0.68571428571428572</c:v>
                </c:pt>
                <c:pt idx="11">
                  <c:v>0.68571428571428572</c:v>
                </c:pt>
                <c:pt idx="12">
                  <c:v>0.68571428571428572</c:v>
                </c:pt>
                <c:pt idx="13">
                  <c:v>0.68571428571428572</c:v>
                </c:pt>
                <c:pt idx="14">
                  <c:v>0.68571428571428572</c:v>
                </c:pt>
                <c:pt idx="15">
                  <c:v>0.68571428571428572</c:v>
                </c:pt>
                <c:pt idx="16">
                  <c:v>0.68571428571428572</c:v>
                </c:pt>
                <c:pt idx="17">
                  <c:v>0.68571428571428572</c:v>
                </c:pt>
                <c:pt idx="18">
                  <c:v>0.68571428571428572</c:v>
                </c:pt>
                <c:pt idx="19">
                  <c:v>0.68571428571428572</c:v>
                </c:pt>
                <c:pt idx="20">
                  <c:v>0.68571428571428572</c:v>
                </c:pt>
                <c:pt idx="21">
                  <c:v>0.68571428571428572</c:v>
                </c:pt>
                <c:pt idx="22">
                  <c:v>0.68571428571428572</c:v>
                </c:pt>
                <c:pt idx="23">
                  <c:v>0.68571428571428572</c:v>
                </c:pt>
                <c:pt idx="24">
                  <c:v>0.68571428571428572</c:v>
                </c:pt>
                <c:pt idx="25">
                  <c:v>0.68571428571428572</c:v>
                </c:pt>
                <c:pt idx="26">
                  <c:v>0.68571428571428572</c:v>
                </c:pt>
                <c:pt idx="27">
                  <c:v>0.68571428571428572</c:v>
                </c:pt>
                <c:pt idx="28">
                  <c:v>0.68571428571428572</c:v>
                </c:pt>
                <c:pt idx="29">
                  <c:v>0.68571428571428572</c:v>
                </c:pt>
                <c:pt idx="30">
                  <c:v>0.68571428571428572</c:v>
                </c:pt>
                <c:pt idx="31">
                  <c:v>0.68571428571428572</c:v>
                </c:pt>
                <c:pt idx="32">
                  <c:v>0.68571428571428572</c:v>
                </c:pt>
                <c:pt idx="33">
                  <c:v>0.68571428571428572</c:v>
                </c:pt>
                <c:pt idx="34">
                  <c:v>0.68571428571428572</c:v>
                </c:pt>
                <c:pt idx="35">
                  <c:v>0.68571428571428572</c:v>
                </c:pt>
                <c:pt idx="36">
                  <c:v>0.68571428571428572</c:v>
                </c:pt>
                <c:pt idx="37">
                  <c:v>0.68571428571428572</c:v>
                </c:pt>
                <c:pt idx="38">
                  <c:v>0.68571428571428572</c:v>
                </c:pt>
                <c:pt idx="39">
                  <c:v>0.68571428571428572</c:v>
                </c:pt>
                <c:pt idx="40">
                  <c:v>0.68571428571428572</c:v>
                </c:pt>
                <c:pt idx="41">
                  <c:v>0.68571428571428572</c:v>
                </c:pt>
                <c:pt idx="42">
                  <c:v>0.68571428571428572</c:v>
                </c:pt>
                <c:pt idx="43">
                  <c:v>0.68571428571428572</c:v>
                </c:pt>
                <c:pt idx="44">
                  <c:v>0.68571428571428572</c:v>
                </c:pt>
                <c:pt idx="45">
                  <c:v>0.68571428571428572</c:v>
                </c:pt>
                <c:pt idx="46">
                  <c:v>0.68571428571428572</c:v>
                </c:pt>
                <c:pt idx="47">
                  <c:v>0.68571428571428572</c:v>
                </c:pt>
                <c:pt idx="48">
                  <c:v>0.68571428571428572</c:v>
                </c:pt>
                <c:pt idx="49">
                  <c:v>0.68571428571428572</c:v>
                </c:pt>
                <c:pt idx="50">
                  <c:v>0.68571428571428572</c:v>
                </c:pt>
                <c:pt idx="51">
                  <c:v>0.68571428571428572</c:v>
                </c:pt>
                <c:pt idx="52">
                  <c:v>0.68571428571428572</c:v>
                </c:pt>
                <c:pt idx="53">
                  <c:v>0.68571428571428572</c:v>
                </c:pt>
                <c:pt idx="54">
                  <c:v>0.68571428571428572</c:v>
                </c:pt>
                <c:pt idx="55">
                  <c:v>0.68571428571428572</c:v>
                </c:pt>
                <c:pt idx="56">
                  <c:v>0.68571428571428572</c:v>
                </c:pt>
                <c:pt idx="57">
                  <c:v>0.68571428571428572</c:v>
                </c:pt>
                <c:pt idx="58">
                  <c:v>0.68571428571428572</c:v>
                </c:pt>
                <c:pt idx="59">
                  <c:v>0.68571428571428572</c:v>
                </c:pt>
                <c:pt idx="60">
                  <c:v>0.68571428571428572</c:v>
                </c:pt>
                <c:pt idx="61">
                  <c:v>0.68571428571428572</c:v>
                </c:pt>
                <c:pt idx="62">
                  <c:v>0.68571428571428572</c:v>
                </c:pt>
                <c:pt idx="63">
                  <c:v>0.68571428571428572</c:v>
                </c:pt>
                <c:pt idx="64">
                  <c:v>0.68571428571428572</c:v>
                </c:pt>
                <c:pt idx="65">
                  <c:v>0.68571428571428572</c:v>
                </c:pt>
                <c:pt idx="66">
                  <c:v>0.68571428571428572</c:v>
                </c:pt>
                <c:pt idx="67">
                  <c:v>0.68571428571428572</c:v>
                </c:pt>
                <c:pt idx="68">
                  <c:v>0.68571428571428572</c:v>
                </c:pt>
                <c:pt idx="69">
                  <c:v>0.68571428571428572</c:v>
                </c:pt>
                <c:pt idx="70">
                  <c:v>0.68571428571428572</c:v>
                </c:pt>
                <c:pt idx="71">
                  <c:v>0.68571428571428572</c:v>
                </c:pt>
                <c:pt idx="72">
                  <c:v>0.68571428571428572</c:v>
                </c:pt>
                <c:pt idx="73">
                  <c:v>0.68571428571428572</c:v>
                </c:pt>
                <c:pt idx="74">
                  <c:v>0.68571428571428572</c:v>
                </c:pt>
                <c:pt idx="75">
                  <c:v>0.68571428571428572</c:v>
                </c:pt>
                <c:pt idx="76">
                  <c:v>0.68571428571428572</c:v>
                </c:pt>
                <c:pt idx="77">
                  <c:v>0.68571428571428572</c:v>
                </c:pt>
                <c:pt idx="78">
                  <c:v>0.68571428571428572</c:v>
                </c:pt>
                <c:pt idx="79">
                  <c:v>0.68571428571428572</c:v>
                </c:pt>
                <c:pt idx="80">
                  <c:v>0.68571428571428572</c:v>
                </c:pt>
                <c:pt idx="81">
                  <c:v>0.68571428571428572</c:v>
                </c:pt>
                <c:pt idx="82">
                  <c:v>0.68571428571428572</c:v>
                </c:pt>
              </c:numCache>
            </c:numRef>
          </c:yVal>
          <c:smooth val="1"/>
          <c:extLst>
            <c:ext xmlns:c16="http://schemas.microsoft.com/office/drawing/2014/chart" uri="{C3380CC4-5D6E-409C-BE32-E72D297353CC}">
              <c16:uniqueId val="{00000003-E619-43DA-A2E7-CD26B1CA2283}"/>
            </c:ext>
          </c:extLst>
        </c:ser>
        <c:ser>
          <c:idx val="4"/>
          <c:order val="4"/>
          <c:tx>
            <c:strRef>
              <c:f>RTC!$B$99</c:f>
              <c:strCache>
                <c:ptCount val="1"/>
                <c:pt idx="0">
                  <c:v>M(fn,100% 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RTC!$C$99:$CG$99</c:f>
              <c:numCache>
                <c:formatCode>General</c:formatCode>
                <c:ptCount val="83"/>
                <c:pt idx="0">
                  <c:v>2.1818182382492675E-8</c:v>
                </c:pt>
                <c:pt idx="1">
                  <c:v>1.2881887010930794E-3</c:v>
                </c:pt>
                <c:pt idx="2">
                  <c:v>3.2927886442313385E-3</c:v>
                </c:pt>
                <c:pt idx="3">
                  <c:v>6.2360266346062031E-3</c:v>
                </c:pt>
                <c:pt idx="4">
                  <c:v>1.0137396704165301E-2</c:v>
                </c:pt>
                <c:pt idx="5">
                  <c:v>1.5023007895528954E-2</c:v>
                </c:pt>
                <c:pt idx="6">
                  <c:v>2.0925987778792478E-2</c:v>
                </c:pt>
                <c:pt idx="7">
                  <c:v>2.7887001276361342E-2</c:v>
                </c:pt>
                <c:pt idx="8">
                  <c:v>3.5954897539339017E-2</c:v>
                </c:pt>
                <c:pt idx="9">
                  <c:v>4.5187500817546217E-2</c:v>
                </c:pt>
                <c:pt idx="10">
                  <c:v>5.5652564835327163E-2</c:v>
                </c:pt>
                <c:pt idx="11">
                  <c:v>6.7428914152122668E-2</c:v>
                </c:pt>
                <c:pt idx="12">
                  <c:v>8.0607800331455051E-2</c:v>
                </c:pt>
                <c:pt idx="13">
                  <c:v>9.5294505365001059E-2</c:v>
                </c:pt>
                <c:pt idx="14">
                  <c:v>0.11161022945863958</c:v>
                </c:pt>
                <c:pt idx="15">
                  <c:v>0.12969430450041747</c:v>
                </c:pt>
                <c:pt idx="16">
                  <c:v>0.14970677740192706</c:v>
                </c:pt>
                <c:pt idx="17">
                  <c:v>0.17183140745740369</c:v>
                </c:pt>
                <c:pt idx="18">
                  <c:v>0.19627911619524036</c:v>
                </c:pt>
                <c:pt idx="19">
                  <c:v>0.22329191235764032</c:v>
                </c:pt>
                <c:pt idx="20">
                  <c:v>0.25314728109657647</c:v>
                </c:pt>
                <c:pt idx="21">
                  <c:v>0.28616296286546417</c:v>
                </c:pt>
                <c:pt idx="22">
                  <c:v>0.32270193381356715</c:v>
                </c:pt>
                <c:pt idx="23">
                  <c:v>0.36317720380577329</c:v>
                </c:pt>
                <c:pt idx="24">
                  <c:v>0.40805572039200749</c:v>
                </c:pt>
                <c:pt idx="25">
                  <c:v>0.45786013065995684</c:v>
                </c:pt>
                <c:pt idx="26">
                  <c:v>0.51316629609248432</c:v>
                </c:pt>
                <c:pt idx="27">
                  <c:v>0.57459312657902117</c:v>
                </c:pt>
                <c:pt idx="28">
                  <c:v>0.64277932160959372</c:v>
                </c:pt>
                <c:pt idx="29">
                  <c:v>0.71833884691119299</c:v>
                </c:pt>
                <c:pt idx="30">
                  <c:v>0.80178354597124124</c:v>
                </c:pt>
                <c:pt idx="31">
                  <c:v>0.89339801137383779</c:v>
                </c:pt>
                <c:pt idx="32">
                  <c:v>0.99305115057053139</c:v>
                </c:pt>
                <c:pt idx="33">
                  <c:v>1.0999361156437204</c:v>
                </c:pt>
                <c:pt idx="34">
                  <c:v>1.2122544795938535</c:v>
                </c:pt>
                <c:pt idx="35">
                  <c:v>1.3269116345880969</c:v>
                </c:pt>
                <c:pt idx="36">
                  <c:v>1.4393666612797296</c:v>
                </c:pt>
                <c:pt idx="37">
                  <c:v>1.5438437181055409</c:v>
                </c:pt>
                <c:pt idx="38">
                  <c:v>1.634075089047597</c:v>
                </c:pt>
                <c:pt idx="39">
                  <c:v>1.6593385553953328</c:v>
                </c:pt>
                <c:pt idx="40">
                  <c:v>1.7224809596753172</c:v>
                </c:pt>
                <c:pt idx="41">
                  <c:v>1.7617858065342098</c:v>
                </c:pt>
                <c:pt idx="42">
                  <c:v>1.7775007606476596</c:v>
                </c:pt>
                <c:pt idx="43">
                  <c:v>1.7723770936820213</c:v>
                </c:pt>
                <c:pt idx="44">
                  <c:v>1.7506688032071991</c:v>
                </c:pt>
                <c:pt idx="45">
                  <c:v>1.7170352094878036</c:v>
                </c:pt>
                <c:pt idx="46">
                  <c:v>1.6757354437264311</c:v>
                </c:pt>
                <c:pt idx="47">
                  <c:v>1.6302254633798372</c:v>
                </c:pt>
                <c:pt idx="48">
                  <c:v>1.5830741957458498</c:v>
                </c:pt>
                <c:pt idx="49">
                  <c:v>1.5360596375513149</c:v>
                </c:pt>
                <c:pt idx="50">
                  <c:v>1.4903324554146884</c:v>
                </c:pt>
                <c:pt idx="51">
                  <c:v>1.446581713956461</c:v>
                </c:pt>
                <c:pt idx="52">
                  <c:v>1.4051745142564538</c:v>
                </c:pt>
                <c:pt idx="53">
                  <c:v>1.3662628198799427</c:v>
                </c:pt>
                <c:pt idx="54">
                  <c:v>1.329860503810347</c:v>
                </c:pt>
                <c:pt idx="55">
                  <c:v>1.2958967576600455</c:v>
                </c:pt>
                <c:pt idx="56">
                  <c:v>1.2642520414530216</c:v>
                </c:pt>
                <c:pt idx="57">
                  <c:v>1.2347816882910965</c:v>
                </c:pt>
                <c:pt idx="58">
                  <c:v>1.2073310266874606</c:v>
                </c:pt>
                <c:pt idx="59">
                  <c:v>1.1817447922027622</c:v>
                </c:pt>
                <c:pt idx="60">
                  <c:v>1.1578727557635651</c:v>
                </c:pt>
                <c:pt idx="61">
                  <c:v>1.1355728820271946</c:v>
                </c:pt>
                <c:pt idx="62">
                  <c:v>1.1147129003379874</c:v>
                </c:pt>
                <c:pt idx="63">
                  <c:v>1.0951708751382412</c:v>
                </c:pt>
                <c:pt idx="64">
                  <c:v>1.0768351626045636</c:v>
                </c:pt>
                <c:pt idx="65">
                  <c:v>1.0596040061373857</c:v>
                </c:pt>
                <c:pt idx="66">
                  <c:v>1.0433849339971508</c:v>
                </c:pt>
                <c:pt idx="67">
                  <c:v>1.0280940632015909</c:v>
                </c:pt>
                <c:pt idx="68">
                  <c:v>1.0136553747908899</c:v>
                </c:pt>
                <c:pt idx="69">
                  <c:v>1</c:v>
                </c:pt>
                <c:pt idx="70">
                  <c:v>0.92333211953700123</c:v>
                </c:pt>
                <c:pt idx="71">
                  <c:v>0.86696105834124759</c:v>
                </c:pt>
                <c:pt idx="72">
                  <c:v>0.82318248090522994</c:v>
                </c:pt>
                <c:pt idx="73">
                  <c:v>0.78763759103387965</c:v>
                </c:pt>
                <c:pt idx="74">
                  <c:v>0.75772129315258452</c:v>
                </c:pt>
                <c:pt idx="75">
                  <c:v>0.73180269010084442</c:v>
                </c:pt>
                <c:pt idx="76">
                  <c:v>0.70882081816335396</c:v>
                </c:pt>
                <c:pt idx="77">
                  <c:v>0.68806311613752202</c:v>
                </c:pt>
                <c:pt idx="78">
                  <c:v>0.66903798029635431</c:v>
                </c:pt>
                <c:pt idx="79">
                  <c:v>0.65139830863734394</c:v>
                </c:pt>
                <c:pt idx="80">
                  <c:v>0.63489396113171548</c:v>
                </c:pt>
                <c:pt idx="81">
                  <c:v>0.61934128252039466</c:v>
                </c:pt>
                <c:pt idx="82">
                  <c:v>0.60460304808045218</c:v>
                </c:pt>
              </c:numCache>
            </c:numRef>
          </c:yVal>
          <c:smooth val="1"/>
          <c:extLst>
            <c:ext xmlns:c16="http://schemas.microsoft.com/office/drawing/2014/chart" uri="{C3380CC4-5D6E-409C-BE32-E72D297353CC}">
              <c16:uniqueId val="{00000004-E619-43DA-A2E7-CD26B1CA2283}"/>
            </c:ext>
          </c:extLst>
        </c:ser>
        <c:ser>
          <c:idx val="5"/>
          <c:order val="5"/>
          <c:tx>
            <c:strRef>
              <c:f>RTC!$B$100</c:f>
              <c:strCache>
                <c:ptCount val="1"/>
                <c:pt idx="0">
                  <c:v>M(fn,75% Po,π/2)</c:v>
                </c:pt>
              </c:strCache>
            </c:strRef>
          </c:tx>
          <c:spPr>
            <a:ln w="19080" cap="rnd">
              <a:solidFill>
                <a:srgbClr val="C04F1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RTC!$C$100:$CG$100</c:f>
              <c:numCache>
                <c:formatCode>General</c:formatCode>
                <c:ptCount val="83"/>
                <c:pt idx="0">
                  <c:v>2.1818182439325691E-8</c:v>
                </c:pt>
                <c:pt idx="1">
                  <c:v>1.288386932838223E-3</c:v>
                </c:pt>
                <c:pt idx="2">
                  <c:v>3.294085024357045E-3</c:v>
                </c:pt>
                <c:pt idx="3">
                  <c:v>6.2406824378399874E-3</c:v>
                </c:pt>
                <c:pt idx="4">
                  <c:v>1.0149721903320651E-2</c:v>
                </c:pt>
                <c:pt idx="5">
                  <c:v>1.5050135523851146E-2</c:v>
                </c:pt>
                <c:pt idx="6">
                  <c:v>2.0978762930202923E-2</c:v>
                </c:pt>
                <c:pt idx="7">
                  <c:v>2.7981024024538607E-2</c:v>
                </c:pt>
                <c:pt idx="8">
                  <c:v>3.6111767932241016E-2</c:v>
                </c:pt>
                <c:pt idx="9">
                  <c:v>4.5436326096875805E-2</c:v>
                </c:pt>
                <c:pt idx="10">
                  <c:v>5.6031805097773307E-2</c:v>
                </c:pt>
                <c:pt idx="11">
                  <c:v>6.7988664131966317E-2</c:v>
                </c:pt>
                <c:pt idx="12">
                  <c:v>8.1412633661487821E-2</c:v>
                </c:pt>
                <c:pt idx="13">
                  <c:v>9.6427046070027292E-2</c:v>
                </c:pt>
                <c:pt idx="14">
                  <c:v>0.11317566700622338</c:v>
                </c:pt>
                <c:pt idx="15">
                  <c:v>0.13182613823889974</c:v>
                </c:pt>
                <c:pt idx="16">
                  <c:v>0.15257417021874703</c:v>
                </c:pt>
                <c:pt idx="17">
                  <c:v>0.17564865601082361</c:v>
                </c:pt>
                <c:pt idx="18">
                  <c:v>0.20131791842768321</c:v>
                </c:pt>
                <c:pt idx="19">
                  <c:v>0.22989734881129481</c:v>
                </c:pt>
                <c:pt idx="20">
                  <c:v>0.26175874677386279</c:v>
                </c:pt>
                <c:pt idx="21">
                  <c:v>0.29734171889440625</c:v>
                </c:pt>
                <c:pt idx="22">
                  <c:v>0.33716752587048926</c:v>
                </c:pt>
                <c:pt idx="23">
                  <c:v>0.38185574987982202</c:v>
                </c:pt>
                <c:pt idx="24">
                  <c:v>0.43214402159173204</c:v>
                </c:pt>
                <c:pt idx="25">
                  <c:v>0.48891067008148414</c:v>
                </c:pt>
                <c:pt idx="26">
                  <c:v>0.55319928820362751</c:v>
                </c:pt>
                <c:pt idx="27">
                  <c:v>0.62624236450510695</c:v>
                </c:pt>
                <c:pt idx="28">
                  <c:v>0.70947743818119824</c:v>
                </c:pt>
                <c:pt idx="29">
                  <c:v>0.80454211618310545</c:v>
                </c:pt>
                <c:pt idx="30">
                  <c:v>0.91322115987396435</c:v>
                </c:pt>
                <c:pt idx="31">
                  <c:v>1.0372960664446651</c:v>
                </c:pt>
                <c:pt idx="32">
                  <c:v>1.1782121374140364</c:v>
                </c:pt>
                <c:pt idx="33">
                  <c:v>1.3364349780829283</c:v>
                </c:pt>
                <c:pt idx="34">
                  <c:v>1.510352267256434</c:v>
                </c:pt>
                <c:pt idx="35">
                  <c:v>1.6946933621753784</c:v>
                </c:pt>
                <c:pt idx="36">
                  <c:v>1.8788872930725189</c:v>
                </c:pt>
                <c:pt idx="37">
                  <c:v>2.0466553898913222</c:v>
                </c:pt>
                <c:pt idx="38">
                  <c:v>2.1787661726775807</c:v>
                </c:pt>
                <c:pt idx="39">
                  <c:v>2.2111254628172499</c:v>
                </c:pt>
                <c:pt idx="40">
                  <c:v>2.2733341619235312</c:v>
                </c:pt>
                <c:pt idx="41">
                  <c:v>2.279475815657614</c:v>
                </c:pt>
                <c:pt idx="42">
                  <c:v>2.2390917769355316</c:v>
                </c:pt>
                <c:pt idx="43">
                  <c:v>2.1671764851446018</c:v>
                </c:pt>
                <c:pt idx="44">
                  <c:v>2.0782664827564981</c:v>
                </c:pt>
                <c:pt idx="45">
                  <c:v>1.9833491584035785</c:v>
                </c:pt>
                <c:pt idx="46">
                  <c:v>1.8894370266624958</c:v>
                </c:pt>
                <c:pt idx="47">
                  <c:v>1.8004036122547353</c:v>
                </c:pt>
                <c:pt idx="48">
                  <c:v>1.7180362951962087</c:v>
                </c:pt>
                <c:pt idx="49">
                  <c:v>1.6428800535467103</c:v>
                </c:pt>
                <c:pt idx="50">
                  <c:v>1.5748033751254673</c:v>
                </c:pt>
                <c:pt idx="51">
                  <c:v>1.5133428875947135</c:v>
                </c:pt>
                <c:pt idx="52">
                  <c:v>1.4579001918992971</c:v>
                </c:pt>
                <c:pt idx="53">
                  <c:v>1.4078482374057373</c:v>
                </c:pt>
                <c:pt idx="54">
                  <c:v>1.3625851213657623</c:v>
                </c:pt>
                <c:pt idx="55">
                  <c:v>1.3215584444011077</c:v>
                </c:pt>
                <c:pt idx="56">
                  <c:v>1.2842737446429706</c:v>
                </c:pt>
                <c:pt idx="57">
                  <c:v>1.2502946995621886</c:v>
                </c:pt>
                <c:pt idx="58">
                  <c:v>1.2192393728204127</c:v>
                </c:pt>
                <c:pt idx="59">
                  <c:v>1.1907748312749207</c:v>
                </c:pt>
                <c:pt idx="60">
                  <c:v>1.1646113567059417</c:v>
                </c:pt>
                <c:pt idx="61">
                  <c:v>1.140496864502047</c:v>
                </c:pt>
                <c:pt idx="62">
                  <c:v>1.1182118061628268</c:v>
                </c:pt>
                <c:pt idx="63">
                  <c:v>1.0975646529978911</c:v>
                </c:pt>
                <c:pt idx="64">
                  <c:v>1.0783879659759421</c:v>
                </c:pt>
                <c:pt idx="65">
                  <c:v>1.0605350123336386</c:v>
                </c:pt>
                <c:pt idx="66">
                  <c:v>1.0438768713069297</c:v>
                </c:pt>
                <c:pt idx="67">
                  <c:v>1.0282999668555644</c:v>
                </c:pt>
                <c:pt idx="68">
                  <c:v>1.0137039676399553</c:v>
                </c:pt>
                <c:pt idx="69">
                  <c:v>1</c:v>
                </c:pt>
                <c:pt idx="70">
                  <c:v>0.9248775837731108</c:v>
                </c:pt>
                <c:pt idx="71">
                  <c:v>0.87171013030791378</c:v>
                </c:pt>
                <c:pt idx="72">
                  <c:v>0.8317679840872253</c:v>
                </c:pt>
                <c:pt idx="73">
                  <c:v>0.80029976910742162</c:v>
                </c:pt>
                <c:pt idx="74">
                  <c:v>0.77452535688315916</c:v>
                </c:pt>
                <c:pt idx="75">
                  <c:v>0.75272386488392695</c:v>
                </c:pt>
                <c:pt idx="76">
                  <c:v>0.73378169196191756</c:v>
                </c:pt>
                <c:pt idx="77">
                  <c:v>0.71695212083513837</c:v>
                </c:pt>
                <c:pt idx="78">
                  <c:v>0.70171979637125559</c:v>
                </c:pt>
                <c:pt idx="79">
                  <c:v>0.68772053775691788</c:v>
                </c:pt>
                <c:pt idx="80">
                  <c:v>0.67469191662288786</c:v>
                </c:pt>
                <c:pt idx="81">
                  <c:v>0.6624417207487634</c:v>
                </c:pt>
                <c:pt idx="82">
                  <c:v>0.65082722151455907</c:v>
                </c:pt>
              </c:numCache>
            </c:numRef>
          </c:yVal>
          <c:smooth val="1"/>
          <c:extLst>
            <c:ext xmlns:c16="http://schemas.microsoft.com/office/drawing/2014/chart" uri="{C3380CC4-5D6E-409C-BE32-E72D297353CC}">
              <c16:uniqueId val="{00000005-E619-43DA-A2E7-CD26B1CA2283}"/>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RTC!$C$101:$CG$101</c:f>
              <c:numCache>
                <c:formatCode>General</c:formatCode>
                <c:ptCount val="83"/>
                <c:pt idx="0">
                  <c:v>2.1818182479920704E-8</c:v>
                </c:pt>
                <c:pt idx="1">
                  <c:v>1.2885285829841006E-3</c:v>
                </c:pt>
                <c:pt idx="2">
                  <c:v>3.2950119481721194E-3</c:v>
                </c:pt>
                <c:pt idx="3">
                  <c:v>6.2440144033623097E-3</c:v>
                </c:pt>
                <c:pt idx="4">
                  <c:v>1.0158553191859945E-2</c:v>
                </c:pt>
                <c:pt idx="5">
                  <c:v>1.5069602622699301E-2</c:v>
                </c:pt>
                <c:pt idx="6">
                  <c:v>2.1016704876682134E-2</c:v>
                </c:pt>
                <c:pt idx="7">
                  <c:v>2.8048768388947723E-2</c:v>
                </c:pt>
                <c:pt idx="8">
                  <c:v>3.6225083729408081E-2</c:v>
                </c:pt>
                <c:pt idx="9">
                  <c:v>4.5616596356075428E-2</c:v>
                </c:pt>
                <c:pt idx="10">
                  <c:v>5.6307487501055131E-2</c:v>
                </c:pt>
                <c:pt idx="11">
                  <c:v>6.83971296301875E-2</c:v>
                </c:pt>
                <c:pt idx="12">
                  <c:v>8.2002502564154742E-2</c:v>
                </c:pt>
                <c:pt idx="13">
                  <c:v>9.7261182059277002E-2</c:v>
                </c:pt>
                <c:pt idx="14">
                  <c:v>0.11433504662530793</c:v>
                </c:pt>
                <c:pt idx="15">
                  <c:v>0.13341489367348136</c:v>
                </c:pt>
                <c:pt idx="16">
                  <c:v>0.15472621704054584</c:v>
                </c:pt>
                <c:pt idx="17">
                  <c:v>0.17853648058534624</c:v>
                </c:pt>
                <c:pt idx="18">
                  <c:v>0.20516433548851423</c:v>
                </c:pt>
                <c:pt idx="19">
                  <c:v>0.23499138428974772</c:v>
                </c:pt>
                <c:pt idx="20">
                  <c:v>0.26847730985236462</c:v>
                </c:pt>
                <c:pt idx="21">
                  <c:v>0.306179486691594</c:v>
                </c:pt>
                <c:pt idx="22">
                  <c:v>0.34877860915110864</c:v>
                </c:pt>
                <c:pt idx="23">
                  <c:v>0.39711245078414559</c:v>
                </c:pt>
                <c:pt idx="24">
                  <c:v>0.45222066752110879</c:v>
                </c:pt>
                <c:pt idx="25">
                  <c:v>0.51540462938092035</c:v>
                </c:pt>
                <c:pt idx="26">
                  <c:v>0.58830762840615802</c:v>
                </c:pt>
                <c:pt idx="27">
                  <c:v>0.67302232488870162</c:v>
                </c:pt>
                <c:pt idx="28">
                  <c:v>0.77223333712321429</c:v>
                </c:pt>
                <c:pt idx="29">
                  <c:v>0.88940146434470002</c:v>
                </c:pt>
                <c:pt idx="30">
                  <c:v>1.0289864824494519</c:v>
                </c:pt>
                <c:pt idx="31">
                  <c:v>1.1966724314094623</c:v>
                </c:pt>
                <c:pt idx="32">
                  <c:v>1.3994632574174966</c:v>
                </c:pt>
                <c:pt idx="33">
                  <c:v>1.6452628496952004</c:v>
                </c:pt>
                <c:pt idx="34">
                  <c:v>1.9409529095430127</c:v>
                </c:pt>
                <c:pt idx="35">
                  <c:v>2.2868567113323426</c:v>
                </c:pt>
                <c:pt idx="36">
                  <c:v>2.6646897391488631</c:v>
                </c:pt>
                <c:pt idx="37">
                  <c:v>3.0210297534050929</c:v>
                </c:pt>
                <c:pt idx="38">
                  <c:v>3.2681466330811508</c:v>
                </c:pt>
                <c:pt idx="39">
                  <c:v>3.3110252196145509</c:v>
                </c:pt>
                <c:pt idx="40">
                  <c:v>3.3156909367168921</c:v>
                </c:pt>
                <c:pt idx="41">
                  <c:v>3.1654851290358881</c:v>
                </c:pt>
                <c:pt idx="42">
                  <c:v>2.9379147301897293</c:v>
                </c:pt>
                <c:pt idx="43">
                  <c:v>2.6956469422014</c:v>
                </c:pt>
                <c:pt idx="44">
                  <c:v>2.4705166769883409</c:v>
                </c:pt>
                <c:pt idx="45">
                  <c:v>2.2731978578150067</c:v>
                </c:pt>
                <c:pt idx="46">
                  <c:v>2.1043137440172504</c:v>
                </c:pt>
                <c:pt idx="47">
                  <c:v>1.9607997258777863</c:v>
                </c:pt>
                <c:pt idx="48">
                  <c:v>1.8387414801727384</c:v>
                </c:pt>
                <c:pt idx="49">
                  <c:v>1.7344475901781757</c:v>
                </c:pt>
                <c:pt idx="50">
                  <c:v>1.6447671953798582</c:v>
                </c:pt>
                <c:pt idx="51">
                  <c:v>1.5671176092543675</c:v>
                </c:pt>
                <c:pt idx="52">
                  <c:v>1.4994159312519777</c:v>
                </c:pt>
                <c:pt idx="53">
                  <c:v>1.4399901776491046</c:v>
                </c:pt>
                <c:pt idx="54">
                  <c:v>1.3874966034904137</c:v>
                </c:pt>
                <c:pt idx="55">
                  <c:v>1.3408506390314692</c:v>
                </c:pt>
                <c:pt idx="56">
                  <c:v>1.2991717638123261</c:v>
                </c:pt>
                <c:pt idx="57">
                  <c:v>1.2617403838170929</c:v>
                </c:pt>
                <c:pt idx="58">
                  <c:v>1.2279643637936826</c:v>
                </c:pt>
                <c:pt idx="59">
                  <c:v>1.1973530893088902</c:v>
                </c:pt>
                <c:pt idx="60">
                  <c:v>1.1694973196907215</c:v>
                </c:pt>
                <c:pt idx="61">
                  <c:v>1.1440534718277999</c:v>
                </c:pt>
                <c:pt idx="62">
                  <c:v>1.1207312935183062</c:v>
                </c:pt>
                <c:pt idx="63">
                  <c:v>1.0992841366401696</c:v>
                </c:pt>
                <c:pt idx="64">
                  <c:v>1.0795012330280616</c:v>
                </c:pt>
                <c:pt idx="65">
                  <c:v>1.0612015212514392</c:v>
                </c:pt>
                <c:pt idx="66">
                  <c:v>1.0442286814174895</c:v>
                </c:pt>
                <c:pt idx="67">
                  <c:v>1.028447116660097</c:v>
                </c:pt>
                <c:pt idx="68">
                  <c:v>1.0137386810967635</c:v>
                </c:pt>
                <c:pt idx="69">
                  <c:v>1</c:v>
                </c:pt>
                <c:pt idx="70">
                  <c:v>0.9259862501827153</c:v>
                </c:pt>
                <c:pt idx="71">
                  <c:v>0.87515050886117685</c:v>
                </c:pt>
                <c:pt idx="72">
                  <c:v>0.83806761170528898</c:v>
                </c:pt>
                <c:pt idx="73">
                  <c:v>0.80972746125639039</c:v>
                </c:pt>
                <c:pt idx="74">
                  <c:v>0.78723671009002483</c:v>
                </c:pt>
                <c:pt idx="75">
                  <c:v>0.76881622259455229</c:v>
                </c:pt>
                <c:pt idx="76">
                  <c:v>0.75331704608022088</c:v>
                </c:pt>
                <c:pt idx="77">
                  <c:v>0.73996753261833481</c:v>
                </c:pt>
                <c:pt idx="78">
                  <c:v>0.72823262046716475</c:v>
                </c:pt>
                <c:pt idx="79">
                  <c:v>0.71773138144407611</c:v>
                </c:pt>
                <c:pt idx="80">
                  <c:v>0.70818658508753285</c:v>
                </c:pt>
                <c:pt idx="81">
                  <c:v>0.69939270288926503</c:v>
                </c:pt>
                <c:pt idx="82">
                  <c:v>0.69119496620994014</c:v>
                </c:pt>
              </c:numCache>
            </c:numRef>
          </c:yVal>
          <c:smooth val="1"/>
          <c:extLst>
            <c:ext xmlns:c16="http://schemas.microsoft.com/office/drawing/2014/chart" uri="{C3380CC4-5D6E-409C-BE32-E72D297353CC}">
              <c16:uniqueId val="{00000006-E619-43DA-A2E7-CD26B1CA2283}"/>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RTC!$C$102:$CG$102</c:f>
              <c:numCache>
                <c:formatCode>General</c:formatCode>
                <c:ptCount val="83"/>
                <c:pt idx="0">
                  <c:v>2.1818182504277716E-8</c:v>
                </c:pt>
                <c:pt idx="1">
                  <c:v>1.2886135955008332E-3</c:v>
                </c:pt>
                <c:pt idx="2">
                  <c:v>3.2955684781936466E-3</c:v>
                </c:pt>
                <c:pt idx="3">
                  <c:v>6.2460161462191653E-3</c:v>
                </c:pt>
                <c:pt idx="4">
                  <c:v>1.0163863042965088E-2</c:v>
                </c:pt>
                <c:pt idx="5">
                  <c:v>1.5081319204381372E-2</c:v>
                </c:pt>
                <c:pt idx="6">
                  <c:v>2.1039569098202388E-2</c:v>
                </c:pt>
                <c:pt idx="7">
                  <c:v>2.8089651953662267E-2</c:v>
                </c:pt>
                <c:pt idx="8">
                  <c:v>3.6293587388214997E-2</c:v>
                </c:pt>
                <c:pt idx="9">
                  <c:v>4.5725793918706494E-2</c:v>
                </c:pt>
                <c:pt idx="10">
                  <c:v>5.6474863038622196E-2</c:v>
                </c:pt>
                <c:pt idx="11">
                  <c:v>6.8645771225195648E-2</c:v>
                </c:pt>
                <c:pt idx="12">
                  <c:v>8.2362638290634962E-2</c:v>
                </c:pt>
                <c:pt idx="13">
                  <c:v>9.777217543465197E-2</c:v>
                </c:pt>
                <c:pt idx="14">
                  <c:v>0.11504801381981522</c:v>
                </c:pt>
                <c:pt idx="15">
                  <c:v>0.1343961697659459</c:v>
                </c:pt>
                <c:pt idx="16">
                  <c:v>0.15606199356055589</c:v>
                </c:pt>
                <c:pt idx="17">
                  <c:v>0.18033907712619268</c:v>
                </c:pt>
                <c:pt idx="18">
                  <c:v>0.20758077920643064</c:v>
                </c:pt>
                <c:pt idx="19">
                  <c:v>0.23821529291505833</c:v>
                </c:pt>
                <c:pt idx="20">
                  <c:v>0.27276557284516439</c:v>
                </c:pt>
                <c:pt idx="21">
                  <c:v>0.3118760270307826</c:v>
                </c:pt>
                <c:pt idx="22">
                  <c:v>0.35634877663150372</c:v>
                </c:pt>
                <c:pt idx="23">
                  <c:v>0.40719368317894933</c:v>
                </c:pt>
                <c:pt idx="24">
                  <c:v>0.46569856393000625</c:v>
                </c:pt>
                <c:pt idx="25">
                  <c:v>0.53352962776885804</c:v>
                </c:pt>
                <c:pt idx="26">
                  <c:v>0.61287818547722495</c:v>
                </c:pt>
                <c:pt idx="27">
                  <c:v>0.70667999489874966</c:v>
                </c:pt>
                <c:pt idx="28">
                  <c:v>0.81895174017762684</c:v>
                </c:pt>
                <c:pt idx="29">
                  <c:v>0.95532197886781722</c:v>
                </c:pt>
                <c:pt idx="30">
                  <c:v>1.1238949075668698</c:v>
                </c:pt>
                <c:pt idx="31">
                  <c:v>1.336700784700356</c:v>
                </c:pt>
                <c:pt idx="32">
                  <c:v>1.6122041821848843</c:v>
                </c:pt>
                <c:pt idx="33">
                  <c:v>1.9797167331940804</c:v>
                </c:pt>
                <c:pt idx="34">
                  <c:v>2.4869471935964955</c:v>
                </c:pt>
                <c:pt idx="35">
                  <c:v>3.2103200546599164</c:v>
                </c:pt>
                <c:pt idx="36">
                  <c:v>4.2496371420859802</c:v>
                </c:pt>
                <c:pt idx="37">
                  <c:v>5.5838781280519623</c:v>
                </c:pt>
                <c:pt idx="38">
                  <c:v>6.536264906280671</c:v>
                </c:pt>
                <c:pt idx="39">
                  <c:v>6.5618770904865382</c:v>
                </c:pt>
                <c:pt idx="40">
                  <c:v>5.8283032893166329</c:v>
                </c:pt>
                <c:pt idx="41">
                  <c:v>4.7563696098705019</c:v>
                </c:pt>
                <c:pt idx="42">
                  <c:v>3.9015255964034536</c:v>
                </c:pt>
                <c:pt idx="43">
                  <c:v>3.2890887050132047</c:v>
                </c:pt>
                <c:pt idx="44">
                  <c:v>2.8486465633840918</c:v>
                </c:pt>
                <c:pt idx="45">
                  <c:v>2.5229481085899597</c:v>
                </c:pt>
                <c:pt idx="46">
                  <c:v>2.274741534759305</c:v>
                </c:pt>
                <c:pt idx="47">
                  <c:v>2.0803949878791861</c:v>
                </c:pt>
                <c:pt idx="48">
                  <c:v>1.9246409174621322</c:v>
                </c:pt>
                <c:pt idx="49">
                  <c:v>1.7973280730835068</c:v>
                </c:pt>
                <c:pt idx="50">
                  <c:v>1.6915035214697591</c:v>
                </c:pt>
                <c:pt idx="51">
                  <c:v>1.6022709678425973</c:v>
                </c:pt>
                <c:pt idx="52">
                  <c:v>1.5260949961030321</c:v>
                </c:pt>
                <c:pt idx="53">
                  <c:v>1.4603652308008392</c:v>
                </c:pt>
                <c:pt idx="54">
                  <c:v>1.4031157251568276</c:v>
                </c:pt>
                <c:pt idx="55">
                  <c:v>1.3528395535321116</c:v>
                </c:pt>
                <c:pt idx="56">
                  <c:v>1.3083633497339899</c:v>
                </c:pt>
                <c:pt idx="57">
                  <c:v>1.2687605397323707</c:v>
                </c:pt>
                <c:pt idx="58">
                  <c:v>1.2332901336794484</c:v>
                </c:pt>
                <c:pt idx="59">
                  <c:v>1.2013527629548135</c:v>
                </c:pt>
                <c:pt idx="60">
                  <c:v>1.1724585811910933</c:v>
                </c:pt>
                <c:pt idx="61">
                  <c:v>1.1462034742108889</c:v>
                </c:pt>
                <c:pt idx="62">
                  <c:v>1.1222511850942101</c:v>
                </c:pt>
                <c:pt idx="63">
                  <c:v>1.1003197140231982</c:v>
                </c:pt>
                <c:pt idx="64">
                  <c:v>1.0801708504954202</c:v>
                </c:pt>
                <c:pt idx="65">
                  <c:v>1.0616020302914293</c:v>
                </c:pt>
                <c:pt idx="66">
                  <c:v>1.0444399382984499</c:v>
                </c:pt>
                <c:pt idx="67">
                  <c:v>1.0285354368708968</c:v>
                </c:pt>
                <c:pt idx="68">
                  <c:v>1.0137595108827029</c:v>
                </c:pt>
                <c:pt idx="69">
                  <c:v>1</c:v>
                </c:pt>
                <c:pt idx="70">
                  <c:v>0.92665336681927202</c:v>
                </c:pt>
                <c:pt idx="71">
                  <c:v>0.87723439196059105</c:v>
                </c:pt>
                <c:pt idx="72">
                  <c:v>0.8419167945280317</c:v>
                </c:pt>
                <c:pt idx="73">
                  <c:v>0.81554655568301382</c:v>
                </c:pt>
                <c:pt idx="74">
                  <c:v>0.79517065201017434</c:v>
                </c:pt>
                <c:pt idx="75">
                  <c:v>0.77898159085307739</c:v>
                </c:pt>
                <c:pt idx="76">
                  <c:v>0.7658147608597462</c:v>
                </c:pt>
                <c:pt idx="77">
                  <c:v>0.75488830753491964</c:v>
                </c:pt>
                <c:pt idx="78">
                  <c:v>0.74565938166910939</c:v>
                </c:pt>
                <c:pt idx="79">
                  <c:v>0.73774035279165173</c:v>
                </c:pt>
                <c:pt idx="80">
                  <c:v>0.73084777111781829</c:v>
                </c:pt>
                <c:pt idx="81">
                  <c:v>0.72477010086468752</c:v>
                </c:pt>
                <c:pt idx="82">
                  <c:v>0.71934666275294945</c:v>
                </c:pt>
              </c:numCache>
            </c:numRef>
          </c:yVal>
          <c:smooth val="1"/>
          <c:extLst>
            <c:ext xmlns:c16="http://schemas.microsoft.com/office/drawing/2014/chart" uri="{C3380CC4-5D6E-409C-BE32-E72D297353CC}">
              <c16:uniqueId val="{00000007-E619-43DA-A2E7-CD26B1CA2283}"/>
            </c:ext>
          </c:extLst>
        </c:ser>
        <c:dLbls>
          <c:showLegendKey val="0"/>
          <c:showVal val="0"/>
          <c:showCatName val="0"/>
          <c:showSerName val="0"/>
          <c:showPercent val="0"/>
          <c:showBubbleSize val="0"/>
        </c:dLbls>
        <c:axId val="31754318"/>
        <c:axId val="23906515"/>
      </c:scatterChart>
      <c:valAx>
        <c:axId val="31754318"/>
        <c:scaling>
          <c:orientation val="minMax"/>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3906515"/>
        <c:crosses val="autoZero"/>
        <c:crossBetween val="midCat"/>
      </c:valAx>
      <c:valAx>
        <c:axId val="23906515"/>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1754318"/>
        <c:crossesAt val="0"/>
        <c:crossBetween val="midCat"/>
      </c:valAx>
      <c:spPr>
        <a:noFill/>
        <a:ln w="0">
          <a:noFill/>
        </a:ln>
      </c:spPr>
    </c:plotArea>
    <c:legend>
      <c:legendPos val="r"/>
      <c:layout>
        <c:manualLayout>
          <c:xMode val="edge"/>
          <c:yMode val="edge"/>
          <c:x val="0.68000612781186198"/>
          <c:y val="0.157753224620091"/>
          <c:w val="0.25418044486855301"/>
          <c:h val="0.32561910115017401"/>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Variable Load @π/2</a:t>
            </a:r>
          </a:p>
        </c:rich>
      </c:tx>
      <c:layout>
        <c:manualLayout>
          <c:xMode val="edge"/>
          <c:yMode val="edge"/>
          <c:x val="0.161437482543525"/>
          <c:y val="2.32830474615967E-2"/>
        </c:manualLayout>
      </c:layout>
      <c:overlay val="0"/>
      <c:spPr>
        <a:noFill/>
        <a:ln w="0">
          <a:noFill/>
        </a:ln>
      </c:spPr>
    </c:title>
    <c:autoTitleDeleted val="0"/>
    <c:plotArea>
      <c:layout>
        <c:manualLayout>
          <c:layoutTarget val="inner"/>
          <c:xMode val="edge"/>
          <c:yMode val="edge"/>
          <c:x val="0.12536076715389599"/>
          <c:y val="0.14183371219949001"/>
          <c:w val="0.82627315892374997"/>
          <c:h val="0.73679134807467095"/>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RTC!$C$28:$CG$28</c:f>
              <c:numCache>
                <c:formatCode>General</c:formatCode>
                <c:ptCount val="83"/>
                <c:pt idx="0">
                  <c:v>2.1818182512396718E-8</c:v>
                </c:pt>
                <c:pt idx="1">
                  <c:v>1.2886419367458453E-3</c:v>
                </c:pt>
                <c:pt idx="2">
                  <c:v>3.2957540508757933E-3</c:v>
                </c:pt>
                <c:pt idx="3">
                  <c:v>6.2466838217803949E-3</c:v>
                </c:pt>
                <c:pt idx="4">
                  <c:v>1.0165634844491057E-2</c:v>
                </c:pt>
                <c:pt idx="5">
                  <c:v>1.5085230808885637E-2</c:v>
                </c:pt>
                <c:pt idx="6">
                  <c:v>2.104720710419164E-2</c:v>
                </c:pt>
                <c:pt idx="7">
                  <c:v>2.8103319587713758E-2</c:v>
                </c:pt>
                <c:pt idx="8">
                  <c:v>3.6316508449383139E-2</c:v>
                </c:pt>
                <c:pt idx="9">
                  <c:v>4.5762367743434479E-2</c:v>
                </c:pt>
                <c:pt idx="10">
                  <c:v>5.6530987448607108E-2</c:v>
                </c:pt>
                <c:pt idx="11">
                  <c:v>6.8729256295102084E-2</c:v>
                </c:pt>
                <c:pt idx="12">
                  <c:v>8.2483742085161724E-2</c:v>
                </c:pt>
                <c:pt idx="13">
                  <c:v>9.7944304735298124E-2</c:v>
                </c:pt>
                <c:pt idx="14">
                  <c:v>0.11528864999952876</c:v>
                </c:pt>
                <c:pt idx="15">
                  <c:v>0.1347281050187448</c:v>
                </c:pt>
                <c:pt idx="16">
                  <c:v>0.15651499980883612</c:v>
                </c:pt>
                <c:pt idx="17">
                  <c:v>0.18095218575415503</c:v>
                </c:pt>
                <c:pt idx="18">
                  <c:v>0.20840543512238516</c:v>
                </c:pt>
                <c:pt idx="19">
                  <c:v>0.23931977930378859</c:v>
                </c:pt>
                <c:pt idx="20">
                  <c:v>0.27424131386312434</c:v>
                </c:pt>
                <c:pt idx="21">
                  <c:v>0.31384671772931005</c:v>
                </c:pt>
                <c:pt idx="22">
                  <c:v>0.3589838574142431</c:v>
                </c:pt>
                <c:pt idx="23">
                  <c:v>0.41072864448862639</c:v>
                </c:pt>
                <c:pt idx="24">
                  <c:v>0.47046626668653735</c:v>
                </c:pt>
                <c:pt idx="25">
                  <c:v>0.54000990781304037</c:v>
                </c:pt>
                <c:pt idx="26">
                  <c:v>0.62177881033586746</c:v>
                </c:pt>
                <c:pt idx="27">
                  <c:v>0.71907341857608231</c:v>
                </c:pt>
                <c:pt idx="28">
                  <c:v>0.83651551018079373</c:v>
                </c:pt>
                <c:pt idx="29">
                  <c:v>0.98078153994784389</c:v>
                </c:pt>
                <c:pt idx="30">
                  <c:v>1.1618855338834528</c:v>
                </c:pt>
                <c:pt idx="31">
                  <c:v>1.3955605407023011</c:v>
                </c:pt>
                <c:pt idx="32">
                  <c:v>1.70801881699095</c:v>
                </c:pt>
                <c:pt idx="33">
                  <c:v>2.1464163817304032</c:v>
                </c:pt>
                <c:pt idx="34">
                  <c:v>2.8049873938594398</c:v>
                </c:pt>
                <c:pt idx="35">
                  <c:v>3.9033273688464369</c:v>
                </c:pt>
                <c:pt idx="36">
                  <c:v>6.098718634915044</c:v>
                </c:pt>
                <c:pt idx="37">
                  <c:v>12.659566924581251</c:v>
                </c:pt>
                <c:pt idx="38">
                  <c:v>1921.5837087114464</c:v>
                </c:pt>
                <c:pt idx="39">
                  <c:v>42.249999999987104</c:v>
                </c:pt>
                <c:pt idx="40">
                  <c:v>10.581427390464974</c:v>
                </c:pt>
                <c:pt idx="41">
                  <c:v>6.2413366336631526</c:v>
                </c:pt>
                <c:pt idx="42">
                  <c:v>4.5187319884725161</c:v>
                </c:pt>
                <c:pt idx="43">
                  <c:v>3.5949449125080415</c:v>
                </c:pt>
                <c:pt idx="44">
                  <c:v>3.0192994996425648</c:v>
                </c:pt>
                <c:pt idx="45">
                  <c:v>2.6264591439688467</c:v>
                </c:pt>
                <c:pt idx="46">
                  <c:v>2.3414634146341284</c:v>
                </c:pt>
                <c:pt idx="47">
                  <c:v>2.1254008980115326</c:v>
                </c:pt>
                <c:pt idx="48">
                  <c:v>1.9560649474689491</c:v>
                </c:pt>
                <c:pt idx="49">
                  <c:v>1.8198585144012047</c:v>
                </c:pt>
                <c:pt idx="50">
                  <c:v>1.7079905491189553</c:v>
                </c:pt>
                <c:pt idx="51">
                  <c:v>1.6145251396647997</c:v>
                </c:pt>
                <c:pt idx="52">
                  <c:v>1.5353095649293769</c:v>
                </c:pt>
                <c:pt idx="53">
                  <c:v>1.4673515584189416</c:v>
                </c:pt>
                <c:pt idx="54">
                  <c:v>1.4084404999094342</c:v>
                </c:pt>
                <c:pt idx="55">
                  <c:v>1.35690789473684</c:v>
                </c:pt>
                <c:pt idx="56">
                  <c:v>1.3114708393594574</c:v>
                </c:pt>
                <c:pt idx="57">
                  <c:v>1.2711267605633787</c:v>
                </c:pt>
                <c:pt idx="58">
                  <c:v>1.2350808487203404</c:v>
                </c:pt>
                <c:pt idx="59">
                  <c:v>1.2026949211102145</c:v>
                </c:pt>
                <c:pt idx="60">
                  <c:v>1.1734506784011727</c:v>
                </c:pt>
                <c:pt idx="61">
                  <c:v>1.1469228398232809</c:v>
                </c:pt>
                <c:pt idx="62">
                  <c:v>1.1227591914225556</c:v>
                </c:pt>
                <c:pt idx="63">
                  <c:v>1.1006655574043258</c:v>
                </c:pt>
                <c:pt idx="64">
                  <c:v>1.080394333380958</c:v>
                </c:pt>
                <c:pt idx="65">
                  <c:v>1.0617356341095658</c:v>
                </c:pt>
                <c:pt idx="66">
                  <c:v>1.0445103857566764</c:v>
                </c:pt>
                <c:pt idx="67">
                  <c:v>1.0285648819980142</c:v>
                </c:pt>
                <c:pt idx="68">
                  <c:v>1.0137664544300213</c:v>
                </c:pt>
                <c:pt idx="69">
                  <c:v>1</c:v>
                </c:pt>
                <c:pt idx="70">
                  <c:v>0.92687605964801134</c:v>
                </c:pt>
                <c:pt idx="71">
                  <c:v>0.87793233473094412</c:v>
                </c:pt>
                <c:pt idx="72">
                  <c:v>0.8432116897802775</c:v>
                </c:pt>
                <c:pt idx="73">
                  <c:v>0.81751431221486071</c:v>
                </c:pt>
                <c:pt idx="74">
                  <c:v>0.79786908756308172</c:v>
                </c:pt>
                <c:pt idx="75">
                  <c:v>0.78246071684854068</c:v>
                </c:pt>
                <c:pt idx="76">
                  <c:v>0.7701209595806876</c:v>
                </c:pt>
                <c:pt idx="77">
                  <c:v>0.76006613168945525</c:v>
                </c:pt>
                <c:pt idx="78">
                  <c:v>0.75175235378607119</c:v>
                </c:pt>
                <c:pt idx="79">
                  <c:v>0.74479131918510189</c:v>
                </c:pt>
                <c:pt idx="80">
                  <c:v>0.73889904941593587</c:v>
                </c:pt>
                <c:pt idx="81">
                  <c:v>0.73386352963092394</c:v>
                </c:pt>
                <c:pt idx="82">
                  <c:v>0.72952360451323239</c:v>
                </c:pt>
              </c:numCache>
            </c:numRef>
          </c:yVal>
          <c:smooth val="1"/>
          <c:extLst>
            <c:ext xmlns:c16="http://schemas.microsoft.com/office/drawing/2014/chart" uri="{C3380CC4-5D6E-409C-BE32-E72D297353CC}">
              <c16:uniqueId val="{00000000-6026-4FD7-992E-1122FCCA6EFA}"/>
            </c:ext>
          </c:extLst>
        </c:ser>
        <c:ser>
          <c:idx val="1"/>
          <c:order val="1"/>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RTC!$C$53:$CG$53</c:f>
              <c:numCache>
                <c:formatCode>General</c:formatCode>
                <c:ptCount val="83"/>
                <c:pt idx="0">
                  <c:v>1.5209591836734695</c:v>
                </c:pt>
                <c:pt idx="1">
                  <c:v>1.5209591836734695</c:v>
                </c:pt>
                <c:pt idx="2">
                  <c:v>1.5209591836734695</c:v>
                </c:pt>
                <c:pt idx="3">
                  <c:v>1.5209591836734695</c:v>
                </c:pt>
                <c:pt idx="4">
                  <c:v>1.5209591836734695</c:v>
                </c:pt>
                <c:pt idx="5">
                  <c:v>1.5209591836734695</c:v>
                </c:pt>
                <c:pt idx="6">
                  <c:v>1.5209591836734695</c:v>
                </c:pt>
                <c:pt idx="7">
                  <c:v>1.5209591836734695</c:v>
                </c:pt>
                <c:pt idx="8">
                  <c:v>1.5209591836734695</c:v>
                </c:pt>
                <c:pt idx="9">
                  <c:v>1.5209591836734695</c:v>
                </c:pt>
                <c:pt idx="10">
                  <c:v>1.5209591836734695</c:v>
                </c:pt>
                <c:pt idx="11">
                  <c:v>1.5209591836734695</c:v>
                </c:pt>
                <c:pt idx="12">
                  <c:v>1.5209591836734695</c:v>
                </c:pt>
                <c:pt idx="13">
                  <c:v>1.5209591836734695</c:v>
                </c:pt>
                <c:pt idx="14">
                  <c:v>1.5209591836734695</c:v>
                </c:pt>
                <c:pt idx="15">
                  <c:v>1.5209591836734695</c:v>
                </c:pt>
                <c:pt idx="16">
                  <c:v>1.5209591836734695</c:v>
                </c:pt>
                <c:pt idx="17">
                  <c:v>1.5209591836734695</c:v>
                </c:pt>
                <c:pt idx="18">
                  <c:v>1.5209591836734695</c:v>
                </c:pt>
                <c:pt idx="19">
                  <c:v>1.5209591836734695</c:v>
                </c:pt>
                <c:pt idx="20">
                  <c:v>1.5209591836734695</c:v>
                </c:pt>
                <c:pt idx="21">
                  <c:v>1.5209591836734695</c:v>
                </c:pt>
                <c:pt idx="22">
                  <c:v>1.5209591836734695</c:v>
                </c:pt>
                <c:pt idx="23">
                  <c:v>1.5209591836734695</c:v>
                </c:pt>
                <c:pt idx="24">
                  <c:v>1.5209591836734695</c:v>
                </c:pt>
                <c:pt idx="25">
                  <c:v>1.5209591836734695</c:v>
                </c:pt>
                <c:pt idx="26">
                  <c:v>1.5209591836734695</c:v>
                </c:pt>
                <c:pt idx="27">
                  <c:v>1.5209591836734695</c:v>
                </c:pt>
                <c:pt idx="28">
                  <c:v>1.5209591836734695</c:v>
                </c:pt>
                <c:pt idx="29">
                  <c:v>1.5209591836734695</c:v>
                </c:pt>
                <c:pt idx="30">
                  <c:v>1.5209591836734695</c:v>
                </c:pt>
                <c:pt idx="31">
                  <c:v>1.5209591836734695</c:v>
                </c:pt>
                <c:pt idx="32">
                  <c:v>1.5209591836734695</c:v>
                </c:pt>
                <c:pt idx="33">
                  <c:v>1.5209591836734695</c:v>
                </c:pt>
                <c:pt idx="34">
                  <c:v>1.5209591836734695</c:v>
                </c:pt>
                <c:pt idx="35">
                  <c:v>1.5209591836734695</c:v>
                </c:pt>
                <c:pt idx="36">
                  <c:v>1.5209591836734695</c:v>
                </c:pt>
                <c:pt idx="37">
                  <c:v>1.5209591836734695</c:v>
                </c:pt>
                <c:pt idx="38">
                  <c:v>1.5209591836734695</c:v>
                </c:pt>
                <c:pt idx="39">
                  <c:v>1.5209591836734695</c:v>
                </c:pt>
                <c:pt idx="40">
                  <c:v>1.5209591836734695</c:v>
                </c:pt>
                <c:pt idx="41">
                  <c:v>1.5209591836734695</c:v>
                </c:pt>
                <c:pt idx="42">
                  <c:v>1.5209591836734695</c:v>
                </c:pt>
                <c:pt idx="43">
                  <c:v>1.5209591836734695</c:v>
                </c:pt>
                <c:pt idx="44">
                  <c:v>1.5209591836734695</c:v>
                </c:pt>
                <c:pt idx="45">
                  <c:v>1.5209591836734695</c:v>
                </c:pt>
                <c:pt idx="46">
                  <c:v>1.5209591836734695</c:v>
                </c:pt>
                <c:pt idx="47">
                  <c:v>1.5209591836734695</c:v>
                </c:pt>
                <c:pt idx="48">
                  <c:v>1.5209591836734695</c:v>
                </c:pt>
                <c:pt idx="49">
                  <c:v>1.5209591836734695</c:v>
                </c:pt>
                <c:pt idx="50">
                  <c:v>1.5209591836734695</c:v>
                </c:pt>
                <c:pt idx="51">
                  <c:v>1.5209591836734695</c:v>
                </c:pt>
                <c:pt idx="52">
                  <c:v>1.5209591836734695</c:v>
                </c:pt>
                <c:pt idx="53">
                  <c:v>1.5209591836734695</c:v>
                </c:pt>
                <c:pt idx="54">
                  <c:v>1.5209591836734695</c:v>
                </c:pt>
                <c:pt idx="55">
                  <c:v>1.5209591836734695</c:v>
                </c:pt>
                <c:pt idx="56">
                  <c:v>1.5209591836734695</c:v>
                </c:pt>
                <c:pt idx="57">
                  <c:v>1.5209591836734695</c:v>
                </c:pt>
                <c:pt idx="58">
                  <c:v>1.5209591836734695</c:v>
                </c:pt>
                <c:pt idx="59">
                  <c:v>1.5209591836734695</c:v>
                </c:pt>
                <c:pt idx="60">
                  <c:v>1.5209591836734695</c:v>
                </c:pt>
                <c:pt idx="61">
                  <c:v>1.5209591836734695</c:v>
                </c:pt>
                <c:pt idx="62">
                  <c:v>1.5209591836734695</c:v>
                </c:pt>
                <c:pt idx="63">
                  <c:v>1.5209591836734695</c:v>
                </c:pt>
                <c:pt idx="64">
                  <c:v>1.5209591836734695</c:v>
                </c:pt>
                <c:pt idx="65">
                  <c:v>1.5209591836734695</c:v>
                </c:pt>
                <c:pt idx="66">
                  <c:v>1.5209591836734695</c:v>
                </c:pt>
                <c:pt idx="67">
                  <c:v>1.5209591836734695</c:v>
                </c:pt>
                <c:pt idx="68">
                  <c:v>1.5209591836734695</c:v>
                </c:pt>
                <c:pt idx="69">
                  <c:v>1.5209591836734695</c:v>
                </c:pt>
                <c:pt idx="70">
                  <c:v>1.5209591836734695</c:v>
                </c:pt>
                <c:pt idx="71">
                  <c:v>1.5209591836734695</c:v>
                </c:pt>
                <c:pt idx="72">
                  <c:v>1.5209591836734695</c:v>
                </c:pt>
                <c:pt idx="73">
                  <c:v>1.5209591836734695</c:v>
                </c:pt>
                <c:pt idx="74">
                  <c:v>1.5209591836734695</c:v>
                </c:pt>
                <c:pt idx="75">
                  <c:v>1.5209591836734695</c:v>
                </c:pt>
                <c:pt idx="76">
                  <c:v>1.5209591836734695</c:v>
                </c:pt>
                <c:pt idx="77">
                  <c:v>1.5209591836734695</c:v>
                </c:pt>
                <c:pt idx="78">
                  <c:v>1.5209591836734695</c:v>
                </c:pt>
                <c:pt idx="79">
                  <c:v>1.5209591836734695</c:v>
                </c:pt>
                <c:pt idx="80">
                  <c:v>1.5209591836734695</c:v>
                </c:pt>
                <c:pt idx="81">
                  <c:v>1.5209591836734695</c:v>
                </c:pt>
                <c:pt idx="82">
                  <c:v>1.5209591836734695</c:v>
                </c:pt>
              </c:numCache>
            </c:numRef>
          </c:yVal>
          <c:smooth val="1"/>
          <c:extLst>
            <c:ext xmlns:c16="http://schemas.microsoft.com/office/drawing/2014/chart" uri="{C3380CC4-5D6E-409C-BE32-E72D297353CC}">
              <c16:uniqueId val="{00000001-6026-4FD7-992E-1122FCCA6EFA}"/>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1921.5837087114464</c:v>
                </c:pt>
                <c:pt idx="39">
                  <c:v>6.499999999999007</c:v>
                </c:pt>
                <c:pt idx="40">
                  <c:v>3.2529106029008803</c:v>
                </c:pt>
                <c:pt idx="41">
                  <c:v>2.4982667258847973</c:v>
                </c:pt>
                <c:pt idx="42">
                  <c:v>2.1257309304031207</c:v>
                </c:pt>
                <c:pt idx="43">
                  <c:v>1.8960339956097945</c:v>
                </c:pt>
                <c:pt idx="44">
                  <c:v>1.7376131616797115</c:v>
                </c:pt>
                <c:pt idx="45">
                  <c:v>1.6206354136476369</c:v>
                </c:pt>
                <c:pt idx="46">
                  <c:v>1.5301841113520063</c:v>
                </c:pt>
                <c:pt idx="47">
                  <c:v>1.4578754741100259</c:v>
                </c:pt>
                <c:pt idx="48">
                  <c:v>1.3985939180008431</c:v>
                </c:pt>
                <c:pt idx="49">
                  <c:v>1.3490213172523273</c:v>
                </c:pt>
                <c:pt idx="50">
                  <c:v>1.3069011244615849</c:v>
                </c:pt>
                <c:pt idx="51">
                  <c:v>1.2706396576782892</c:v>
                </c:pt>
                <c:pt idx="52">
                  <c:v>1.2390760932765092</c:v>
                </c:pt>
                <c:pt idx="53">
                  <c:v>1.2113428740117067</c:v>
                </c:pt>
                <c:pt idx="54">
                  <c:v>1.1867773590313537</c:v>
                </c:pt>
                <c:pt idx="55">
                  <c:v>1.1648638953701158</c:v>
                </c:pt>
                <c:pt idx="56">
                  <c:v>1.1451946731274369</c:v>
                </c:pt>
                <c:pt idx="57">
                  <c:v>1.1274425752841599</c:v>
                </c:pt>
                <c:pt idx="58">
                  <c:v>1.1113419135083229</c:v>
                </c:pt>
                <c:pt idx="59">
                  <c:v>1.0966744827478272</c:v>
                </c:pt>
                <c:pt idx="60">
                  <c:v>1.0832592849365161</c:v>
                </c:pt>
                <c:pt idx="61">
                  <c:v>1.0709448350980926</c:v>
                </c:pt>
                <c:pt idx="62">
                  <c:v>1.0596033179556184</c:v>
                </c:pt>
                <c:pt idx="63">
                  <c:v>1.0491260922331147</c:v>
                </c:pt>
                <c:pt idx="64">
                  <c:v>1.0394201909627108</c:v>
                </c:pt>
                <c:pt idx="65">
                  <c:v>1.0304055677788071</c:v>
                </c:pt>
                <c:pt idx="66">
                  <c:v>1.022012908801389</c:v>
                </c:pt>
                <c:pt idx="67">
                  <c:v>1.0141818781648655</c:v>
                </c:pt>
                <c:pt idx="68">
                  <c:v>1.0068596994765564</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6026-4FD7-992E-1122FCCA6EFA}"/>
            </c:ext>
          </c:extLst>
        </c:ser>
        <c:ser>
          <c:idx val="3"/>
          <c:order val="3"/>
          <c:tx>
            <c:strRef>
              <c:f>RTC!$B$31</c:f>
              <c:strCache>
                <c:ptCount val="1"/>
                <c:pt idx="0">
                  <c:v>Minf</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RTC!$C$31:$CG$31</c:f>
              <c:numCache>
                <c:formatCode>General</c:formatCode>
                <c:ptCount val="83"/>
                <c:pt idx="0">
                  <c:v>0.68571428571428572</c:v>
                </c:pt>
                <c:pt idx="1">
                  <c:v>0.68571428571428572</c:v>
                </c:pt>
                <c:pt idx="2">
                  <c:v>0.68571428571428572</c:v>
                </c:pt>
                <c:pt idx="3">
                  <c:v>0.68571428571428572</c:v>
                </c:pt>
                <c:pt idx="4">
                  <c:v>0.68571428571428572</c:v>
                </c:pt>
                <c:pt idx="5">
                  <c:v>0.68571428571428572</c:v>
                </c:pt>
                <c:pt idx="6">
                  <c:v>0.68571428571428572</c:v>
                </c:pt>
                <c:pt idx="7">
                  <c:v>0.68571428571428572</c:v>
                </c:pt>
                <c:pt idx="8">
                  <c:v>0.68571428571428572</c:v>
                </c:pt>
                <c:pt idx="9">
                  <c:v>0.68571428571428572</c:v>
                </c:pt>
                <c:pt idx="10">
                  <c:v>0.68571428571428572</c:v>
                </c:pt>
                <c:pt idx="11">
                  <c:v>0.68571428571428572</c:v>
                </c:pt>
                <c:pt idx="12">
                  <c:v>0.68571428571428572</c:v>
                </c:pt>
                <c:pt idx="13">
                  <c:v>0.68571428571428572</c:v>
                </c:pt>
                <c:pt idx="14">
                  <c:v>0.68571428571428572</c:v>
                </c:pt>
                <c:pt idx="15">
                  <c:v>0.68571428571428572</c:v>
                </c:pt>
                <c:pt idx="16">
                  <c:v>0.68571428571428572</c:v>
                </c:pt>
                <c:pt idx="17">
                  <c:v>0.68571428571428572</c:v>
                </c:pt>
                <c:pt idx="18">
                  <c:v>0.68571428571428572</c:v>
                </c:pt>
                <c:pt idx="19">
                  <c:v>0.68571428571428572</c:v>
                </c:pt>
                <c:pt idx="20">
                  <c:v>0.68571428571428572</c:v>
                </c:pt>
                <c:pt idx="21">
                  <c:v>0.68571428571428572</c:v>
                </c:pt>
                <c:pt idx="22">
                  <c:v>0.68571428571428572</c:v>
                </c:pt>
                <c:pt idx="23">
                  <c:v>0.68571428571428572</c:v>
                </c:pt>
                <c:pt idx="24">
                  <c:v>0.68571428571428572</c:v>
                </c:pt>
                <c:pt idx="25">
                  <c:v>0.68571428571428572</c:v>
                </c:pt>
                <c:pt idx="26">
                  <c:v>0.68571428571428572</c:v>
                </c:pt>
                <c:pt idx="27">
                  <c:v>0.68571428571428572</c:v>
                </c:pt>
                <c:pt idx="28">
                  <c:v>0.68571428571428572</c:v>
                </c:pt>
                <c:pt idx="29">
                  <c:v>0.68571428571428572</c:v>
                </c:pt>
                <c:pt idx="30">
                  <c:v>0.68571428571428572</c:v>
                </c:pt>
                <c:pt idx="31">
                  <c:v>0.68571428571428572</c:v>
                </c:pt>
                <c:pt idx="32">
                  <c:v>0.68571428571428572</c:v>
                </c:pt>
                <c:pt idx="33">
                  <c:v>0.68571428571428572</c:v>
                </c:pt>
                <c:pt idx="34">
                  <c:v>0.68571428571428572</c:v>
                </c:pt>
                <c:pt idx="35">
                  <c:v>0.68571428571428572</c:v>
                </c:pt>
                <c:pt idx="36">
                  <c:v>0.68571428571428572</c:v>
                </c:pt>
                <c:pt idx="37">
                  <c:v>0.68571428571428572</c:v>
                </c:pt>
                <c:pt idx="38">
                  <c:v>0.68571428571428572</c:v>
                </c:pt>
                <c:pt idx="39">
                  <c:v>0.68571428571428572</c:v>
                </c:pt>
                <c:pt idx="40">
                  <c:v>0.68571428571428572</c:v>
                </c:pt>
                <c:pt idx="41">
                  <c:v>0.68571428571428572</c:v>
                </c:pt>
                <c:pt idx="42">
                  <c:v>0.68571428571428572</c:v>
                </c:pt>
                <c:pt idx="43">
                  <c:v>0.68571428571428572</c:v>
                </c:pt>
                <c:pt idx="44">
                  <c:v>0.68571428571428572</c:v>
                </c:pt>
                <c:pt idx="45">
                  <c:v>0.68571428571428572</c:v>
                </c:pt>
                <c:pt idx="46">
                  <c:v>0.68571428571428572</c:v>
                </c:pt>
                <c:pt idx="47">
                  <c:v>0.68571428571428572</c:v>
                </c:pt>
                <c:pt idx="48">
                  <c:v>0.68571428571428572</c:v>
                </c:pt>
                <c:pt idx="49">
                  <c:v>0.68571428571428572</c:v>
                </c:pt>
                <c:pt idx="50">
                  <c:v>0.68571428571428572</c:v>
                </c:pt>
                <c:pt idx="51">
                  <c:v>0.68571428571428572</c:v>
                </c:pt>
                <c:pt idx="52">
                  <c:v>0.68571428571428572</c:v>
                </c:pt>
                <c:pt idx="53">
                  <c:v>0.68571428571428572</c:v>
                </c:pt>
                <c:pt idx="54">
                  <c:v>0.68571428571428572</c:v>
                </c:pt>
                <c:pt idx="55">
                  <c:v>0.68571428571428572</c:v>
                </c:pt>
                <c:pt idx="56">
                  <c:v>0.68571428571428572</c:v>
                </c:pt>
                <c:pt idx="57">
                  <c:v>0.68571428571428572</c:v>
                </c:pt>
                <c:pt idx="58">
                  <c:v>0.68571428571428572</c:v>
                </c:pt>
                <c:pt idx="59">
                  <c:v>0.68571428571428572</c:v>
                </c:pt>
                <c:pt idx="60">
                  <c:v>0.68571428571428572</c:v>
                </c:pt>
                <c:pt idx="61">
                  <c:v>0.68571428571428572</c:v>
                </c:pt>
                <c:pt idx="62">
                  <c:v>0.68571428571428572</c:v>
                </c:pt>
                <c:pt idx="63">
                  <c:v>0.68571428571428572</c:v>
                </c:pt>
                <c:pt idx="64">
                  <c:v>0.68571428571428572</c:v>
                </c:pt>
                <c:pt idx="65">
                  <c:v>0.68571428571428572</c:v>
                </c:pt>
                <c:pt idx="66">
                  <c:v>0.68571428571428572</c:v>
                </c:pt>
                <c:pt idx="67">
                  <c:v>0.68571428571428572</c:v>
                </c:pt>
                <c:pt idx="68">
                  <c:v>0.68571428571428572</c:v>
                </c:pt>
                <c:pt idx="69">
                  <c:v>0.68571428571428572</c:v>
                </c:pt>
                <c:pt idx="70">
                  <c:v>0.68571428571428572</c:v>
                </c:pt>
                <c:pt idx="71">
                  <c:v>0.68571428571428572</c:v>
                </c:pt>
                <c:pt idx="72">
                  <c:v>0.68571428571428572</c:v>
                </c:pt>
                <c:pt idx="73">
                  <c:v>0.68571428571428572</c:v>
                </c:pt>
                <c:pt idx="74">
                  <c:v>0.68571428571428572</c:v>
                </c:pt>
                <c:pt idx="75">
                  <c:v>0.68571428571428572</c:v>
                </c:pt>
                <c:pt idx="76">
                  <c:v>0.68571428571428572</c:v>
                </c:pt>
                <c:pt idx="77">
                  <c:v>0.68571428571428572</c:v>
                </c:pt>
                <c:pt idx="78">
                  <c:v>0.68571428571428572</c:v>
                </c:pt>
                <c:pt idx="79">
                  <c:v>0.68571428571428572</c:v>
                </c:pt>
                <c:pt idx="80">
                  <c:v>0.68571428571428572</c:v>
                </c:pt>
                <c:pt idx="81">
                  <c:v>0.68571428571428572</c:v>
                </c:pt>
                <c:pt idx="82">
                  <c:v>0.68571428571428572</c:v>
                </c:pt>
              </c:numCache>
            </c:numRef>
          </c:yVal>
          <c:smooth val="1"/>
          <c:extLst>
            <c:ext xmlns:c16="http://schemas.microsoft.com/office/drawing/2014/chart" uri="{C3380CC4-5D6E-409C-BE32-E72D297353CC}">
              <c16:uniqueId val="{00000003-6026-4FD7-992E-1122FCCA6EFA}"/>
            </c:ext>
          </c:extLst>
        </c:ser>
        <c:ser>
          <c:idx val="4"/>
          <c:order val="4"/>
          <c:tx>
            <c:strRef>
              <c:f>RTC!$B$99</c:f>
              <c:strCache>
                <c:ptCount val="1"/>
                <c:pt idx="0">
                  <c:v>M(fn,100% 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RTC!$C$99:$CG$99</c:f>
              <c:numCache>
                <c:formatCode>General</c:formatCode>
                <c:ptCount val="83"/>
                <c:pt idx="0">
                  <c:v>2.1818182382492675E-8</c:v>
                </c:pt>
                <c:pt idx="1">
                  <c:v>1.2881887010930794E-3</c:v>
                </c:pt>
                <c:pt idx="2">
                  <c:v>3.2927886442313385E-3</c:v>
                </c:pt>
                <c:pt idx="3">
                  <c:v>6.2360266346062031E-3</c:v>
                </c:pt>
                <c:pt idx="4">
                  <c:v>1.0137396704165301E-2</c:v>
                </c:pt>
                <c:pt idx="5">
                  <c:v>1.5023007895528954E-2</c:v>
                </c:pt>
                <c:pt idx="6">
                  <c:v>2.0925987778792478E-2</c:v>
                </c:pt>
                <c:pt idx="7">
                  <c:v>2.7887001276361342E-2</c:v>
                </c:pt>
                <c:pt idx="8">
                  <c:v>3.5954897539339017E-2</c:v>
                </c:pt>
                <c:pt idx="9">
                  <c:v>4.5187500817546217E-2</c:v>
                </c:pt>
                <c:pt idx="10">
                  <c:v>5.5652564835327163E-2</c:v>
                </c:pt>
                <c:pt idx="11">
                  <c:v>6.7428914152122668E-2</c:v>
                </c:pt>
                <c:pt idx="12">
                  <c:v>8.0607800331455051E-2</c:v>
                </c:pt>
                <c:pt idx="13">
                  <c:v>9.5294505365001059E-2</c:v>
                </c:pt>
                <c:pt idx="14">
                  <c:v>0.11161022945863958</c:v>
                </c:pt>
                <c:pt idx="15">
                  <c:v>0.12969430450041747</c:v>
                </c:pt>
                <c:pt idx="16">
                  <c:v>0.14970677740192706</c:v>
                </c:pt>
                <c:pt idx="17">
                  <c:v>0.17183140745740369</c:v>
                </c:pt>
                <c:pt idx="18">
                  <c:v>0.19627911619524036</c:v>
                </c:pt>
                <c:pt idx="19">
                  <c:v>0.22329191235764032</c:v>
                </c:pt>
                <c:pt idx="20">
                  <c:v>0.25314728109657647</c:v>
                </c:pt>
                <c:pt idx="21">
                  <c:v>0.28616296286546417</c:v>
                </c:pt>
                <c:pt idx="22">
                  <c:v>0.32270193381356715</c:v>
                </c:pt>
                <c:pt idx="23">
                  <c:v>0.36317720380577329</c:v>
                </c:pt>
                <c:pt idx="24">
                  <c:v>0.40805572039200749</c:v>
                </c:pt>
                <c:pt idx="25">
                  <c:v>0.45786013065995684</c:v>
                </c:pt>
                <c:pt idx="26">
                  <c:v>0.51316629609248432</c:v>
                </c:pt>
                <c:pt idx="27">
                  <c:v>0.57459312657902117</c:v>
                </c:pt>
                <c:pt idx="28">
                  <c:v>0.64277932160959372</c:v>
                </c:pt>
                <c:pt idx="29">
                  <c:v>0.71833884691119299</c:v>
                </c:pt>
                <c:pt idx="30">
                  <c:v>0.80178354597124124</c:v>
                </c:pt>
                <c:pt idx="31">
                  <c:v>0.89339801137383779</c:v>
                </c:pt>
                <c:pt idx="32">
                  <c:v>0.99305115057053139</c:v>
                </c:pt>
                <c:pt idx="33">
                  <c:v>1.0999361156437204</c:v>
                </c:pt>
                <c:pt idx="34">
                  <c:v>1.2122544795938535</c:v>
                </c:pt>
                <c:pt idx="35">
                  <c:v>1.3269116345880969</c:v>
                </c:pt>
                <c:pt idx="36">
                  <c:v>1.4393666612797296</c:v>
                </c:pt>
                <c:pt idx="37">
                  <c:v>1.5438437181055409</c:v>
                </c:pt>
                <c:pt idx="38">
                  <c:v>1.634075089047597</c:v>
                </c:pt>
                <c:pt idx="39">
                  <c:v>1.6593385553953328</c:v>
                </c:pt>
                <c:pt idx="40">
                  <c:v>1.7224809596753172</c:v>
                </c:pt>
                <c:pt idx="41">
                  <c:v>1.7617858065342098</c:v>
                </c:pt>
                <c:pt idx="42">
                  <c:v>1.7775007606476596</c:v>
                </c:pt>
                <c:pt idx="43">
                  <c:v>1.7723770936820213</c:v>
                </c:pt>
                <c:pt idx="44">
                  <c:v>1.7506688032071991</c:v>
                </c:pt>
                <c:pt idx="45">
                  <c:v>1.7170352094878036</c:v>
                </c:pt>
                <c:pt idx="46">
                  <c:v>1.6757354437264311</c:v>
                </c:pt>
                <c:pt idx="47">
                  <c:v>1.6302254633798372</c:v>
                </c:pt>
                <c:pt idx="48">
                  <c:v>1.5830741957458498</c:v>
                </c:pt>
                <c:pt idx="49">
                  <c:v>1.5360596375513149</c:v>
                </c:pt>
                <c:pt idx="50">
                  <c:v>1.4903324554146884</c:v>
                </c:pt>
                <c:pt idx="51">
                  <c:v>1.446581713956461</c:v>
                </c:pt>
                <c:pt idx="52">
                  <c:v>1.4051745142564538</c:v>
                </c:pt>
                <c:pt idx="53">
                  <c:v>1.3662628198799427</c:v>
                </c:pt>
                <c:pt idx="54">
                  <c:v>1.329860503810347</c:v>
                </c:pt>
                <c:pt idx="55">
                  <c:v>1.2958967576600455</c:v>
                </c:pt>
                <c:pt idx="56">
                  <c:v>1.2642520414530216</c:v>
                </c:pt>
                <c:pt idx="57">
                  <c:v>1.2347816882910965</c:v>
                </c:pt>
                <c:pt idx="58">
                  <c:v>1.2073310266874606</c:v>
                </c:pt>
                <c:pt idx="59">
                  <c:v>1.1817447922027622</c:v>
                </c:pt>
                <c:pt idx="60">
                  <c:v>1.1578727557635651</c:v>
                </c:pt>
                <c:pt idx="61">
                  <c:v>1.1355728820271946</c:v>
                </c:pt>
                <c:pt idx="62">
                  <c:v>1.1147129003379874</c:v>
                </c:pt>
                <c:pt idx="63">
                  <c:v>1.0951708751382412</c:v>
                </c:pt>
                <c:pt idx="64">
                  <c:v>1.0768351626045636</c:v>
                </c:pt>
                <c:pt idx="65">
                  <c:v>1.0596040061373857</c:v>
                </c:pt>
                <c:pt idx="66">
                  <c:v>1.0433849339971508</c:v>
                </c:pt>
                <c:pt idx="67">
                  <c:v>1.0280940632015909</c:v>
                </c:pt>
                <c:pt idx="68">
                  <c:v>1.0136553747908899</c:v>
                </c:pt>
                <c:pt idx="69">
                  <c:v>1</c:v>
                </c:pt>
                <c:pt idx="70">
                  <c:v>0.92333211953700123</c:v>
                </c:pt>
                <c:pt idx="71">
                  <c:v>0.86696105834124759</c:v>
                </c:pt>
                <c:pt idx="72">
                  <c:v>0.82318248090522994</c:v>
                </c:pt>
                <c:pt idx="73">
                  <c:v>0.78763759103387965</c:v>
                </c:pt>
                <c:pt idx="74">
                  <c:v>0.75772129315258452</c:v>
                </c:pt>
                <c:pt idx="75">
                  <c:v>0.73180269010084442</c:v>
                </c:pt>
                <c:pt idx="76">
                  <c:v>0.70882081816335396</c:v>
                </c:pt>
                <c:pt idx="77">
                  <c:v>0.68806311613752202</c:v>
                </c:pt>
                <c:pt idx="78">
                  <c:v>0.66903798029635431</c:v>
                </c:pt>
                <c:pt idx="79">
                  <c:v>0.65139830863734394</c:v>
                </c:pt>
                <c:pt idx="80">
                  <c:v>0.63489396113171548</c:v>
                </c:pt>
                <c:pt idx="81">
                  <c:v>0.61934128252039466</c:v>
                </c:pt>
                <c:pt idx="82">
                  <c:v>0.60460304808045218</c:v>
                </c:pt>
              </c:numCache>
            </c:numRef>
          </c:yVal>
          <c:smooth val="1"/>
          <c:extLst>
            <c:ext xmlns:c16="http://schemas.microsoft.com/office/drawing/2014/chart" uri="{C3380CC4-5D6E-409C-BE32-E72D297353CC}">
              <c16:uniqueId val="{00000004-6026-4FD7-992E-1122FCCA6EFA}"/>
            </c:ext>
          </c:extLst>
        </c:ser>
        <c:ser>
          <c:idx val="5"/>
          <c:order val="5"/>
          <c:tx>
            <c:strRef>
              <c:f>RTC!$B$100</c:f>
              <c:strCache>
                <c:ptCount val="1"/>
                <c:pt idx="0">
                  <c:v>M(fn,75% Po,π/2)</c:v>
                </c:pt>
              </c:strCache>
            </c:strRef>
          </c:tx>
          <c:spPr>
            <a:ln w="19080" cap="rnd">
              <a:solidFill>
                <a:srgbClr val="C04F1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RTC!$C$100:$CG$100</c:f>
              <c:numCache>
                <c:formatCode>General</c:formatCode>
                <c:ptCount val="83"/>
                <c:pt idx="0">
                  <c:v>2.1818182439325691E-8</c:v>
                </c:pt>
                <c:pt idx="1">
                  <c:v>1.288386932838223E-3</c:v>
                </c:pt>
                <c:pt idx="2">
                  <c:v>3.294085024357045E-3</c:v>
                </c:pt>
                <c:pt idx="3">
                  <c:v>6.2406824378399874E-3</c:v>
                </c:pt>
                <c:pt idx="4">
                  <c:v>1.0149721903320651E-2</c:v>
                </c:pt>
                <c:pt idx="5">
                  <c:v>1.5050135523851146E-2</c:v>
                </c:pt>
                <c:pt idx="6">
                  <c:v>2.0978762930202923E-2</c:v>
                </c:pt>
                <c:pt idx="7">
                  <c:v>2.7981024024538607E-2</c:v>
                </c:pt>
                <c:pt idx="8">
                  <c:v>3.6111767932241016E-2</c:v>
                </c:pt>
                <c:pt idx="9">
                  <c:v>4.5436326096875805E-2</c:v>
                </c:pt>
                <c:pt idx="10">
                  <c:v>5.6031805097773307E-2</c:v>
                </c:pt>
                <c:pt idx="11">
                  <c:v>6.7988664131966317E-2</c:v>
                </c:pt>
                <c:pt idx="12">
                  <c:v>8.1412633661487821E-2</c:v>
                </c:pt>
                <c:pt idx="13">
                  <c:v>9.6427046070027292E-2</c:v>
                </c:pt>
                <c:pt idx="14">
                  <c:v>0.11317566700622338</c:v>
                </c:pt>
                <c:pt idx="15">
                  <c:v>0.13182613823889974</c:v>
                </c:pt>
                <c:pt idx="16">
                  <c:v>0.15257417021874703</c:v>
                </c:pt>
                <c:pt idx="17">
                  <c:v>0.17564865601082361</c:v>
                </c:pt>
                <c:pt idx="18">
                  <c:v>0.20131791842768321</c:v>
                </c:pt>
                <c:pt idx="19">
                  <c:v>0.22989734881129481</c:v>
                </c:pt>
                <c:pt idx="20">
                  <c:v>0.26175874677386279</c:v>
                </c:pt>
                <c:pt idx="21">
                  <c:v>0.29734171889440625</c:v>
                </c:pt>
                <c:pt idx="22">
                  <c:v>0.33716752587048926</c:v>
                </c:pt>
                <c:pt idx="23">
                  <c:v>0.38185574987982202</c:v>
                </c:pt>
                <c:pt idx="24">
                  <c:v>0.43214402159173204</c:v>
                </c:pt>
                <c:pt idx="25">
                  <c:v>0.48891067008148414</c:v>
                </c:pt>
                <c:pt idx="26">
                  <c:v>0.55319928820362751</c:v>
                </c:pt>
                <c:pt idx="27">
                  <c:v>0.62624236450510695</c:v>
                </c:pt>
                <c:pt idx="28">
                  <c:v>0.70947743818119824</c:v>
                </c:pt>
                <c:pt idx="29">
                  <c:v>0.80454211618310545</c:v>
                </c:pt>
                <c:pt idx="30">
                  <c:v>0.91322115987396435</c:v>
                </c:pt>
                <c:pt idx="31">
                  <c:v>1.0372960664446651</c:v>
                </c:pt>
                <c:pt idx="32">
                  <c:v>1.1782121374140364</c:v>
                </c:pt>
                <c:pt idx="33">
                  <c:v>1.3364349780829283</c:v>
                </c:pt>
                <c:pt idx="34">
                  <c:v>1.510352267256434</c:v>
                </c:pt>
                <c:pt idx="35">
                  <c:v>1.6946933621753784</c:v>
                </c:pt>
                <c:pt idx="36">
                  <c:v>1.8788872930725189</c:v>
                </c:pt>
                <c:pt idx="37">
                  <c:v>2.0466553898913222</c:v>
                </c:pt>
                <c:pt idx="38">
                  <c:v>2.1787661726775807</c:v>
                </c:pt>
                <c:pt idx="39">
                  <c:v>2.2111254628172499</c:v>
                </c:pt>
                <c:pt idx="40">
                  <c:v>2.2733341619235312</c:v>
                </c:pt>
                <c:pt idx="41">
                  <c:v>2.279475815657614</c:v>
                </c:pt>
                <c:pt idx="42">
                  <c:v>2.2390917769355316</c:v>
                </c:pt>
                <c:pt idx="43">
                  <c:v>2.1671764851446018</c:v>
                </c:pt>
                <c:pt idx="44">
                  <c:v>2.0782664827564981</c:v>
                </c:pt>
                <c:pt idx="45">
                  <c:v>1.9833491584035785</c:v>
                </c:pt>
                <c:pt idx="46">
                  <c:v>1.8894370266624958</c:v>
                </c:pt>
                <c:pt idx="47">
                  <c:v>1.8004036122547353</c:v>
                </c:pt>
                <c:pt idx="48">
                  <c:v>1.7180362951962087</c:v>
                </c:pt>
                <c:pt idx="49">
                  <c:v>1.6428800535467103</c:v>
                </c:pt>
                <c:pt idx="50">
                  <c:v>1.5748033751254673</c:v>
                </c:pt>
                <c:pt idx="51">
                  <c:v>1.5133428875947135</c:v>
                </c:pt>
                <c:pt idx="52">
                  <c:v>1.4579001918992971</c:v>
                </c:pt>
                <c:pt idx="53">
                  <c:v>1.4078482374057373</c:v>
                </c:pt>
                <c:pt idx="54">
                  <c:v>1.3625851213657623</c:v>
                </c:pt>
                <c:pt idx="55">
                  <c:v>1.3215584444011077</c:v>
                </c:pt>
                <c:pt idx="56">
                  <c:v>1.2842737446429706</c:v>
                </c:pt>
                <c:pt idx="57">
                  <c:v>1.2502946995621886</c:v>
                </c:pt>
                <c:pt idx="58">
                  <c:v>1.2192393728204127</c:v>
                </c:pt>
                <c:pt idx="59">
                  <c:v>1.1907748312749207</c:v>
                </c:pt>
                <c:pt idx="60">
                  <c:v>1.1646113567059417</c:v>
                </c:pt>
                <c:pt idx="61">
                  <c:v>1.140496864502047</c:v>
                </c:pt>
                <c:pt idx="62">
                  <c:v>1.1182118061628268</c:v>
                </c:pt>
                <c:pt idx="63">
                  <c:v>1.0975646529978911</c:v>
                </c:pt>
                <c:pt idx="64">
                  <c:v>1.0783879659759421</c:v>
                </c:pt>
                <c:pt idx="65">
                  <c:v>1.0605350123336386</c:v>
                </c:pt>
                <c:pt idx="66">
                  <c:v>1.0438768713069297</c:v>
                </c:pt>
                <c:pt idx="67">
                  <c:v>1.0282999668555644</c:v>
                </c:pt>
                <c:pt idx="68">
                  <c:v>1.0137039676399553</c:v>
                </c:pt>
                <c:pt idx="69">
                  <c:v>1</c:v>
                </c:pt>
                <c:pt idx="70">
                  <c:v>0.9248775837731108</c:v>
                </c:pt>
                <c:pt idx="71">
                  <c:v>0.87171013030791378</c:v>
                </c:pt>
                <c:pt idx="72">
                  <c:v>0.8317679840872253</c:v>
                </c:pt>
                <c:pt idx="73">
                  <c:v>0.80029976910742162</c:v>
                </c:pt>
                <c:pt idx="74">
                  <c:v>0.77452535688315916</c:v>
                </c:pt>
                <c:pt idx="75">
                  <c:v>0.75272386488392695</c:v>
                </c:pt>
                <c:pt idx="76">
                  <c:v>0.73378169196191756</c:v>
                </c:pt>
                <c:pt idx="77">
                  <c:v>0.71695212083513837</c:v>
                </c:pt>
                <c:pt idx="78">
                  <c:v>0.70171979637125559</c:v>
                </c:pt>
                <c:pt idx="79">
                  <c:v>0.68772053775691788</c:v>
                </c:pt>
                <c:pt idx="80">
                  <c:v>0.67469191662288786</c:v>
                </c:pt>
                <c:pt idx="81">
                  <c:v>0.6624417207487634</c:v>
                </c:pt>
                <c:pt idx="82">
                  <c:v>0.65082722151455907</c:v>
                </c:pt>
              </c:numCache>
            </c:numRef>
          </c:yVal>
          <c:smooth val="1"/>
          <c:extLst>
            <c:ext xmlns:c16="http://schemas.microsoft.com/office/drawing/2014/chart" uri="{C3380CC4-5D6E-409C-BE32-E72D297353CC}">
              <c16:uniqueId val="{00000005-6026-4FD7-992E-1122FCCA6EFA}"/>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RTC!$C$101:$CG$101</c:f>
              <c:numCache>
                <c:formatCode>General</c:formatCode>
                <c:ptCount val="83"/>
                <c:pt idx="0">
                  <c:v>2.1818182479920704E-8</c:v>
                </c:pt>
                <c:pt idx="1">
                  <c:v>1.2885285829841006E-3</c:v>
                </c:pt>
                <c:pt idx="2">
                  <c:v>3.2950119481721194E-3</c:v>
                </c:pt>
                <c:pt idx="3">
                  <c:v>6.2440144033623097E-3</c:v>
                </c:pt>
                <c:pt idx="4">
                  <c:v>1.0158553191859945E-2</c:v>
                </c:pt>
                <c:pt idx="5">
                  <c:v>1.5069602622699301E-2</c:v>
                </c:pt>
                <c:pt idx="6">
                  <c:v>2.1016704876682134E-2</c:v>
                </c:pt>
                <c:pt idx="7">
                  <c:v>2.8048768388947723E-2</c:v>
                </c:pt>
                <c:pt idx="8">
                  <c:v>3.6225083729408081E-2</c:v>
                </c:pt>
                <c:pt idx="9">
                  <c:v>4.5616596356075428E-2</c:v>
                </c:pt>
                <c:pt idx="10">
                  <c:v>5.6307487501055131E-2</c:v>
                </c:pt>
                <c:pt idx="11">
                  <c:v>6.83971296301875E-2</c:v>
                </c:pt>
                <c:pt idx="12">
                  <c:v>8.2002502564154742E-2</c:v>
                </c:pt>
                <c:pt idx="13">
                  <c:v>9.7261182059277002E-2</c:v>
                </c:pt>
                <c:pt idx="14">
                  <c:v>0.11433504662530793</c:v>
                </c:pt>
                <c:pt idx="15">
                  <c:v>0.13341489367348136</c:v>
                </c:pt>
                <c:pt idx="16">
                  <c:v>0.15472621704054584</c:v>
                </c:pt>
                <c:pt idx="17">
                  <c:v>0.17853648058534624</c:v>
                </c:pt>
                <c:pt idx="18">
                  <c:v>0.20516433548851423</c:v>
                </c:pt>
                <c:pt idx="19">
                  <c:v>0.23499138428974772</c:v>
                </c:pt>
                <c:pt idx="20">
                  <c:v>0.26847730985236462</c:v>
                </c:pt>
                <c:pt idx="21">
                  <c:v>0.306179486691594</c:v>
                </c:pt>
                <c:pt idx="22">
                  <c:v>0.34877860915110864</c:v>
                </c:pt>
                <c:pt idx="23">
                  <c:v>0.39711245078414559</c:v>
                </c:pt>
                <c:pt idx="24">
                  <c:v>0.45222066752110879</c:v>
                </c:pt>
                <c:pt idx="25">
                  <c:v>0.51540462938092035</c:v>
                </c:pt>
                <c:pt idx="26">
                  <c:v>0.58830762840615802</c:v>
                </c:pt>
                <c:pt idx="27">
                  <c:v>0.67302232488870162</c:v>
                </c:pt>
                <c:pt idx="28">
                  <c:v>0.77223333712321429</c:v>
                </c:pt>
                <c:pt idx="29">
                  <c:v>0.88940146434470002</c:v>
                </c:pt>
                <c:pt idx="30">
                  <c:v>1.0289864824494519</c:v>
                </c:pt>
                <c:pt idx="31">
                  <c:v>1.1966724314094623</c:v>
                </c:pt>
                <c:pt idx="32">
                  <c:v>1.3994632574174966</c:v>
                </c:pt>
                <c:pt idx="33">
                  <c:v>1.6452628496952004</c:v>
                </c:pt>
                <c:pt idx="34">
                  <c:v>1.9409529095430127</c:v>
                </c:pt>
                <c:pt idx="35">
                  <c:v>2.2868567113323426</c:v>
                </c:pt>
                <c:pt idx="36">
                  <c:v>2.6646897391488631</c:v>
                </c:pt>
                <c:pt idx="37">
                  <c:v>3.0210297534050929</c:v>
                </c:pt>
                <c:pt idx="38">
                  <c:v>3.2681466330811508</c:v>
                </c:pt>
                <c:pt idx="39">
                  <c:v>3.3110252196145509</c:v>
                </c:pt>
                <c:pt idx="40">
                  <c:v>3.3156909367168921</c:v>
                </c:pt>
                <c:pt idx="41">
                  <c:v>3.1654851290358881</c:v>
                </c:pt>
                <c:pt idx="42">
                  <c:v>2.9379147301897293</c:v>
                </c:pt>
                <c:pt idx="43">
                  <c:v>2.6956469422014</c:v>
                </c:pt>
                <c:pt idx="44">
                  <c:v>2.4705166769883409</c:v>
                </c:pt>
                <c:pt idx="45">
                  <c:v>2.2731978578150067</c:v>
                </c:pt>
                <c:pt idx="46">
                  <c:v>2.1043137440172504</c:v>
                </c:pt>
                <c:pt idx="47">
                  <c:v>1.9607997258777863</c:v>
                </c:pt>
                <c:pt idx="48">
                  <c:v>1.8387414801727384</c:v>
                </c:pt>
                <c:pt idx="49">
                  <c:v>1.7344475901781757</c:v>
                </c:pt>
                <c:pt idx="50">
                  <c:v>1.6447671953798582</c:v>
                </c:pt>
                <c:pt idx="51">
                  <c:v>1.5671176092543675</c:v>
                </c:pt>
                <c:pt idx="52">
                  <c:v>1.4994159312519777</c:v>
                </c:pt>
                <c:pt idx="53">
                  <c:v>1.4399901776491046</c:v>
                </c:pt>
                <c:pt idx="54">
                  <c:v>1.3874966034904137</c:v>
                </c:pt>
                <c:pt idx="55">
                  <c:v>1.3408506390314692</c:v>
                </c:pt>
                <c:pt idx="56">
                  <c:v>1.2991717638123261</c:v>
                </c:pt>
                <c:pt idx="57">
                  <c:v>1.2617403838170929</c:v>
                </c:pt>
                <c:pt idx="58">
                  <c:v>1.2279643637936826</c:v>
                </c:pt>
                <c:pt idx="59">
                  <c:v>1.1973530893088902</c:v>
                </c:pt>
                <c:pt idx="60">
                  <c:v>1.1694973196907215</c:v>
                </c:pt>
                <c:pt idx="61">
                  <c:v>1.1440534718277999</c:v>
                </c:pt>
                <c:pt idx="62">
                  <c:v>1.1207312935183062</c:v>
                </c:pt>
                <c:pt idx="63">
                  <c:v>1.0992841366401696</c:v>
                </c:pt>
                <c:pt idx="64">
                  <c:v>1.0795012330280616</c:v>
                </c:pt>
                <c:pt idx="65">
                  <c:v>1.0612015212514392</c:v>
                </c:pt>
                <c:pt idx="66">
                  <c:v>1.0442286814174895</c:v>
                </c:pt>
                <c:pt idx="67">
                  <c:v>1.028447116660097</c:v>
                </c:pt>
                <c:pt idx="68">
                  <c:v>1.0137386810967635</c:v>
                </c:pt>
                <c:pt idx="69">
                  <c:v>1</c:v>
                </c:pt>
                <c:pt idx="70">
                  <c:v>0.9259862501827153</c:v>
                </c:pt>
                <c:pt idx="71">
                  <c:v>0.87515050886117685</c:v>
                </c:pt>
                <c:pt idx="72">
                  <c:v>0.83806761170528898</c:v>
                </c:pt>
                <c:pt idx="73">
                  <c:v>0.80972746125639039</c:v>
                </c:pt>
                <c:pt idx="74">
                  <c:v>0.78723671009002483</c:v>
                </c:pt>
                <c:pt idx="75">
                  <c:v>0.76881622259455229</c:v>
                </c:pt>
                <c:pt idx="76">
                  <c:v>0.75331704608022088</c:v>
                </c:pt>
                <c:pt idx="77">
                  <c:v>0.73996753261833481</c:v>
                </c:pt>
                <c:pt idx="78">
                  <c:v>0.72823262046716475</c:v>
                </c:pt>
                <c:pt idx="79">
                  <c:v>0.71773138144407611</c:v>
                </c:pt>
                <c:pt idx="80">
                  <c:v>0.70818658508753285</c:v>
                </c:pt>
                <c:pt idx="81">
                  <c:v>0.69939270288926503</c:v>
                </c:pt>
                <c:pt idx="82">
                  <c:v>0.69119496620994014</c:v>
                </c:pt>
              </c:numCache>
            </c:numRef>
          </c:yVal>
          <c:smooth val="1"/>
          <c:extLst>
            <c:ext xmlns:c16="http://schemas.microsoft.com/office/drawing/2014/chart" uri="{C3380CC4-5D6E-409C-BE32-E72D297353CC}">
              <c16:uniqueId val="{00000006-6026-4FD7-992E-1122FCCA6EFA}"/>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RTC!$C$102:$CG$102</c:f>
              <c:numCache>
                <c:formatCode>General</c:formatCode>
                <c:ptCount val="83"/>
                <c:pt idx="0">
                  <c:v>2.1818182504277716E-8</c:v>
                </c:pt>
                <c:pt idx="1">
                  <c:v>1.2886135955008332E-3</c:v>
                </c:pt>
                <c:pt idx="2">
                  <c:v>3.2955684781936466E-3</c:v>
                </c:pt>
                <c:pt idx="3">
                  <c:v>6.2460161462191653E-3</c:v>
                </c:pt>
                <c:pt idx="4">
                  <c:v>1.0163863042965088E-2</c:v>
                </c:pt>
                <c:pt idx="5">
                  <c:v>1.5081319204381372E-2</c:v>
                </c:pt>
                <c:pt idx="6">
                  <c:v>2.1039569098202388E-2</c:v>
                </c:pt>
                <c:pt idx="7">
                  <c:v>2.8089651953662267E-2</c:v>
                </c:pt>
                <c:pt idx="8">
                  <c:v>3.6293587388214997E-2</c:v>
                </c:pt>
                <c:pt idx="9">
                  <c:v>4.5725793918706494E-2</c:v>
                </c:pt>
                <c:pt idx="10">
                  <c:v>5.6474863038622196E-2</c:v>
                </c:pt>
                <c:pt idx="11">
                  <c:v>6.8645771225195648E-2</c:v>
                </c:pt>
                <c:pt idx="12">
                  <c:v>8.2362638290634962E-2</c:v>
                </c:pt>
                <c:pt idx="13">
                  <c:v>9.777217543465197E-2</c:v>
                </c:pt>
                <c:pt idx="14">
                  <c:v>0.11504801381981522</c:v>
                </c:pt>
                <c:pt idx="15">
                  <c:v>0.1343961697659459</c:v>
                </c:pt>
                <c:pt idx="16">
                  <c:v>0.15606199356055589</c:v>
                </c:pt>
                <c:pt idx="17">
                  <c:v>0.18033907712619268</c:v>
                </c:pt>
                <c:pt idx="18">
                  <c:v>0.20758077920643064</c:v>
                </c:pt>
                <c:pt idx="19">
                  <c:v>0.23821529291505833</c:v>
                </c:pt>
                <c:pt idx="20">
                  <c:v>0.27276557284516439</c:v>
                </c:pt>
                <c:pt idx="21">
                  <c:v>0.3118760270307826</c:v>
                </c:pt>
                <c:pt idx="22">
                  <c:v>0.35634877663150372</c:v>
                </c:pt>
                <c:pt idx="23">
                  <c:v>0.40719368317894933</c:v>
                </c:pt>
                <c:pt idx="24">
                  <c:v>0.46569856393000625</c:v>
                </c:pt>
                <c:pt idx="25">
                  <c:v>0.53352962776885804</c:v>
                </c:pt>
                <c:pt idx="26">
                  <c:v>0.61287818547722495</c:v>
                </c:pt>
                <c:pt idx="27">
                  <c:v>0.70667999489874966</c:v>
                </c:pt>
                <c:pt idx="28">
                  <c:v>0.81895174017762684</c:v>
                </c:pt>
                <c:pt idx="29">
                  <c:v>0.95532197886781722</c:v>
                </c:pt>
                <c:pt idx="30">
                  <c:v>1.1238949075668698</c:v>
                </c:pt>
                <c:pt idx="31">
                  <c:v>1.336700784700356</c:v>
                </c:pt>
                <c:pt idx="32">
                  <c:v>1.6122041821848843</c:v>
                </c:pt>
                <c:pt idx="33">
                  <c:v>1.9797167331940804</c:v>
                </c:pt>
                <c:pt idx="34">
                  <c:v>2.4869471935964955</c:v>
                </c:pt>
                <c:pt idx="35">
                  <c:v>3.2103200546599164</c:v>
                </c:pt>
                <c:pt idx="36">
                  <c:v>4.2496371420859802</c:v>
                </c:pt>
                <c:pt idx="37">
                  <c:v>5.5838781280519623</c:v>
                </c:pt>
                <c:pt idx="38">
                  <c:v>6.536264906280671</c:v>
                </c:pt>
                <c:pt idx="39">
                  <c:v>6.5618770904865382</c:v>
                </c:pt>
                <c:pt idx="40">
                  <c:v>5.8283032893166329</c:v>
                </c:pt>
                <c:pt idx="41">
                  <c:v>4.7563696098705019</c:v>
                </c:pt>
                <c:pt idx="42">
                  <c:v>3.9015255964034536</c:v>
                </c:pt>
                <c:pt idx="43">
                  <c:v>3.2890887050132047</c:v>
                </c:pt>
                <c:pt idx="44">
                  <c:v>2.8486465633840918</c:v>
                </c:pt>
                <c:pt idx="45">
                  <c:v>2.5229481085899597</c:v>
                </c:pt>
                <c:pt idx="46">
                  <c:v>2.274741534759305</c:v>
                </c:pt>
                <c:pt idx="47">
                  <c:v>2.0803949878791861</c:v>
                </c:pt>
                <c:pt idx="48">
                  <c:v>1.9246409174621322</c:v>
                </c:pt>
                <c:pt idx="49">
                  <c:v>1.7973280730835068</c:v>
                </c:pt>
                <c:pt idx="50">
                  <c:v>1.6915035214697591</c:v>
                </c:pt>
                <c:pt idx="51">
                  <c:v>1.6022709678425973</c:v>
                </c:pt>
                <c:pt idx="52">
                  <c:v>1.5260949961030321</c:v>
                </c:pt>
                <c:pt idx="53">
                  <c:v>1.4603652308008392</c:v>
                </c:pt>
                <c:pt idx="54">
                  <c:v>1.4031157251568276</c:v>
                </c:pt>
                <c:pt idx="55">
                  <c:v>1.3528395535321116</c:v>
                </c:pt>
                <c:pt idx="56">
                  <c:v>1.3083633497339899</c:v>
                </c:pt>
                <c:pt idx="57">
                  <c:v>1.2687605397323707</c:v>
                </c:pt>
                <c:pt idx="58">
                  <c:v>1.2332901336794484</c:v>
                </c:pt>
                <c:pt idx="59">
                  <c:v>1.2013527629548135</c:v>
                </c:pt>
                <c:pt idx="60">
                  <c:v>1.1724585811910933</c:v>
                </c:pt>
                <c:pt idx="61">
                  <c:v>1.1462034742108889</c:v>
                </c:pt>
                <c:pt idx="62">
                  <c:v>1.1222511850942101</c:v>
                </c:pt>
                <c:pt idx="63">
                  <c:v>1.1003197140231982</c:v>
                </c:pt>
                <c:pt idx="64">
                  <c:v>1.0801708504954202</c:v>
                </c:pt>
                <c:pt idx="65">
                  <c:v>1.0616020302914293</c:v>
                </c:pt>
                <c:pt idx="66">
                  <c:v>1.0444399382984499</c:v>
                </c:pt>
                <c:pt idx="67">
                  <c:v>1.0285354368708968</c:v>
                </c:pt>
                <c:pt idx="68">
                  <c:v>1.0137595108827029</c:v>
                </c:pt>
                <c:pt idx="69">
                  <c:v>1</c:v>
                </c:pt>
                <c:pt idx="70">
                  <c:v>0.92665336681927202</c:v>
                </c:pt>
                <c:pt idx="71">
                  <c:v>0.87723439196059105</c:v>
                </c:pt>
                <c:pt idx="72">
                  <c:v>0.8419167945280317</c:v>
                </c:pt>
                <c:pt idx="73">
                  <c:v>0.81554655568301382</c:v>
                </c:pt>
                <c:pt idx="74">
                  <c:v>0.79517065201017434</c:v>
                </c:pt>
                <c:pt idx="75">
                  <c:v>0.77898159085307739</c:v>
                </c:pt>
                <c:pt idx="76">
                  <c:v>0.7658147608597462</c:v>
                </c:pt>
                <c:pt idx="77">
                  <c:v>0.75488830753491964</c:v>
                </c:pt>
                <c:pt idx="78">
                  <c:v>0.74565938166910939</c:v>
                </c:pt>
                <c:pt idx="79">
                  <c:v>0.73774035279165173</c:v>
                </c:pt>
                <c:pt idx="80">
                  <c:v>0.73084777111781829</c:v>
                </c:pt>
                <c:pt idx="81">
                  <c:v>0.72477010086468752</c:v>
                </c:pt>
                <c:pt idx="82">
                  <c:v>0.71934666275294945</c:v>
                </c:pt>
              </c:numCache>
            </c:numRef>
          </c:yVal>
          <c:smooth val="1"/>
          <c:extLst>
            <c:ext xmlns:c16="http://schemas.microsoft.com/office/drawing/2014/chart" uri="{C3380CC4-5D6E-409C-BE32-E72D297353CC}">
              <c16:uniqueId val="{00000007-6026-4FD7-992E-1122FCCA6EFA}"/>
            </c:ext>
          </c:extLst>
        </c:ser>
        <c:dLbls>
          <c:showLegendKey val="0"/>
          <c:showVal val="0"/>
          <c:showCatName val="0"/>
          <c:showSerName val="0"/>
          <c:showPercent val="0"/>
          <c:showBubbleSize val="0"/>
        </c:dLbls>
        <c:axId val="44545756"/>
        <c:axId val="43094308"/>
      </c:scatterChart>
      <c:valAx>
        <c:axId val="44545756"/>
        <c:scaling>
          <c:orientation val="minMax"/>
          <c:max val="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3094308"/>
        <c:crosses val="autoZero"/>
        <c:crossBetween val="midCat"/>
      </c:valAx>
      <c:valAx>
        <c:axId val="43094308"/>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4545756"/>
        <c:crossesAt val="0"/>
        <c:crossBetween val="midCat"/>
      </c:valAx>
      <c:spPr>
        <a:noFill/>
        <a:ln w="0">
          <a:noFill/>
        </a:ln>
      </c:spPr>
    </c:plotArea>
    <c:legend>
      <c:legendPos val="r"/>
      <c:layout>
        <c:manualLayout>
          <c:xMode val="edge"/>
          <c:yMode val="edge"/>
          <c:x val="3.4796766553294403E-2"/>
          <c:y val="0.60224132357264604"/>
          <c:w val="0.269256303215065"/>
          <c:h val="0.386523946506993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Minimum Gain required for PFC regulation</a:t>
            </a:r>
          </a:p>
        </c:rich>
      </c:tx>
      <c:layout>
        <c:manualLayout>
          <c:xMode val="edge"/>
          <c:yMode val="edge"/>
          <c:x val="0.236088652144963"/>
          <c:y val="3.04442036836403E-2"/>
        </c:manualLayout>
      </c:layout>
      <c:overlay val="0"/>
      <c:spPr>
        <a:noFill/>
        <a:ln w="0">
          <a:noFill/>
        </a:ln>
      </c:spPr>
    </c:title>
    <c:autoTitleDeleted val="0"/>
    <c:plotArea>
      <c:layout>
        <c:manualLayout>
          <c:layoutTarget val="inner"/>
          <c:xMode val="edge"/>
          <c:yMode val="edge"/>
          <c:x val="0.12536859126795399"/>
          <c:y val="0.12150595882990201"/>
          <c:w val="0.77817939693712601"/>
          <c:h val="0.73309859154929602"/>
        </c:manualLayout>
      </c:layout>
      <c:scatterChart>
        <c:scatterStyle val="lineMarker"/>
        <c:varyColors val="0"/>
        <c:ser>
          <c:idx val="0"/>
          <c:order val="0"/>
          <c:tx>
            <c:strRef>
              <c:f>RTC!$B$16</c:f>
              <c:strCache>
                <c:ptCount val="1"/>
                <c:pt idx="0">
                  <c:v>Mreq(Vin_min, Vout,θ )</c:v>
                </c:pt>
              </c:strCache>
            </c:strRef>
          </c:tx>
          <c:spPr>
            <a:ln w="19080" cap="rnd">
              <a:solidFill>
                <a:srgbClr val="0070C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15.234970761884593</c:v>
                </c:pt>
                <c:pt idx="1">
                  <c:v>7.65573215345667</c:v>
                </c:pt>
                <c:pt idx="2">
                  <c:v>5.1467180564625803</c:v>
                </c:pt>
                <c:pt idx="3">
                  <c:v>3.9057204513185635</c:v>
                </c:pt>
                <c:pt idx="4">
                  <c:v>3.1724617509980426</c:v>
                </c:pt>
                <c:pt idx="5">
                  <c:v>2.6936676841335938</c:v>
                </c:pt>
                <c:pt idx="6">
                  <c:v>2.3609398093292269</c:v>
                </c:pt>
                <c:pt idx="7">
                  <c:v>2.1202289950117734</c:v>
                </c:pt>
                <c:pt idx="8">
                  <c:v>1.9416659442949207</c:v>
                </c:pt>
                <c:pt idx="9">
                  <c:v>1.8075004499658378</c:v>
                </c:pt>
                <c:pt idx="10">
                  <c:v>1.7066277185689109</c:v>
                </c:pt>
                <c:pt idx="11">
                  <c:v>1.6318620179915413</c:v>
                </c:pt>
                <c:pt idx="12">
                  <c:v>1.5784819294695089</c:v>
                </c:pt>
                <c:pt idx="13">
                  <c:v>1.5434163076905814</c:v>
                </c:pt>
                <c:pt idx="14">
                  <c:v>1.5247787749305239</c:v>
                </c:pt>
                <c:pt idx="15">
                  <c:v>1.5216079926935755</c:v>
                </c:pt>
                <c:pt idx="16">
                  <c:v>1.5337432241641196</c:v>
                </c:pt>
                <c:pt idx="17">
                  <c:v>1.5618040599450869</c:v>
                </c:pt>
                <c:pt idx="18">
                  <c:v>1.607269410056188</c:v>
                </c:pt>
                <c:pt idx="19">
                  <c:v>1.6726751212560589</c:v>
                </c:pt>
                <c:pt idx="20">
                  <c:v>1.761981788471658</c:v>
                </c:pt>
                <c:pt idx="21">
                  <c:v>1.8812194791318579</c:v>
                </c:pt>
                <c:pt idx="22">
                  <c:v>2.0396252551779486</c:v>
                </c:pt>
                <c:pt idx="23">
                  <c:v>2.2517277439644121</c:v>
                </c:pt>
                <c:pt idx="24">
                  <c:v>2.5414034699153416</c:v>
                </c:pt>
                <c:pt idx="25">
                  <c:v>2.9504464329538775</c:v>
                </c:pt>
                <c:pt idx="26">
                  <c:v>3.5587992182535975</c:v>
                </c:pt>
                <c:pt idx="27">
                  <c:v>4.5403372715291797</c:v>
                </c:pt>
                <c:pt idx="28">
                  <c:v>6.3572139937459866</c:v>
                </c:pt>
                <c:pt idx="29">
                  <c:v>10.777771377593986</c:v>
                </c:pt>
                <c:pt idx="30">
                  <c:v>29.493232777766128</c:v>
                </c:pt>
                <c:pt idx="31">
                  <c:v>36.578522194387951</c:v>
                </c:pt>
              </c:numCache>
            </c:numRef>
          </c:yVal>
          <c:smooth val="1"/>
          <c:extLst>
            <c:ext xmlns:c16="http://schemas.microsoft.com/office/drawing/2014/chart" uri="{C3380CC4-5D6E-409C-BE32-E72D297353CC}">
              <c16:uniqueId val="{00000000-89FF-4663-B5B4-AFEFCF06BFF7}"/>
            </c:ext>
          </c:extLst>
        </c:ser>
        <c:ser>
          <c:idx val="1"/>
          <c:order val="1"/>
          <c:tx>
            <c:strRef>
              <c:f>RTC!$B$17</c:f>
              <c:strCache>
                <c:ptCount val="1"/>
                <c:pt idx="0">
                  <c:v>Mreq(Vin_max, Vout,θ )</c:v>
                </c:pt>
              </c:strCache>
            </c:strRef>
          </c:tx>
          <c:spPr>
            <a:ln w="19080" cap="rnd">
              <a:solidFill>
                <a:srgbClr val="00206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7.9416336950249473</c:v>
                </c:pt>
                <c:pt idx="1">
                  <c:v>3.9907539948869872</c:v>
                </c:pt>
                <c:pt idx="2">
                  <c:v>2.6828636677304942</c:v>
                </c:pt>
                <c:pt idx="3">
                  <c:v>2.0359606607937195</c:v>
                </c:pt>
                <c:pt idx="4">
                  <c:v>1.6537300616904691</c:v>
                </c:pt>
                <c:pt idx="5">
                  <c:v>1.4041459204526183</c:v>
                </c:pt>
                <c:pt idx="6">
                  <c:v>1.2307026665652352</c:v>
                </c:pt>
                <c:pt idx="7">
                  <c:v>1.1052257527189031</c:v>
                </c:pt>
                <c:pt idx="8">
                  <c:v>1.0121450135154373</c:v>
                </c:pt>
                <c:pt idx="9">
                  <c:v>0.94220768136517064</c:v>
                </c:pt>
                <c:pt idx="10">
                  <c:v>0.88962508733911316</c:v>
                </c:pt>
                <c:pt idx="11">
                  <c:v>0.85065147746367575</c:v>
                </c:pt>
                <c:pt idx="12">
                  <c:v>0.82282568663836098</c:v>
                </c:pt>
                <c:pt idx="13">
                  <c:v>0.80454679868977108</c:v>
                </c:pt>
                <c:pt idx="14">
                  <c:v>0.79483148905952838</c:v>
                </c:pt>
                <c:pt idx="15">
                  <c:v>0.79317863448920423</c:v>
                </c:pt>
                <c:pt idx="16">
                  <c:v>0.79950444663874309</c:v>
                </c:pt>
                <c:pt idx="17">
                  <c:v>0.81413190358839638</c:v>
                </c:pt>
                <c:pt idx="18">
                  <c:v>0.83783192651865113</c:v>
                </c:pt>
                <c:pt idx="19">
                  <c:v>0.87192639299517971</c:v>
                </c:pt>
                <c:pt idx="20">
                  <c:v>0.91847986845863006</c:v>
                </c:pt>
                <c:pt idx="21">
                  <c:v>0.98063568593043648</c:v>
                </c:pt>
                <c:pt idx="22">
                  <c:v>1.0632089096140371</c:v>
                </c:pt>
                <c:pt idx="23">
                  <c:v>1.173772972917619</c:v>
                </c:pt>
                <c:pt idx="24">
                  <c:v>1.3247741492111886</c:v>
                </c:pt>
                <c:pt idx="25">
                  <c:v>1.5379986724972341</c:v>
                </c:pt>
                <c:pt idx="26">
                  <c:v>1.8551187414300667</c:v>
                </c:pt>
                <c:pt idx="27">
                  <c:v>2.3667715564354239</c:v>
                </c:pt>
                <c:pt idx="28">
                  <c:v>3.3138668690803548</c:v>
                </c:pt>
                <c:pt idx="29">
                  <c:v>5.6181999734266528</c:v>
                </c:pt>
                <c:pt idx="30">
                  <c:v>15.374131979899364</c:v>
                </c:pt>
                <c:pt idx="31">
                  <c:v>19.067527526861802</c:v>
                </c:pt>
              </c:numCache>
            </c:numRef>
          </c:yVal>
          <c:smooth val="1"/>
          <c:extLst>
            <c:ext xmlns:c16="http://schemas.microsoft.com/office/drawing/2014/chart" uri="{C3380CC4-5D6E-409C-BE32-E72D297353CC}">
              <c16:uniqueId val="{00000001-89FF-4663-B5B4-AFEFCF06BFF7}"/>
            </c:ext>
          </c:extLst>
        </c:ser>
        <c:dLbls>
          <c:showLegendKey val="0"/>
          <c:showVal val="0"/>
          <c:showCatName val="0"/>
          <c:showSerName val="0"/>
          <c:showPercent val="0"/>
          <c:showBubbleSize val="0"/>
        </c:dLbls>
        <c:axId val="45439922"/>
        <c:axId val="95353223"/>
      </c:scatterChart>
      <c:scatterChart>
        <c:scatterStyle val="lineMarker"/>
        <c:varyColors val="0"/>
        <c:ser>
          <c:idx val="2"/>
          <c:order val="2"/>
          <c:tx>
            <c:strRef>
              <c:f>RTC!$B$19</c:f>
              <c:strCache>
                <c:ptCount val="1"/>
                <c:pt idx="0">
                  <c:v>P(100% Po,θ )</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89FF-4663-B5B4-AFEFCF06BFF7}"/>
            </c:ext>
          </c:extLst>
        </c:ser>
        <c:ser>
          <c:idx val="3"/>
          <c:order val="3"/>
          <c:tx>
            <c:strRef>
              <c:f>RTC!$B$20</c:f>
              <c:strCache>
                <c:ptCount val="1"/>
                <c:pt idx="0">
                  <c:v>P(75% Po,θ )</c:v>
                </c:pt>
              </c:strCache>
            </c:strRef>
          </c:tx>
          <c:spPr>
            <a:ln w="19080" cap="rnd">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3-89FF-4663-B5B4-AFEFCF06BFF7}"/>
            </c:ext>
          </c:extLst>
        </c:ser>
        <c:ser>
          <c:idx val="4"/>
          <c:order val="4"/>
          <c:tx>
            <c:strRef>
              <c:f>RTC!$B$21</c:f>
              <c:strCache>
                <c:ptCount val="1"/>
                <c:pt idx="0">
                  <c:v>P(50% Po,θ )</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4-89FF-4663-B5B4-AFEFCF06BFF7}"/>
            </c:ext>
          </c:extLst>
        </c:ser>
        <c:ser>
          <c:idx val="5"/>
          <c:order val="5"/>
          <c:tx>
            <c:strRef>
              <c:f>RTC!$B$22</c:f>
              <c:strCache>
                <c:ptCount val="1"/>
                <c:pt idx="0">
                  <c:v>P(25% Po,θ )</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5-89FF-4663-B5B4-AFEFCF06BFF7}"/>
            </c:ext>
          </c:extLst>
        </c:ser>
        <c:dLbls>
          <c:showLegendKey val="0"/>
          <c:showVal val="0"/>
          <c:showCatName val="0"/>
          <c:showSerName val="0"/>
          <c:showPercent val="0"/>
          <c:showBubbleSize val="0"/>
        </c:dLbls>
        <c:axId val="5231810"/>
        <c:axId val="67476145"/>
      </c:scatterChart>
      <c:valAx>
        <c:axId val="45439922"/>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5353223"/>
        <c:crosses val="autoZero"/>
        <c:crossBetween val="midCat"/>
      </c:valAx>
      <c:valAx>
        <c:axId val="95353223"/>
        <c:scaling>
          <c:orientation val="minMax"/>
          <c:max val="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5439922"/>
        <c:crosses val="autoZero"/>
        <c:crossBetween val="midCat"/>
      </c:valAx>
      <c:valAx>
        <c:axId val="5231810"/>
        <c:scaling>
          <c:orientation val="minMax"/>
        </c:scaling>
        <c:delete val="1"/>
        <c:axPos val="b"/>
        <c:numFmt formatCode="General" sourceLinked="1"/>
        <c:majorTickMark val="out"/>
        <c:minorTickMark val="none"/>
        <c:tickLblPos val="nextTo"/>
        <c:crossAx val="67476145"/>
        <c:crosses val="autoZero"/>
        <c:crossBetween val="midCat"/>
      </c:valAx>
      <c:valAx>
        <c:axId val="67476145"/>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231810"/>
        <c:crosses val="max"/>
        <c:crossBetween val="midCat"/>
      </c:valAx>
      <c:spPr>
        <a:noFill/>
        <a:ln w="0">
          <a:noFill/>
        </a:ln>
      </c:spPr>
    </c:plotArea>
    <c:legend>
      <c:legendPos val="r"/>
      <c:layout>
        <c:manualLayout>
          <c:xMode val="edge"/>
          <c:yMode val="edge"/>
          <c:x val="0.29019958658162298"/>
          <c:y val="0.13353167681983899"/>
          <c:w val="0.44123584912359598"/>
          <c:h val="0.10603607313161301"/>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@π/4-3π/4</a:t>
            </a:r>
          </a:p>
        </c:rich>
      </c:tx>
      <c:layout>
        <c:manualLayout>
          <c:xMode val="edge"/>
          <c:yMode val="edge"/>
          <c:x val="0.161428704653548"/>
          <c:y val="2.3242982274639602E-2"/>
        </c:manualLayout>
      </c:layout>
      <c:overlay val="0"/>
      <c:spPr>
        <a:noFill/>
        <a:ln w="0">
          <a:noFill/>
        </a:ln>
      </c:spPr>
    </c:title>
    <c:autoTitleDeleted val="0"/>
    <c:plotArea>
      <c:layout>
        <c:manualLayout>
          <c:layoutTarget val="inner"/>
          <c:xMode val="edge"/>
          <c:yMode val="edge"/>
          <c:x val="0.12538468712114101"/>
          <c:y val="0.141802882957445"/>
          <c:w val="0.82626130746992399"/>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RTC!$C$28:$CG$28</c:f>
              <c:numCache>
                <c:formatCode>General</c:formatCode>
                <c:ptCount val="83"/>
                <c:pt idx="0">
                  <c:v>2.1818182512396718E-8</c:v>
                </c:pt>
                <c:pt idx="1">
                  <c:v>1.2886419367458453E-3</c:v>
                </c:pt>
                <c:pt idx="2">
                  <c:v>3.2957540508757933E-3</c:v>
                </c:pt>
                <c:pt idx="3">
                  <c:v>6.2466838217803949E-3</c:v>
                </c:pt>
                <c:pt idx="4">
                  <c:v>1.0165634844491057E-2</c:v>
                </c:pt>
                <c:pt idx="5">
                  <c:v>1.5085230808885637E-2</c:v>
                </c:pt>
                <c:pt idx="6">
                  <c:v>2.104720710419164E-2</c:v>
                </c:pt>
                <c:pt idx="7">
                  <c:v>2.8103319587713758E-2</c:v>
                </c:pt>
                <c:pt idx="8">
                  <c:v>3.6316508449383139E-2</c:v>
                </c:pt>
                <c:pt idx="9">
                  <c:v>4.5762367743434479E-2</c:v>
                </c:pt>
                <c:pt idx="10">
                  <c:v>5.6530987448607108E-2</c:v>
                </c:pt>
                <c:pt idx="11">
                  <c:v>6.8729256295102084E-2</c:v>
                </c:pt>
                <c:pt idx="12">
                  <c:v>8.2483742085161724E-2</c:v>
                </c:pt>
                <c:pt idx="13">
                  <c:v>9.7944304735298124E-2</c:v>
                </c:pt>
                <c:pt idx="14">
                  <c:v>0.11528864999952876</c:v>
                </c:pt>
                <c:pt idx="15">
                  <c:v>0.1347281050187448</c:v>
                </c:pt>
                <c:pt idx="16">
                  <c:v>0.15651499980883612</c:v>
                </c:pt>
                <c:pt idx="17">
                  <c:v>0.18095218575415503</c:v>
                </c:pt>
                <c:pt idx="18">
                  <c:v>0.20840543512238516</c:v>
                </c:pt>
                <c:pt idx="19">
                  <c:v>0.23931977930378859</c:v>
                </c:pt>
                <c:pt idx="20">
                  <c:v>0.27424131386312434</c:v>
                </c:pt>
                <c:pt idx="21">
                  <c:v>0.31384671772931005</c:v>
                </c:pt>
                <c:pt idx="22">
                  <c:v>0.3589838574142431</c:v>
                </c:pt>
                <c:pt idx="23">
                  <c:v>0.41072864448862639</c:v>
                </c:pt>
                <c:pt idx="24">
                  <c:v>0.47046626668653735</c:v>
                </c:pt>
                <c:pt idx="25">
                  <c:v>0.54000990781304037</c:v>
                </c:pt>
                <c:pt idx="26">
                  <c:v>0.62177881033586746</c:v>
                </c:pt>
                <c:pt idx="27">
                  <c:v>0.71907341857608231</c:v>
                </c:pt>
                <c:pt idx="28">
                  <c:v>0.83651551018079373</c:v>
                </c:pt>
                <c:pt idx="29">
                  <c:v>0.98078153994784389</c:v>
                </c:pt>
                <c:pt idx="30">
                  <c:v>1.1618855338834528</c:v>
                </c:pt>
                <c:pt idx="31">
                  <c:v>1.3955605407023011</c:v>
                </c:pt>
                <c:pt idx="32">
                  <c:v>1.70801881699095</c:v>
                </c:pt>
                <c:pt idx="33">
                  <c:v>2.1464163817304032</c:v>
                </c:pt>
                <c:pt idx="34">
                  <c:v>2.8049873938594398</c:v>
                </c:pt>
                <c:pt idx="35">
                  <c:v>3.9033273688464369</c:v>
                </c:pt>
                <c:pt idx="36">
                  <c:v>6.098718634915044</c:v>
                </c:pt>
                <c:pt idx="37">
                  <c:v>12.659566924581251</c:v>
                </c:pt>
                <c:pt idx="38">
                  <c:v>1921.5837087114464</c:v>
                </c:pt>
                <c:pt idx="39">
                  <c:v>42.249999999987104</c:v>
                </c:pt>
                <c:pt idx="40">
                  <c:v>10.581427390464974</c:v>
                </c:pt>
                <c:pt idx="41">
                  <c:v>6.2413366336631526</c:v>
                </c:pt>
                <c:pt idx="42">
                  <c:v>4.5187319884725161</c:v>
                </c:pt>
                <c:pt idx="43">
                  <c:v>3.5949449125080415</c:v>
                </c:pt>
                <c:pt idx="44">
                  <c:v>3.0192994996425648</c:v>
                </c:pt>
                <c:pt idx="45">
                  <c:v>2.6264591439688467</c:v>
                </c:pt>
                <c:pt idx="46">
                  <c:v>2.3414634146341284</c:v>
                </c:pt>
                <c:pt idx="47">
                  <c:v>2.1254008980115326</c:v>
                </c:pt>
                <c:pt idx="48">
                  <c:v>1.9560649474689491</c:v>
                </c:pt>
                <c:pt idx="49">
                  <c:v>1.8198585144012047</c:v>
                </c:pt>
                <c:pt idx="50">
                  <c:v>1.7079905491189553</c:v>
                </c:pt>
                <c:pt idx="51">
                  <c:v>1.6145251396647997</c:v>
                </c:pt>
                <c:pt idx="52">
                  <c:v>1.5353095649293769</c:v>
                </c:pt>
                <c:pt idx="53">
                  <c:v>1.4673515584189416</c:v>
                </c:pt>
                <c:pt idx="54">
                  <c:v>1.4084404999094342</c:v>
                </c:pt>
                <c:pt idx="55">
                  <c:v>1.35690789473684</c:v>
                </c:pt>
                <c:pt idx="56">
                  <c:v>1.3114708393594574</c:v>
                </c:pt>
                <c:pt idx="57">
                  <c:v>1.2711267605633787</c:v>
                </c:pt>
                <c:pt idx="58">
                  <c:v>1.2350808487203404</c:v>
                </c:pt>
                <c:pt idx="59">
                  <c:v>1.2026949211102145</c:v>
                </c:pt>
                <c:pt idx="60">
                  <c:v>1.1734506784011727</c:v>
                </c:pt>
                <c:pt idx="61">
                  <c:v>1.1469228398232809</c:v>
                </c:pt>
                <c:pt idx="62">
                  <c:v>1.1227591914225556</c:v>
                </c:pt>
                <c:pt idx="63">
                  <c:v>1.1006655574043258</c:v>
                </c:pt>
                <c:pt idx="64">
                  <c:v>1.080394333380958</c:v>
                </c:pt>
                <c:pt idx="65">
                  <c:v>1.0617356341095658</c:v>
                </c:pt>
                <c:pt idx="66">
                  <c:v>1.0445103857566764</c:v>
                </c:pt>
                <c:pt idx="67">
                  <c:v>1.0285648819980142</c:v>
                </c:pt>
                <c:pt idx="68">
                  <c:v>1.0137664544300213</c:v>
                </c:pt>
                <c:pt idx="69">
                  <c:v>1</c:v>
                </c:pt>
                <c:pt idx="70">
                  <c:v>0.92687605964801134</c:v>
                </c:pt>
                <c:pt idx="71">
                  <c:v>0.87793233473094412</c:v>
                </c:pt>
                <c:pt idx="72">
                  <c:v>0.8432116897802775</c:v>
                </c:pt>
                <c:pt idx="73">
                  <c:v>0.81751431221486071</c:v>
                </c:pt>
                <c:pt idx="74">
                  <c:v>0.79786908756308172</c:v>
                </c:pt>
                <c:pt idx="75">
                  <c:v>0.78246071684854068</c:v>
                </c:pt>
                <c:pt idx="76">
                  <c:v>0.7701209595806876</c:v>
                </c:pt>
                <c:pt idx="77">
                  <c:v>0.76006613168945525</c:v>
                </c:pt>
                <c:pt idx="78">
                  <c:v>0.75175235378607119</c:v>
                </c:pt>
                <c:pt idx="79">
                  <c:v>0.74479131918510189</c:v>
                </c:pt>
                <c:pt idx="80">
                  <c:v>0.73889904941593587</c:v>
                </c:pt>
                <c:pt idx="81">
                  <c:v>0.73386352963092394</c:v>
                </c:pt>
                <c:pt idx="82">
                  <c:v>0.72952360451323239</c:v>
                </c:pt>
              </c:numCache>
            </c:numRef>
          </c:yVal>
          <c:smooth val="1"/>
          <c:extLst>
            <c:ext xmlns:c16="http://schemas.microsoft.com/office/drawing/2014/chart" uri="{C3380CC4-5D6E-409C-BE32-E72D297353CC}">
              <c16:uniqueId val="{00000000-72FF-4C74-BB48-DC53E7866E8C}"/>
            </c:ext>
          </c:extLst>
        </c:ser>
        <c:ser>
          <c:idx val="1"/>
          <c:order val="1"/>
          <c:tx>
            <c:strRef>
              <c:f>RTC!$B$70</c:f>
              <c:strCache>
                <c:ptCount val="1"/>
                <c:pt idx="0">
                  <c:v>Mreq(Vin_max, Vout,π/4 )</c:v>
                </c:pt>
              </c:strCache>
            </c:strRef>
          </c:tx>
          <c:spPr>
            <a:ln w="19080" cap="rnd">
              <a:solidFill>
                <a:srgbClr val="3A7D22"/>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RTC!$C$70:$CG$70</c:f>
              <c:numCache>
                <c:formatCode>General</c:formatCode>
                <c:ptCount val="83"/>
                <c:pt idx="0">
                  <c:v>1.12124568258489</c:v>
                </c:pt>
                <c:pt idx="1">
                  <c:v>1.12124568258489</c:v>
                </c:pt>
                <c:pt idx="2">
                  <c:v>1.12124568258489</c:v>
                </c:pt>
                <c:pt idx="3">
                  <c:v>1.12124568258489</c:v>
                </c:pt>
                <c:pt idx="4">
                  <c:v>1.12124568258489</c:v>
                </c:pt>
                <c:pt idx="5">
                  <c:v>1.12124568258489</c:v>
                </c:pt>
                <c:pt idx="6">
                  <c:v>1.12124568258489</c:v>
                </c:pt>
                <c:pt idx="7">
                  <c:v>1.12124568258489</c:v>
                </c:pt>
                <c:pt idx="8">
                  <c:v>1.12124568258489</c:v>
                </c:pt>
                <c:pt idx="9">
                  <c:v>1.12124568258489</c:v>
                </c:pt>
                <c:pt idx="10">
                  <c:v>1.12124568258489</c:v>
                </c:pt>
                <c:pt idx="11">
                  <c:v>1.12124568258489</c:v>
                </c:pt>
                <c:pt idx="12">
                  <c:v>1.12124568258489</c:v>
                </c:pt>
                <c:pt idx="13">
                  <c:v>1.12124568258489</c:v>
                </c:pt>
                <c:pt idx="14">
                  <c:v>1.12124568258489</c:v>
                </c:pt>
                <c:pt idx="15">
                  <c:v>1.12124568258489</c:v>
                </c:pt>
                <c:pt idx="16">
                  <c:v>1.12124568258489</c:v>
                </c:pt>
                <c:pt idx="17">
                  <c:v>1.12124568258489</c:v>
                </c:pt>
                <c:pt idx="18">
                  <c:v>1.12124568258489</c:v>
                </c:pt>
                <c:pt idx="19">
                  <c:v>1.12124568258489</c:v>
                </c:pt>
                <c:pt idx="20">
                  <c:v>1.12124568258489</c:v>
                </c:pt>
                <c:pt idx="21">
                  <c:v>1.12124568258489</c:v>
                </c:pt>
                <c:pt idx="22">
                  <c:v>1.12124568258489</c:v>
                </c:pt>
                <c:pt idx="23">
                  <c:v>1.12124568258489</c:v>
                </c:pt>
                <c:pt idx="24">
                  <c:v>1.12124568258489</c:v>
                </c:pt>
                <c:pt idx="25">
                  <c:v>1.12124568258489</c:v>
                </c:pt>
                <c:pt idx="26">
                  <c:v>1.12124568258489</c:v>
                </c:pt>
                <c:pt idx="27">
                  <c:v>1.12124568258489</c:v>
                </c:pt>
                <c:pt idx="28">
                  <c:v>1.12124568258489</c:v>
                </c:pt>
                <c:pt idx="29">
                  <c:v>1.12124568258489</c:v>
                </c:pt>
                <c:pt idx="30">
                  <c:v>1.12124568258489</c:v>
                </c:pt>
                <c:pt idx="31">
                  <c:v>1.12124568258489</c:v>
                </c:pt>
                <c:pt idx="32">
                  <c:v>1.12124568258489</c:v>
                </c:pt>
                <c:pt idx="33">
                  <c:v>1.12124568258489</c:v>
                </c:pt>
                <c:pt idx="34">
                  <c:v>1.12124568258489</c:v>
                </c:pt>
                <c:pt idx="35">
                  <c:v>1.12124568258489</c:v>
                </c:pt>
                <c:pt idx="36">
                  <c:v>1.12124568258489</c:v>
                </c:pt>
                <c:pt idx="37">
                  <c:v>1.12124568258489</c:v>
                </c:pt>
                <c:pt idx="38">
                  <c:v>1.12124568258489</c:v>
                </c:pt>
                <c:pt idx="39">
                  <c:v>1.12124568258489</c:v>
                </c:pt>
                <c:pt idx="40">
                  <c:v>1.12124568258489</c:v>
                </c:pt>
                <c:pt idx="41">
                  <c:v>1.12124568258489</c:v>
                </c:pt>
                <c:pt idx="42">
                  <c:v>1.12124568258489</c:v>
                </c:pt>
                <c:pt idx="43">
                  <c:v>1.12124568258489</c:v>
                </c:pt>
                <c:pt idx="44">
                  <c:v>1.12124568258489</c:v>
                </c:pt>
                <c:pt idx="45">
                  <c:v>1.12124568258489</c:v>
                </c:pt>
                <c:pt idx="46">
                  <c:v>1.12124568258489</c:v>
                </c:pt>
                <c:pt idx="47">
                  <c:v>1.12124568258489</c:v>
                </c:pt>
                <c:pt idx="48">
                  <c:v>1.12124568258489</c:v>
                </c:pt>
                <c:pt idx="49">
                  <c:v>1.12124568258489</c:v>
                </c:pt>
                <c:pt idx="50">
                  <c:v>1.12124568258489</c:v>
                </c:pt>
                <c:pt idx="51">
                  <c:v>1.12124568258489</c:v>
                </c:pt>
                <c:pt idx="52">
                  <c:v>1.12124568258489</c:v>
                </c:pt>
                <c:pt idx="53">
                  <c:v>1.12124568258489</c:v>
                </c:pt>
                <c:pt idx="54">
                  <c:v>1.12124568258489</c:v>
                </c:pt>
                <c:pt idx="55">
                  <c:v>1.12124568258489</c:v>
                </c:pt>
                <c:pt idx="56">
                  <c:v>1.12124568258489</c:v>
                </c:pt>
                <c:pt idx="57">
                  <c:v>1.12124568258489</c:v>
                </c:pt>
                <c:pt idx="58">
                  <c:v>1.12124568258489</c:v>
                </c:pt>
                <c:pt idx="59">
                  <c:v>1.12124568258489</c:v>
                </c:pt>
                <c:pt idx="60">
                  <c:v>1.12124568258489</c:v>
                </c:pt>
                <c:pt idx="61">
                  <c:v>1.12124568258489</c:v>
                </c:pt>
                <c:pt idx="62">
                  <c:v>1.12124568258489</c:v>
                </c:pt>
                <c:pt idx="63">
                  <c:v>1.12124568258489</c:v>
                </c:pt>
                <c:pt idx="64">
                  <c:v>1.12124568258489</c:v>
                </c:pt>
                <c:pt idx="65">
                  <c:v>1.12124568258489</c:v>
                </c:pt>
                <c:pt idx="66">
                  <c:v>1.12124568258489</c:v>
                </c:pt>
                <c:pt idx="67">
                  <c:v>1.12124568258489</c:v>
                </c:pt>
                <c:pt idx="68">
                  <c:v>1.12124568258489</c:v>
                </c:pt>
                <c:pt idx="69">
                  <c:v>1.12124568258489</c:v>
                </c:pt>
                <c:pt idx="70">
                  <c:v>1.12124568258489</c:v>
                </c:pt>
                <c:pt idx="71">
                  <c:v>1.12124568258489</c:v>
                </c:pt>
                <c:pt idx="72">
                  <c:v>1.12124568258489</c:v>
                </c:pt>
                <c:pt idx="73">
                  <c:v>1.12124568258489</c:v>
                </c:pt>
                <c:pt idx="74">
                  <c:v>1.12124568258489</c:v>
                </c:pt>
                <c:pt idx="75">
                  <c:v>1.12124568258489</c:v>
                </c:pt>
                <c:pt idx="76">
                  <c:v>1.12124568258489</c:v>
                </c:pt>
                <c:pt idx="77">
                  <c:v>1.12124568258489</c:v>
                </c:pt>
                <c:pt idx="78">
                  <c:v>1.12124568258489</c:v>
                </c:pt>
                <c:pt idx="79">
                  <c:v>1.12124568258489</c:v>
                </c:pt>
                <c:pt idx="80">
                  <c:v>1.12124568258489</c:v>
                </c:pt>
                <c:pt idx="81">
                  <c:v>1.12124568258489</c:v>
                </c:pt>
                <c:pt idx="82">
                  <c:v>1.12124568258489</c:v>
                </c:pt>
              </c:numCache>
            </c:numRef>
          </c:yVal>
          <c:smooth val="1"/>
          <c:extLst>
            <c:ext xmlns:c16="http://schemas.microsoft.com/office/drawing/2014/chart" uri="{C3380CC4-5D6E-409C-BE32-E72D297353CC}">
              <c16:uniqueId val="{00000001-72FF-4C74-BB48-DC53E7866E8C}"/>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1921.5837087114464</c:v>
                </c:pt>
                <c:pt idx="39">
                  <c:v>6.499999999999007</c:v>
                </c:pt>
                <c:pt idx="40">
                  <c:v>3.2529106029008803</c:v>
                </c:pt>
                <c:pt idx="41">
                  <c:v>2.4982667258847973</c:v>
                </c:pt>
                <c:pt idx="42">
                  <c:v>2.1257309304031207</c:v>
                </c:pt>
                <c:pt idx="43">
                  <c:v>1.8960339956097945</c:v>
                </c:pt>
                <c:pt idx="44">
                  <c:v>1.7376131616797115</c:v>
                </c:pt>
                <c:pt idx="45">
                  <c:v>1.6206354136476369</c:v>
                </c:pt>
                <c:pt idx="46">
                  <c:v>1.5301841113520063</c:v>
                </c:pt>
                <c:pt idx="47">
                  <c:v>1.4578754741100259</c:v>
                </c:pt>
                <c:pt idx="48">
                  <c:v>1.3985939180008431</c:v>
                </c:pt>
                <c:pt idx="49">
                  <c:v>1.3490213172523273</c:v>
                </c:pt>
                <c:pt idx="50">
                  <c:v>1.3069011244615849</c:v>
                </c:pt>
                <c:pt idx="51">
                  <c:v>1.2706396576782892</c:v>
                </c:pt>
                <c:pt idx="52">
                  <c:v>1.2390760932765092</c:v>
                </c:pt>
                <c:pt idx="53">
                  <c:v>1.2113428740117067</c:v>
                </c:pt>
                <c:pt idx="54">
                  <c:v>1.1867773590313537</c:v>
                </c:pt>
                <c:pt idx="55">
                  <c:v>1.1648638953701158</c:v>
                </c:pt>
                <c:pt idx="56">
                  <c:v>1.1451946731274369</c:v>
                </c:pt>
                <c:pt idx="57">
                  <c:v>1.1274425752841599</c:v>
                </c:pt>
                <c:pt idx="58">
                  <c:v>1.1113419135083229</c:v>
                </c:pt>
                <c:pt idx="59">
                  <c:v>1.0966744827478272</c:v>
                </c:pt>
                <c:pt idx="60">
                  <c:v>1.0832592849365161</c:v>
                </c:pt>
                <c:pt idx="61">
                  <c:v>1.0709448350980926</c:v>
                </c:pt>
                <c:pt idx="62">
                  <c:v>1.0596033179556184</c:v>
                </c:pt>
                <c:pt idx="63">
                  <c:v>1.0491260922331147</c:v>
                </c:pt>
                <c:pt idx="64">
                  <c:v>1.0394201909627108</c:v>
                </c:pt>
                <c:pt idx="65">
                  <c:v>1.0304055677788071</c:v>
                </c:pt>
                <c:pt idx="66">
                  <c:v>1.022012908801389</c:v>
                </c:pt>
                <c:pt idx="67">
                  <c:v>1.0141818781648655</c:v>
                </c:pt>
                <c:pt idx="68">
                  <c:v>1.0068596994765564</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72FF-4C74-BB48-DC53E7866E8C}"/>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RTC!$C$31:$CG$31</c:f>
              <c:numCache>
                <c:formatCode>General</c:formatCode>
                <c:ptCount val="83"/>
                <c:pt idx="0">
                  <c:v>0.68571428571428572</c:v>
                </c:pt>
                <c:pt idx="1">
                  <c:v>0.68571428571428572</c:v>
                </c:pt>
                <c:pt idx="2">
                  <c:v>0.68571428571428572</c:v>
                </c:pt>
                <c:pt idx="3">
                  <c:v>0.68571428571428572</c:v>
                </c:pt>
                <c:pt idx="4">
                  <c:v>0.68571428571428572</c:v>
                </c:pt>
                <c:pt idx="5">
                  <c:v>0.68571428571428572</c:v>
                </c:pt>
                <c:pt idx="6">
                  <c:v>0.68571428571428572</c:v>
                </c:pt>
                <c:pt idx="7">
                  <c:v>0.68571428571428572</c:v>
                </c:pt>
                <c:pt idx="8">
                  <c:v>0.68571428571428572</c:v>
                </c:pt>
                <c:pt idx="9">
                  <c:v>0.68571428571428572</c:v>
                </c:pt>
                <c:pt idx="10">
                  <c:v>0.68571428571428572</c:v>
                </c:pt>
                <c:pt idx="11">
                  <c:v>0.68571428571428572</c:v>
                </c:pt>
                <c:pt idx="12">
                  <c:v>0.68571428571428572</c:v>
                </c:pt>
                <c:pt idx="13">
                  <c:v>0.68571428571428572</c:v>
                </c:pt>
                <c:pt idx="14">
                  <c:v>0.68571428571428572</c:v>
                </c:pt>
                <c:pt idx="15">
                  <c:v>0.68571428571428572</c:v>
                </c:pt>
                <c:pt idx="16">
                  <c:v>0.68571428571428572</c:v>
                </c:pt>
                <c:pt idx="17">
                  <c:v>0.68571428571428572</c:v>
                </c:pt>
                <c:pt idx="18">
                  <c:v>0.68571428571428572</c:v>
                </c:pt>
                <c:pt idx="19">
                  <c:v>0.68571428571428572</c:v>
                </c:pt>
                <c:pt idx="20">
                  <c:v>0.68571428571428572</c:v>
                </c:pt>
                <c:pt idx="21">
                  <c:v>0.68571428571428572</c:v>
                </c:pt>
                <c:pt idx="22">
                  <c:v>0.68571428571428572</c:v>
                </c:pt>
                <c:pt idx="23">
                  <c:v>0.68571428571428572</c:v>
                </c:pt>
                <c:pt idx="24">
                  <c:v>0.68571428571428572</c:v>
                </c:pt>
                <c:pt idx="25">
                  <c:v>0.68571428571428572</c:v>
                </c:pt>
                <c:pt idx="26">
                  <c:v>0.68571428571428572</c:v>
                </c:pt>
                <c:pt idx="27">
                  <c:v>0.68571428571428572</c:v>
                </c:pt>
                <c:pt idx="28">
                  <c:v>0.68571428571428572</c:v>
                </c:pt>
                <c:pt idx="29">
                  <c:v>0.68571428571428572</c:v>
                </c:pt>
                <c:pt idx="30">
                  <c:v>0.68571428571428572</c:v>
                </c:pt>
                <c:pt idx="31">
                  <c:v>0.68571428571428572</c:v>
                </c:pt>
                <c:pt idx="32">
                  <c:v>0.68571428571428572</c:v>
                </c:pt>
                <c:pt idx="33">
                  <c:v>0.68571428571428572</c:v>
                </c:pt>
                <c:pt idx="34">
                  <c:v>0.68571428571428572</c:v>
                </c:pt>
                <c:pt idx="35">
                  <c:v>0.68571428571428572</c:v>
                </c:pt>
                <c:pt idx="36">
                  <c:v>0.68571428571428572</c:v>
                </c:pt>
                <c:pt idx="37">
                  <c:v>0.68571428571428572</c:v>
                </c:pt>
                <c:pt idx="38">
                  <c:v>0.68571428571428572</c:v>
                </c:pt>
                <c:pt idx="39">
                  <c:v>0.68571428571428572</c:v>
                </c:pt>
                <c:pt idx="40">
                  <c:v>0.68571428571428572</c:v>
                </c:pt>
                <c:pt idx="41">
                  <c:v>0.68571428571428572</c:v>
                </c:pt>
                <c:pt idx="42">
                  <c:v>0.68571428571428572</c:v>
                </c:pt>
                <c:pt idx="43">
                  <c:v>0.68571428571428572</c:v>
                </c:pt>
                <c:pt idx="44">
                  <c:v>0.68571428571428572</c:v>
                </c:pt>
                <c:pt idx="45">
                  <c:v>0.68571428571428572</c:v>
                </c:pt>
                <c:pt idx="46">
                  <c:v>0.68571428571428572</c:v>
                </c:pt>
                <c:pt idx="47">
                  <c:v>0.68571428571428572</c:v>
                </c:pt>
                <c:pt idx="48">
                  <c:v>0.68571428571428572</c:v>
                </c:pt>
                <c:pt idx="49">
                  <c:v>0.68571428571428572</c:v>
                </c:pt>
                <c:pt idx="50">
                  <c:v>0.68571428571428572</c:v>
                </c:pt>
                <c:pt idx="51">
                  <c:v>0.68571428571428572</c:v>
                </c:pt>
                <c:pt idx="52">
                  <c:v>0.68571428571428572</c:v>
                </c:pt>
                <c:pt idx="53">
                  <c:v>0.68571428571428572</c:v>
                </c:pt>
                <c:pt idx="54">
                  <c:v>0.68571428571428572</c:v>
                </c:pt>
                <c:pt idx="55">
                  <c:v>0.68571428571428572</c:v>
                </c:pt>
                <c:pt idx="56">
                  <c:v>0.68571428571428572</c:v>
                </c:pt>
                <c:pt idx="57">
                  <c:v>0.68571428571428572</c:v>
                </c:pt>
                <c:pt idx="58">
                  <c:v>0.68571428571428572</c:v>
                </c:pt>
                <c:pt idx="59">
                  <c:v>0.68571428571428572</c:v>
                </c:pt>
                <c:pt idx="60">
                  <c:v>0.68571428571428572</c:v>
                </c:pt>
                <c:pt idx="61">
                  <c:v>0.68571428571428572</c:v>
                </c:pt>
                <c:pt idx="62">
                  <c:v>0.68571428571428572</c:v>
                </c:pt>
                <c:pt idx="63">
                  <c:v>0.68571428571428572</c:v>
                </c:pt>
                <c:pt idx="64">
                  <c:v>0.68571428571428572</c:v>
                </c:pt>
                <c:pt idx="65">
                  <c:v>0.68571428571428572</c:v>
                </c:pt>
                <c:pt idx="66">
                  <c:v>0.68571428571428572</c:v>
                </c:pt>
                <c:pt idx="67">
                  <c:v>0.68571428571428572</c:v>
                </c:pt>
                <c:pt idx="68">
                  <c:v>0.68571428571428572</c:v>
                </c:pt>
                <c:pt idx="69">
                  <c:v>0.68571428571428572</c:v>
                </c:pt>
                <c:pt idx="70">
                  <c:v>0.68571428571428572</c:v>
                </c:pt>
                <c:pt idx="71">
                  <c:v>0.68571428571428572</c:v>
                </c:pt>
                <c:pt idx="72">
                  <c:v>0.68571428571428572</c:v>
                </c:pt>
                <c:pt idx="73">
                  <c:v>0.68571428571428572</c:v>
                </c:pt>
                <c:pt idx="74">
                  <c:v>0.68571428571428572</c:v>
                </c:pt>
                <c:pt idx="75">
                  <c:v>0.68571428571428572</c:v>
                </c:pt>
                <c:pt idx="76">
                  <c:v>0.68571428571428572</c:v>
                </c:pt>
                <c:pt idx="77">
                  <c:v>0.68571428571428572</c:v>
                </c:pt>
                <c:pt idx="78">
                  <c:v>0.68571428571428572</c:v>
                </c:pt>
                <c:pt idx="79">
                  <c:v>0.68571428571428572</c:v>
                </c:pt>
                <c:pt idx="80">
                  <c:v>0.68571428571428572</c:v>
                </c:pt>
                <c:pt idx="81">
                  <c:v>0.68571428571428572</c:v>
                </c:pt>
                <c:pt idx="82">
                  <c:v>0.68571428571428572</c:v>
                </c:pt>
              </c:numCache>
            </c:numRef>
          </c:yVal>
          <c:smooth val="1"/>
          <c:extLst>
            <c:ext xmlns:c16="http://schemas.microsoft.com/office/drawing/2014/chart" uri="{C3380CC4-5D6E-409C-BE32-E72D297353CC}">
              <c16:uniqueId val="{00000003-72FF-4C74-BB48-DC53E7866E8C}"/>
            </c:ext>
          </c:extLst>
        </c:ser>
        <c:ser>
          <c:idx val="4"/>
          <c:order val="4"/>
          <c:tx>
            <c:strRef>
              <c:f>RTC!$B$108</c:f>
              <c:strCache>
                <c:ptCount val="1"/>
                <c:pt idx="0">
                  <c:v>M(fn,100% Po,π/4)</c:v>
                </c:pt>
              </c:strCache>
            </c:strRef>
          </c:tx>
          <c:spPr>
            <a:ln w="19080" cap="rnd">
              <a:solidFill>
                <a:srgbClr val="275317"/>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RTC!$C$108:$CG$108</c:f>
              <c:numCache>
                <c:formatCode>General</c:formatCode>
                <c:ptCount val="83"/>
                <c:pt idx="0">
                  <c:v>2.1818182479920704E-8</c:v>
                </c:pt>
                <c:pt idx="1">
                  <c:v>1.2885285829841006E-3</c:v>
                </c:pt>
                <c:pt idx="2">
                  <c:v>3.2950119481721194E-3</c:v>
                </c:pt>
                <c:pt idx="3">
                  <c:v>6.2440144033623097E-3</c:v>
                </c:pt>
                <c:pt idx="4">
                  <c:v>1.0158553191859945E-2</c:v>
                </c:pt>
                <c:pt idx="5">
                  <c:v>1.5069602622699301E-2</c:v>
                </c:pt>
                <c:pt idx="6">
                  <c:v>2.1016704876682134E-2</c:v>
                </c:pt>
                <c:pt idx="7">
                  <c:v>2.8048768388947723E-2</c:v>
                </c:pt>
                <c:pt idx="8">
                  <c:v>3.6225083729408088E-2</c:v>
                </c:pt>
                <c:pt idx="9">
                  <c:v>4.5616596356075428E-2</c:v>
                </c:pt>
                <c:pt idx="10">
                  <c:v>5.6307487501055131E-2</c:v>
                </c:pt>
                <c:pt idx="11">
                  <c:v>6.83971296301875E-2</c:v>
                </c:pt>
                <c:pt idx="12">
                  <c:v>8.2002502564154742E-2</c:v>
                </c:pt>
                <c:pt idx="13">
                  <c:v>9.7261182059277002E-2</c:v>
                </c:pt>
                <c:pt idx="14">
                  <c:v>0.11433504662530793</c:v>
                </c:pt>
                <c:pt idx="15">
                  <c:v>0.13341489367348136</c:v>
                </c:pt>
                <c:pt idx="16">
                  <c:v>0.15472621704054584</c:v>
                </c:pt>
                <c:pt idx="17">
                  <c:v>0.17853648058534624</c:v>
                </c:pt>
                <c:pt idx="18">
                  <c:v>0.20516433548851423</c:v>
                </c:pt>
                <c:pt idx="19">
                  <c:v>0.23499138428974772</c:v>
                </c:pt>
                <c:pt idx="20">
                  <c:v>0.26847730985236462</c:v>
                </c:pt>
                <c:pt idx="21">
                  <c:v>0.30617948669159406</c:v>
                </c:pt>
                <c:pt idx="22">
                  <c:v>0.34877860915110864</c:v>
                </c:pt>
                <c:pt idx="23">
                  <c:v>0.39711245078414564</c:v>
                </c:pt>
                <c:pt idx="24">
                  <c:v>0.45222066752110879</c:v>
                </c:pt>
                <c:pt idx="25">
                  <c:v>0.51540462938092035</c:v>
                </c:pt>
                <c:pt idx="26">
                  <c:v>0.58830762840615813</c:v>
                </c:pt>
                <c:pt idx="27">
                  <c:v>0.67302232488870162</c:v>
                </c:pt>
                <c:pt idx="28">
                  <c:v>0.77223333712321429</c:v>
                </c:pt>
                <c:pt idx="29">
                  <c:v>0.88940146434470002</c:v>
                </c:pt>
                <c:pt idx="30">
                  <c:v>1.0289864824494521</c:v>
                </c:pt>
                <c:pt idx="31">
                  <c:v>1.1966724314094623</c:v>
                </c:pt>
                <c:pt idx="32">
                  <c:v>1.3994632574174968</c:v>
                </c:pt>
                <c:pt idx="33">
                  <c:v>1.6452628496952006</c:v>
                </c:pt>
                <c:pt idx="34">
                  <c:v>1.9409529095430136</c:v>
                </c:pt>
                <c:pt idx="35">
                  <c:v>2.286856711332343</c:v>
                </c:pt>
                <c:pt idx="36">
                  <c:v>2.664689739148864</c:v>
                </c:pt>
                <c:pt idx="37">
                  <c:v>3.0210297534050943</c:v>
                </c:pt>
                <c:pt idx="38">
                  <c:v>3.2681466330811526</c:v>
                </c:pt>
                <c:pt idx="39">
                  <c:v>3.3110252196145522</c:v>
                </c:pt>
                <c:pt idx="40">
                  <c:v>3.3156909367168934</c:v>
                </c:pt>
                <c:pt idx="41">
                  <c:v>3.165485129035889</c:v>
                </c:pt>
                <c:pt idx="42">
                  <c:v>2.9379147301897302</c:v>
                </c:pt>
                <c:pt idx="43">
                  <c:v>2.6956469422014004</c:v>
                </c:pt>
                <c:pt idx="44">
                  <c:v>2.4705166769883413</c:v>
                </c:pt>
                <c:pt idx="45">
                  <c:v>2.2731978578150067</c:v>
                </c:pt>
                <c:pt idx="46">
                  <c:v>2.1043137440172504</c:v>
                </c:pt>
                <c:pt idx="47">
                  <c:v>1.9607997258777867</c:v>
                </c:pt>
                <c:pt idx="48">
                  <c:v>1.8387414801727384</c:v>
                </c:pt>
                <c:pt idx="49">
                  <c:v>1.7344475901781762</c:v>
                </c:pt>
                <c:pt idx="50">
                  <c:v>1.6447671953798582</c:v>
                </c:pt>
                <c:pt idx="51">
                  <c:v>1.5671176092543677</c:v>
                </c:pt>
                <c:pt idx="52">
                  <c:v>1.4994159312519777</c:v>
                </c:pt>
                <c:pt idx="53">
                  <c:v>1.4399901776491046</c:v>
                </c:pt>
                <c:pt idx="54">
                  <c:v>1.3874966034904137</c:v>
                </c:pt>
                <c:pt idx="55">
                  <c:v>1.3408506390314692</c:v>
                </c:pt>
                <c:pt idx="56">
                  <c:v>1.2991717638123261</c:v>
                </c:pt>
                <c:pt idx="57">
                  <c:v>1.2617403838170929</c:v>
                </c:pt>
                <c:pt idx="58">
                  <c:v>1.2279643637936826</c:v>
                </c:pt>
                <c:pt idx="59">
                  <c:v>1.1973530893088902</c:v>
                </c:pt>
                <c:pt idx="60">
                  <c:v>1.1694973196907215</c:v>
                </c:pt>
                <c:pt idx="61">
                  <c:v>1.1440534718277999</c:v>
                </c:pt>
                <c:pt idx="62">
                  <c:v>1.1207312935183062</c:v>
                </c:pt>
                <c:pt idx="63">
                  <c:v>1.0992841366401696</c:v>
                </c:pt>
                <c:pt idx="64">
                  <c:v>1.0795012330280616</c:v>
                </c:pt>
                <c:pt idx="65">
                  <c:v>1.0612015212514392</c:v>
                </c:pt>
                <c:pt idx="66">
                  <c:v>1.0442286814174895</c:v>
                </c:pt>
                <c:pt idx="67">
                  <c:v>1.028447116660097</c:v>
                </c:pt>
                <c:pt idx="68">
                  <c:v>1.0137386810967635</c:v>
                </c:pt>
                <c:pt idx="69">
                  <c:v>1</c:v>
                </c:pt>
                <c:pt idx="70">
                  <c:v>0.9259862501827153</c:v>
                </c:pt>
                <c:pt idx="71">
                  <c:v>0.87515050886117685</c:v>
                </c:pt>
                <c:pt idx="72">
                  <c:v>0.83806761170528898</c:v>
                </c:pt>
                <c:pt idx="73">
                  <c:v>0.80972746125639039</c:v>
                </c:pt>
                <c:pt idx="74">
                  <c:v>0.78723671009002483</c:v>
                </c:pt>
                <c:pt idx="75">
                  <c:v>0.76881622259455229</c:v>
                </c:pt>
                <c:pt idx="76">
                  <c:v>0.75331704608022088</c:v>
                </c:pt>
                <c:pt idx="77">
                  <c:v>0.73996753261833481</c:v>
                </c:pt>
                <c:pt idx="78">
                  <c:v>0.72823262046716475</c:v>
                </c:pt>
                <c:pt idx="79">
                  <c:v>0.71773138144407611</c:v>
                </c:pt>
                <c:pt idx="80">
                  <c:v>0.70818658508753285</c:v>
                </c:pt>
                <c:pt idx="81">
                  <c:v>0.69939270288926503</c:v>
                </c:pt>
                <c:pt idx="82">
                  <c:v>0.69119496620994025</c:v>
                </c:pt>
              </c:numCache>
            </c:numRef>
          </c:yVal>
          <c:smooth val="1"/>
          <c:extLst>
            <c:ext xmlns:c16="http://schemas.microsoft.com/office/drawing/2014/chart" uri="{C3380CC4-5D6E-409C-BE32-E72D297353CC}">
              <c16:uniqueId val="{00000004-72FF-4C74-BB48-DC53E7866E8C}"/>
            </c:ext>
          </c:extLst>
        </c:ser>
        <c:ser>
          <c:idx val="5"/>
          <c:order val="5"/>
          <c:tx>
            <c:strRef>
              <c:f>RTC!$B$109</c:f>
              <c:strCache>
                <c:ptCount val="1"/>
                <c:pt idx="0">
                  <c:v>M(fn,75% Po,π/4)</c:v>
                </c:pt>
              </c:strCache>
            </c:strRef>
          </c:tx>
          <c:spPr>
            <a:ln w="19080" cap="rnd">
              <a:solidFill>
                <a:srgbClr val="3A7D2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RTC!$C$109:$CG$109</c:f>
              <c:numCache>
                <c:formatCode>General</c:formatCode>
                <c:ptCount val="83"/>
                <c:pt idx="0">
                  <c:v>2.1818182494128961E-8</c:v>
                </c:pt>
                <c:pt idx="1">
                  <c:v>1.288578171574027E-3</c:v>
                </c:pt>
                <c:pt idx="2">
                  <c:v>3.2953365564165381E-3</c:v>
                </c:pt>
                <c:pt idx="3">
                  <c:v>6.2451818527583169E-3</c:v>
                </c:pt>
                <c:pt idx="4">
                  <c:v>1.0161649593314151E-2</c:v>
                </c:pt>
                <c:pt idx="5">
                  <c:v>1.5076433975065679E-2</c:v>
                </c:pt>
                <c:pt idx="6">
                  <c:v>2.1030033274098695E-2</c:v>
                </c:pt>
                <c:pt idx="7">
                  <c:v>2.8072595420429815E-2</c:v>
                </c:pt>
                <c:pt idx="8">
                  <c:v>3.6264996999625973E-2</c:v>
                </c:pt>
                <c:pt idx="9">
                  <c:v>4.5680199715147266E-2</c:v>
                </c:pt>
                <c:pt idx="10">
                  <c:v>5.640494203549281E-2</c:v>
                </c:pt>
                <c:pt idx="11">
                  <c:v>6.854184145450834E-2</c:v>
                </c:pt>
                <c:pt idx="12">
                  <c:v>8.2212006016100361E-2</c:v>
                </c:pt>
                <c:pt idx="13">
                  <c:v>9.7558284599454398E-2</c:v>
                </c:pt>
                <c:pt idx="14">
                  <c:v>0.11474932690509751</c:v>
                </c:pt>
                <c:pt idx="15">
                  <c:v>0.13398468039047992</c:v>
                </c:pt>
                <c:pt idx="16">
                  <c:v>0.15550122875600239</c:v>
                </c:pt>
                <c:pt idx="17">
                  <c:v>0.17958138403859605</c:v>
                </c:pt>
                <c:pt idx="18">
                  <c:v>0.20656359537070312</c:v>
                </c:pt>
                <c:pt idx="19">
                  <c:v>0.23685595218794511</c:v>
                </c:pt>
                <c:pt idx="20">
                  <c:v>0.27095396878595501</c:v>
                </c:pt>
                <c:pt idx="21">
                  <c:v>0.30946408779780116</c:v>
                </c:pt>
                <c:pt idx="22">
                  <c:v>0.35313510574261586</c:v>
                </c:pt>
                <c:pt idx="23">
                  <c:v>0.40290071951848322</c:v>
                </c:pt>
                <c:pt idx="24">
                  <c:v>0.45993790091907139</c:v>
                </c:pt>
                <c:pt idx="25">
                  <c:v>0.52574811603441041</c:v>
                </c:pt>
                <c:pt idx="26">
                  <c:v>0.60227197223209405</c:v>
                </c:pt>
                <c:pt idx="27">
                  <c:v>0.69205339033255242</c:v>
                </c:pt>
                <c:pt idx="28">
                  <c:v>0.79847783432444808</c:v>
                </c:pt>
                <c:pt idx="29">
                  <c:v>0.92612151818432153</c:v>
                </c:pt>
                <c:pt idx="30">
                  <c:v>1.0812646200199973</c:v>
                </c:pt>
                <c:pt idx="31">
                  <c:v>1.2726343216532146</c:v>
                </c:pt>
                <c:pt idx="32">
                  <c:v>1.5124180898398729</c:v>
                </c:pt>
                <c:pt idx="33">
                  <c:v>1.8173855912326224</c:v>
                </c:pt>
                <c:pt idx="34">
                  <c:v>2.2090801713925834</c:v>
                </c:pt>
                <c:pt idx="35">
                  <c:v>2.7089090039799784</c:v>
                </c:pt>
                <c:pt idx="36">
                  <c:v>3.3153045546675202</c:v>
                </c:pt>
                <c:pt idx="37">
                  <c:v>3.9416922154280147</c:v>
                </c:pt>
                <c:pt idx="38">
                  <c:v>4.357523942376635</c:v>
                </c:pt>
                <c:pt idx="39">
                  <c:v>4.4041940885742372</c:v>
                </c:pt>
                <c:pt idx="40">
                  <c:v>4.2612033432527046</c:v>
                </c:pt>
                <c:pt idx="41">
                  <c:v>3.8527942441394005</c:v>
                </c:pt>
                <c:pt idx="42">
                  <c:v>3.3982236476184218</c:v>
                </c:pt>
                <c:pt idx="43">
                  <c:v>2.9979567124083721</c:v>
                </c:pt>
                <c:pt idx="44">
                  <c:v>2.6711570417583141</c:v>
                </c:pt>
                <c:pt idx="45">
                  <c:v>2.4092786879197372</c:v>
                </c:pt>
                <c:pt idx="46">
                  <c:v>2.1988449901644733</c:v>
                </c:pt>
                <c:pt idx="47">
                  <c:v>2.0279628274312711</c:v>
                </c:pt>
                <c:pt idx="48">
                  <c:v>1.8874111529356545</c:v>
                </c:pt>
                <c:pt idx="49">
                  <c:v>1.7703076368044173</c:v>
                </c:pt>
                <c:pt idx="50">
                  <c:v>1.671550850643214</c:v>
                </c:pt>
                <c:pt idx="51">
                  <c:v>1.5873385715548483</c:v>
                </c:pt>
                <c:pt idx="52">
                  <c:v>1.5148067641068692</c:v>
                </c:pt>
                <c:pt idx="53">
                  <c:v>1.4517710548787346</c:v>
                </c:pt>
                <c:pt idx="54">
                  <c:v>1.396543915521502</c:v>
                </c:pt>
                <c:pt idx="55">
                  <c:v>1.3478052167776442</c:v>
                </c:pt>
                <c:pt idx="56">
                  <c:v>1.3045098739697338</c:v>
                </c:pt>
                <c:pt idx="57">
                  <c:v>1.2658212630462244</c:v>
                </c:pt>
                <c:pt idx="58">
                  <c:v>1.2310626548488726</c:v>
                </c:pt>
                <c:pt idx="59">
                  <c:v>1.1996813670832631</c:v>
                </c:pt>
                <c:pt idx="60">
                  <c:v>1.1712219910308832</c:v>
                </c:pt>
                <c:pt idx="61">
                  <c:v>1.1453061677974472</c:v>
                </c:pt>
                <c:pt idx="62">
                  <c:v>1.1216171458202568</c:v>
                </c:pt>
                <c:pt idx="63">
                  <c:v>1.099887867894062</c:v>
                </c:pt>
                <c:pt idx="64">
                  <c:v>1.0798916918159434</c:v>
                </c:pt>
                <c:pt idx="65">
                  <c:v>1.0614350964231427</c:v>
                </c:pt>
                <c:pt idx="66">
                  <c:v>1.044351899017198</c:v>
                </c:pt>
                <c:pt idx="67">
                  <c:v>1.0284986340178952</c:v>
                </c:pt>
                <c:pt idx="68">
                  <c:v>1.0137508316491879</c:v>
                </c:pt>
                <c:pt idx="69">
                  <c:v>1</c:v>
                </c:pt>
                <c:pt idx="70">
                  <c:v>0.92637522637472969</c:v>
                </c:pt>
                <c:pt idx="71">
                  <c:v>0.87636429979908725</c:v>
                </c:pt>
                <c:pt idx="72">
                  <c:v>0.84030653357038576</c:v>
                </c:pt>
                <c:pt idx="73">
                  <c:v>0.8131067261316709</c:v>
                </c:pt>
                <c:pt idx="74">
                  <c:v>0.79183579693340045</c:v>
                </c:pt>
                <c:pt idx="75">
                  <c:v>0.77469725207046947</c:v>
                </c:pt>
                <c:pt idx="76">
                  <c:v>0.76053224006517439</c:v>
                </c:pt>
                <c:pt idx="77">
                  <c:v>0.7485624272603979</c:v>
                </c:pt>
                <c:pt idx="78">
                  <c:v>0.73824750526586647</c:v>
                </c:pt>
                <c:pt idx="79">
                  <c:v>0.72920196164554796</c:v>
                </c:pt>
                <c:pt idx="80">
                  <c:v>0.72114429664412516</c:v>
                </c:pt>
                <c:pt idx="81">
                  <c:v>0.71386487398730347</c:v>
                </c:pt>
                <c:pt idx="82">
                  <c:v>0.70720491604949265</c:v>
                </c:pt>
              </c:numCache>
            </c:numRef>
          </c:yVal>
          <c:smooth val="1"/>
          <c:extLst>
            <c:ext xmlns:c16="http://schemas.microsoft.com/office/drawing/2014/chart" uri="{C3380CC4-5D6E-409C-BE32-E72D297353CC}">
              <c16:uniqueId val="{00000005-72FF-4C74-BB48-DC53E7866E8C}"/>
            </c:ext>
          </c:extLst>
        </c:ser>
        <c:ser>
          <c:idx val="6"/>
          <c:order val="6"/>
          <c:tx>
            <c:strRef>
              <c:f>RTC!$B$110</c:f>
              <c:strCache>
                <c:ptCount val="1"/>
                <c:pt idx="0">
                  <c:v>M(fn,50% Po,π/4)</c:v>
                </c:pt>
              </c:strCache>
            </c:strRef>
          </c:tx>
          <c:spPr>
            <a:ln w="19080" cap="rnd">
              <a:solidFill>
                <a:srgbClr val="8ED97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RTC!$C$110:$CG$110</c:f>
              <c:numCache>
                <c:formatCode>General</c:formatCode>
                <c:ptCount val="83"/>
                <c:pt idx="0">
                  <c:v>2.1818182504277716E-8</c:v>
                </c:pt>
                <c:pt idx="1">
                  <c:v>1.2886135955008332E-3</c:v>
                </c:pt>
                <c:pt idx="2">
                  <c:v>3.2955684781936466E-3</c:v>
                </c:pt>
                <c:pt idx="3">
                  <c:v>6.2460161462191653E-3</c:v>
                </c:pt>
                <c:pt idx="4">
                  <c:v>1.0163863042965088E-2</c:v>
                </c:pt>
                <c:pt idx="5">
                  <c:v>1.5081319204381372E-2</c:v>
                </c:pt>
                <c:pt idx="6">
                  <c:v>2.1039569098202388E-2</c:v>
                </c:pt>
                <c:pt idx="7">
                  <c:v>2.8089651953662267E-2</c:v>
                </c:pt>
                <c:pt idx="8">
                  <c:v>3.6293587388214997E-2</c:v>
                </c:pt>
                <c:pt idx="9">
                  <c:v>4.5725793918706494E-2</c:v>
                </c:pt>
                <c:pt idx="10">
                  <c:v>5.647486303862221E-2</c:v>
                </c:pt>
                <c:pt idx="11">
                  <c:v>6.8645771225195648E-2</c:v>
                </c:pt>
                <c:pt idx="12">
                  <c:v>8.2362638290634962E-2</c:v>
                </c:pt>
                <c:pt idx="13">
                  <c:v>9.777217543465197E-2</c:v>
                </c:pt>
                <c:pt idx="14">
                  <c:v>0.11504801381981522</c:v>
                </c:pt>
                <c:pt idx="15">
                  <c:v>0.1343961697659459</c:v>
                </c:pt>
                <c:pt idx="16">
                  <c:v>0.15606199356055589</c:v>
                </c:pt>
                <c:pt idx="17">
                  <c:v>0.18033907712619268</c:v>
                </c:pt>
                <c:pt idx="18">
                  <c:v>0.20758077920643064</c:v>
                </c:pt>
                <c:pt idx="19">
                  <c:v>0.23821529291505833</c:v>
                </c:pt>
                <c:pt idx="20">
                  <c:v>0.27276557284516439</c:v>
                </c:pt>
                <c:pt idx="21">
                  <c:v>0.3118760270307826</c:v>
                </c:pt>
                <c:pt idx="22">
                  <c:v>0.35634877663150372</c:v>
                </c:pt>
                <c:pt idx="23">
                  <c:v>0.40719368317894933</c:v>
                </c:pt>
                <c:pt idx="24">
                  <c:v>0.46569856393000625</c:v>
                </c:pt>
                <c:pt idx="25">
                  <c:v>0.53352962776885804</c:v>
                </c:pt>
                <c:pt idx="26">
                  <c:v>0.61287818547722495</c:v>
                </c:pt>
                <c:pt idx="27">
                  <c:v>0.70667999489874977</c:v>
                </c:pt>
                <c:pt idx="28">
                  <c:v>0.81895174017762684</c:v>
                </c:pt>
                <c:pt idx="29">
                  <c:v>0.95532197886781722</c:v>
                </c:pt>
                <c:pt idx="30">
                  <c:v>1.1238949075668698</c:v>
                </c:pt>
                <c:pt idx="31">
                  <c:v>1.336700784700356</c:v>
                </c:pt>
                <c:pt idx="32">
                  <c:v>1.6122041821848843</c:v>
                </c:pt>
                <c:pt idx="33">
                  <c:v>1.9797167331940804</c:v>
                </c:pt>
                <c:pt idx="34">
                  <c:v>2.4869471935964955</c:v>
                </c:pt>
                <c:pt idx="35">
                  <c:v>3.2103200546599169</c:v>
                </c:pt>
                <c:pt idx="36">
                  <c:v>4.2496371420859811</c:v>
                </c:pt>
                <c:pt idx="37">
                  <c:v>5.5838781280519632</c:v>
                </c:pt>
                <c:pt idx="38">
                  <c:v>6.5362649062806746</c:v>
                </c:pt>
                <c:pt idx="39">
                  <c:v>6.56187709048654</c:v>
                </c:pt>
                <c:pt idx="40">
                  <c:v>5.8283032893166347</c:v>
                </c:pt>
                <c:pt idx="41">
                  <c:v>4.7563696098705019</c:v>
                </c:pt>
                <c:pt idx="42">
                  <c:v>3.9015255964034536</c:v>
                </c:pt>
                <c:pt idx="43">
                  <c:v>3.2890887050132047</c:v>
                </c:pt>
                <c:pt idx="44">
                  <c:v>2.8486465633840918</c:v>
                </c:pt>
                <c:pt idx="45">
                  <c:v>2.5229481085899601</c:v>
                </c:pt>
                <c:pt idx="46">
                  <c:v>2.274741534759305</c:v>
                </c:pt>
                <c:pt idx="47">
                  <c:v>2.0803949878791861</c:v>
                </c:pt>
                <c:pt idx="48">
                  <c:v>1.9246409174621322</c:v>
                </c:pt>
                <c:pt idx="49">
                  <c:v>1.7973280730835068</c:v>
                </c:pt>
                <c:pt idx="50">
                  <c:v>1.6915035214697591</c:v>
                </c:pt>
                <c:pt idx="51">
                  <c:v>1.6022709678425973</c:v>
                </c:pt>
                <c:pt idx="52">
                  <c:v>1.5260949961030321</c:v>
                </c:pt>
                <c:pt idx="53">
                  <c:v>1.4603652308008392</c:v>
                </c:pt>
                <c:pt idx="54">
                  <c:v>1.4031157251568276</c:v>
                </c:pt>
                <c:pt idx="55">
                  <c:v>1.3528395535321116</c:v>
                </c:pt>
                <c:pt idx="56">
                  <c:v>1.3083633497339899</c:v>
                </c:pt>
                <c:pt idx="57">
                  <c:v>1.2687605397323707</c:v>
                </c:pt>
                <c:pt idx="58">
                  <c:v>1.2332901336794484</c:v>
                </c:pt>
                <c:pt idx="59">
                  <c:v>1.2013527629548135</c:v>
                </c:pt>
                <c:pt idx="60">
                  <c:v>1.1724585811910933</c:v>
                </c:pt>
                <c:pt idx="61">
                  <c:v>1.1462034742108889</c:v>
                </c:pt>
                <c:pt idx="62">
                  <c:v>1.1222511850942101</c:v>
                </c:pt>
                <c:pt idx="63">
                  <c:v>1.1003197140231982</c:v>
                </c:pt>
                <c:pt idx="64">
                  <c:v>1.0801708504954202</c:v>
                </c:pt>
                <c:pt idx="65">
                  <c:v>1.0616020302914293</c:v>
                </c:pt>
                <c:pt idx="66">
                  <c:v>1.0444399382984499</c:v>
                </c:pt>
                <c:pt idx="67">
                  <c:v>1.0285354368708968</c:v>
                </c:pt>
                <c:pt idx="68">
                  <c:v>1.0137595108827029</c:v>
                </c:pt>
                <c:pt idx="69">
                  <c:v>1</c:v>
                </c:pt>
                <c:pt idx="70">
                  <c:v>0.92665336681927202</c:v>
                </c:pt>
                <c:pt idx="71">
                  <c:v>0.87723439196059105</c:v>
                </c:pt>
                <c:pt idx="72">
                  <c:v>0.8419167945280317</c:v>
                </c:pt>
                <c:pt idx="73">
                  <c:v>0.81554655568301382</c:v>
                </c:pt>
                <c:pt idx="74">
                  <c:v>0.79517065201017434</c:v>
                </c:pt>
                <c:pt idx="75">
                  <c:v>0.77898159085307739</c:v>
                </c:pt>
                <c:pt idx="76">
                  <c:v>0.7658147608597462</c:v>
                </c:pt>
                <c:pt idx="77">
                  <c:v>0.75488830753491964</c:v>
                </c:pt>
                <c:pt idx="78">
                  <c:v>0.74565938166910939</c:v>
                </c:pt>
                <c:pt idx="79">
                  <c:v>0.73774035279165173</c:v>
                </c:pt>
                <c:pt idx="80">
                  <c:v>0.73084777111781829</c:v>
                </c:pt>
                <c:pt idx="81">
                  <c:v>0.72477010086468752</c:v>
                </c:pt>
                <c:pt idx="82">
                  <c:v>0.71934666275294945</c:v>
                </c:pt>
              </c:numCache>
            </c:numRef>
          </c:yVal>
          <c:smooth val="1"/>
          <c:extLst>
            <c:ext xmlns:c16="http://schemas.microsoft.com/office/drawing/2014/chart" uri="{C3380CC4-5D6E-409C-BE32-E72D297353CC}">
              <c16:uniqueId val="{00000006-72FF-4C74-BB48-DC53E7866E8C}"/>
            </c:ext>
          </c:extLst>
        </c:ser>
        <c:ser>
          <c:idx val="7"/>
          <c:order val="7"/>
          <c:tx>
            <c:strRef>
              <c:f>RTC!$B$111</c:f>
              <c:strCache>
                <c:ptCount val="1"/>
                <c:pt idx="0">
                  <c:v>M(fn,25% Po,π/4)</c:v>
                </c:pt>
              </c:strCache>
            </c:strRef>
          </c:tx>
          <c:spPr>
            <a:ln w="19080" cap="rnd">
              <a:solidFill>
                <a:srgbClr val="B4E5A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RTC!$C$111:$CG$111</c:f>
              <c:numCache>
                <c:formatCode>General</c:formatCode>
                <c:ptCount val="83"/>
                <c:pt idx="0">
                  <c:v>2.1818182510366966E-8</c:v>
                </c:pt>
                <c:pt idx="1">
                  <c:v>1.2886348512592819E-3</c:v>
                </c:pt>
                <c:pt idx="2">
                  <c:v>3.2957076547663338E-3</c:v>
                </c:pt>
                <c:pt idx="3">
                  <c:v>6.2465168828168913E-3</c:v>
                </c:pt>
                <c:pt idx="4">
                  <c:v>1.0165191807242017E-2</c:v>
                </c:pt>
                <c:pt idx="5">
                  <c:v>1.5084252622425465E-2</c:v>
                </c:pt>
                <c:pt idx="6">
                  <c:v>2.1045296822859667E-2</c:v>
                </c:pt>
                <c:pt idx="7">
                  <c:v>2.8099900808883832E-2</c:v>
                </c:pt>
                <c:pt idx="8">
                  <c:v>3.6310774113015254E-2</c:v>
                </c:pt>
                <c:pt idx="9">
                  <c:v>4.5753216060223069E-2</c:v>
                </c:pt>
                <c:pt idx="10">
                  <c:v>5.651694066037502E-2</c:v>
                </c:pt>
                <c:pt idx="11">
                  <c:v>6.8708356474590837E-2</c:v>
                </c:pt>
                <c:pt idx="12">
                  <c:v>8.245341606112816E-2</c:v>
                </c:pt>
                <c:pt idx="13">
                  <c:v>9.7901187193779174E-2</c:v>
                </c:pt>
                <c:pt idx="14">
                  <c:v>0.11522834942108219</c:v>
                </c:pt>
                <c:pt idx="15">
                  <c:v>0.13464489067808946</c:v>
                </c:pt>
                <c:pt idx="16">
                  <c:v>0.15640137850524516</c:v>
                </c:pt>
                <c:pt idx="17">
                  <c:v>0.18079832252130565</c:v>
                </c:pt>
                <c:pt idx="18">
                  <c:v>0.2081983500445049</c:v>
                </c:pt>
                <c:pt idx="19">
                  <c:v>0.23904221799806005</c:v>
                </c:pt>
                <c:pt idx="20">
                  <c:v>0.2738701340767794</c:v>
                </c:pt>
                <c:pt idx="21">
                  <c:v>0.31335054466435652</c:v>
                </c:pt>
                <c:pt idx="22">
                  <c:v>0.35831961032449089</c:v>
                </c:pt>
                <c:pt idx="23">
                  <c:v>0.40983627949521473</c:v>
                </c:pt>
                <c:pt idx="24">
                  <c:v>0.46926062493655119</c:v>
                </c:pt>
                <c:pt idx="25">
                  <c:v>0.53836772348952122</c:v>
                </c:pt>
                <c:pt idx="26">
                  <c:v>0.61951734450923646</c:v>
                </c:pt>
                <c:pt idx="27">
                  <c:v>0.71591402471029431</c:v>
                </c:pt>
                <c:pt idx="28">
                  <c:v>0.83201882091516144</c:v>
                </c:pt>
                <c:pt idx="29">
                  <c:v>0.97422626176868343</c:v>
                </c:pt>
                <c:pt idx="30">
                  <c:v>1.1520277706949573</c:v>
                </c:pt>
                <c:pt idx="31">
                  <c:v>1.3801195101761581</c:v>
                </c:pt>
                <c:pt idx="32">
                  <c:v>1.6824722676826387</c:v>
                </c:pt>
                <c:pt idx="33">
                  <c:v>2.1008248093461006</c:v>
                </c:pt>
                <c:pt idx="34">
                  <c:v>2.7141828103905814</c:v>
                </c:pt>
                <c:pt idx="35">
                  <c:v>3.688982648204016</c:v>
                </c:pt>
                <c:pt idx="36">
                  <c:v>5.4226604572562698</c:v>
                </c:pt>
                <c:pt idx="37">
                  <c:v>8.874334292070964</c:v>
                </c:pt>
                <c:pt idx="38">
                  <c:v>13.072302940891014</c:v>
                </c:pt>
                <c:pt idx="39">
                  <c:v>12.673218577658734</c:v>
                </c:pt>
                <c:pt idx="40">
                  <c:v>8.4340745660325585</c:v>
                </c:pt>
                <c:pt idx="41">
                  <c:v>5.7444694203075599</c:v>
                </c:pt>
                <c:pt idx="42">
                  <c:v>4.3374128318841692</c:v>
                </c:pt>
                <c:pt idx="43">
                  <c:v>3.5105520922385378</c:v>
                </c:pt>
                <c:pt idx="44">
                  <c:v>2.9737766287718053</c:v>
                </c:pt>
                <c:pt idx="45">
                  <c:v>2.5993913032860352</c:v>
                </c:pt>
                <c:pt idx="46">
                  <c:v>2.3242339271319574</c:v>
                </c:pt>
                <c:pt idx="47">
                  <c:v>2.1138760975918665</c:v>
                </c:pt>
                <c:pt idx="48">
                  <c:v>1.9480648411822659</c:v>
                </c:pt>
                <c:pt idx="49">
                  <c:v>1.8141465550045413</c:v>
                </c:pt>
                <c:pt idx="50">
                  <c:v>1.7038236330198682</c:v>
                </c:pt>
                <c:pt idx="51">
                  <c:v>1.6114352549773965</c:v>
                </c:pt>
                <c:pt idx="52">
                  <c:v>1.5329902825925217</c:v>
                </c:pt>
                <c:pt idx="53">
                  <c:v>1.4655955802662384</c:v>
                </c:pt>
                <c:pt idx="54">
                  <c:v>1.4071036247169475</c:v>
                </c:pt>
                <c:pt idx="55">
                  <c:v>1.3558873693313063</c:v>
                </c:pt>
                <c:pt idx="56">
                  <c:v>1.3106918915748877</c:v>
                </c:pt>
                <c:pt idx="57">
                  <c:v>1.2705339644015305</c:v>
                </c:pt>
                <c:pt idx="58">
                  <c:v>1.2346324387746255</c:v>
                </c:pt>
                <c:pt idx="59">
                  <c:v>1.2023589598856741</c:v>
                </c:pt>
                <c:pt idx="60">
                  <c:v>1.1732024180112508</c:v>
                </c:pt>
                <c:pt idx="61">
                  <c:v>1.1467428714483408</c:v>
                </c:pt>
                <c:pt idx="62">
                  <c:v>1.1226321251672753</c:v>
                </c:pt>
                <c:pt idx="63">
                  <c:v>1.100579065987231</c:v>
                </c:pt>
                <c:pt idx="64">
                  <c:v>1.0803384496554489</c:v>
                </c:pt>
                <c:pt idx="65">
                  <c:v>1.0617022284260897</c:v>
                </c:pt>
                <c:pt idx="66">
                  <c:v>1.0444927725557174</c:v>
                </c:pt>
                <c:pt idx="67">
                  <c:v>1.0285575204791526</c:v>
                </c:pt>
                <c:pt idx="68">
                  <c:v>1.013764718529816</c:v>
                </c:pt>
                <c:pt idx="69">
                  <c:v>1</c:v>
                </c:pt>
                <c:pt idx="70">
                  <c:v>0.92682037138935403</c:v>
                </c:pt>
                <c:pt idx="71">
                  <c:v>0.87775769287192829</c:v>
                </c:pt>
                <c:pt idx="72">
                  <c:v>0.84288740590427746</c:v>
                </c:pt>
                <c:pt idx="73">
                  <c:v>0.81702103802787973</c:v>
                </c:pt>
                <c:pt idx="74">
                  <c:v>0.79719190393826278</c:v>
                </c:pt>
                <c:pt idx="75">
                  <c:v>0.78158656674389648</c:v>
                </c:pt>
                <c:pt idx="76">
                  <c:v>0.76903760296553292</c:v>
                </c:pt>
                <c:pt idx="77">
                  <c:v>0.75876169282562234</c:v>
                </c:pt>
                <c:pt idx="78">
                  <c:v>0.75021511775673544</c:v>
                </c:pt>
                <c:pt idx="79">
                  <c:v>0.74300963954348787</c:v>
                </c:pt>
                <c:pt idx="80">
                  <c:v>0.73686130745775735</c:v>
                </c:pt>
                <c:pt idx="81">
                  <c:v>0.73155811827664896</c:v>
                </c:pt>
                <c:pt idx="82">
                  <c:v>0.72693892402849414</c:v>
                </c:pt>
              </c:numCache>
            </c:numRef>
          </c:yVal>
          <c:smooth val="1"/>
          <c:extLst>
            <c:ext xmlns:c16="http://schemas.microsoft.com/office/drawing/2014/chart" uri="{C3380CC4-5D6E-409C-BE32-E72D297353CC}">
              <c16:uniqueId val="{00000007-72FF-4C74-BB48-DC53E7866E8C}"/>
            </c:ext>
          </c:extLst>
        </c:ser>
        <c:dLbls>
          <c:showLegendKey val="0"/>
          <c:showVal val="0"/>
          <c:showCatName val="0"/>
          <c:showSerName val="0"/>
          <c:showPercent val="0"/>
          <c:showBubbleSize val="0"/>
        </c:dLbls>
        <c:axId val="94384470"/>
        <c:axId val="93624544"/>
      </c:scatterChart>
      <c:valAx>
        <c:axId val="94384470"/>
        <c:scaling>
          <c:orientation val="minMax"/>
          <c:max val="1"/>
          <c:min val="0.3"/>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624544"/>
        <c:crosses val="autoZero"/>
        <c:crossBetween val="midCat"/>
      </c:valAx>
      <c:valAx>
        <c:axId val="93624544"/>
        <c:scaling>
          <c:orientation val="minMax"/>
          <c:max val="1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4384470"/>
        <c:crossesAt val="0"/>
        <c:crossBetween val="midCat"/>
      </c:valAx>
      <c:spPr>
        <a:noFill/>
        <a:ln w="0">
          <a:noFill/>
        </a:ln>
      </c:spPr>
    </c:plotArea>
    <c:legend>
      <c:legendPos val="r"/>
      <c:layout>
        <c:manualLayout>
          <c:xMode val="edge"/>
          <c:yMode val="edge"/>
          <c:x val="0.65805745466132304"/>
          <c:y val="0.166456066205666"/>
          <c:w val="0.26939773403311301"/>
          <c:h val="0.38624747825753902"/>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Variable Load @π/4-3π/4</a:t>
            </a:r>
          </a:p>
        </c:rich>
      </c:tx>
      <c:layout>
        <c:manualLayout>
          <c:xMode val="edge"/>
          <c:yMode val="edge"/>
          <c:x val="0.161428704653548"/>
          <c:y val="2.3268621781632901E-2"/>
        </c:manualLayout>
      </c:layout>
      <c:overlay val="0"/>
      <c:spPr>
        <a:noFill/>
        <a:ln w="0">
          <a:noFill/>
        </a:ln>
      </c:spPr>
    </c:title>
    <c:autoTitleDeleted val="0"/>
    <c:plotArea>
      <c:layout>
        <c:manualLayout>
          <c:layoutTarget val="inner"/>
          <c:xMode val="edge"/>
          <c:yMode val="edge"/>
          <c:x val="0.12538468712114101"/>
          <c:y val="0.14181467713066201"/>
          <c:w val="0.82626130746992399"/>
          <c:h val="0.7368167423929510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RTC!$C$28:$CG$28</c:f>
              <c:numCache>
                <c:formatCode>General</c:formatCode>
                <c:ptCount val="83"/>
                <c:pt idx="0">
                  <c:v>2.1818182512396718E-8</c:v>
                </c:pt>
                <c:pt idx="1">
                  <c:v>1.2886419367458453E-3</c:v>
                </c:pt>
                <c:pt idx="2">
                  <c:v>3.2957540508757933E-3</c:v>
                </c:pt>
                <c:pt idx="3">
                  <c:v>6.2466838217803949E-3</c:v>
                </c:pt>
                <c:pt idx="4">
                  <c:v>1.0165634844491057E-2</c:v>
                </c:pt>
                <c:pt idx="5">
                  <c:v>1.5085230808885637E-2</c:v>
                </c:pt>
                <c:pt idx="6">
                  <c:v>2.104720710419164E-2</c:v>
                </c:pt>
                <c:pt idx="7">
                  <c:v>2.8103319587713758E-2</c:v>
                </c:pt>
                <c:pt idx="8">
                  <c:v>3.6316508449383139E-2</c:v>
                </c:pt>
                <c:pt idx="9">
                  <c:v>4.5762367743434479E-2</c:v>
                </c:pt>
                <c:pt idx="10">
                  <c:v>5.6530987448607108E-2</c:v>
                </c:pt>
                <c:pt idx="11">
                  <c:v>6.8729256295102084E-2</c:v>
                </c:pt>
                <c:pt idx="12">
                  <c:v>8.2483742085161724E-2</c:v>
                </c:pt>
                <c:pt idx="13">
                  <c:v>9.7944304735298124E-2</c:v>
                </c:pt>
                <c:pt idx="14">
                  <c:v>0.11528864999952876</c:v>
                </c:pt>
                <c:pt idx="15">
                  <c:v>0.1347281050187448</c:v>
                </c:pt>
                <c:pt idx="16">
                  <c:v>0.15651499980883612</c:v>
                </c:pt>
                <c:pt idx="17">
                  <c:v>0.18095218575415503</c:v>
                </c:pt>
                <c:pt idx="18">
                  <c:v>0.20840543512238516</c:v>
                </c:pt>
                <c:pt idx="19">
                  <c:v>0.23931977930378859</c:v>
                </c:pt>
                <c:pt idx="20">
                  <c:v>0.27424131386312434</c:v>
                </c:pt>
                <c:pt idx="21">
                  <c:v>0.31384671772931005</c:v>
                </c:pt>
                <c:pt idx="22">
                  <c:v>0.3589838574142431</c:v>
                </c:pt>
                <c:pt idx="23">
                  <c:v>0.41072864448862639</c:v>
                </c:pt>
                <c:pt idx="24">
                  <c:v>0.47046626668653735</c:v>
                </c:pt>
                <c:pt idx="25">
                  <c:v>0.54000990781304037</c:v>
                </c:pt>
                <c:pt idx="26">
                  <c:v>0.62177881033586746</c:v>
                </c:pt>
                <c:pt idx="27">
                  <c:v>0.71907341857608231</c:v>
                </c:pt>
                <c:pt idx="28">
                  <c:v>0.83651551018079373</c:v>
                </c:pt>
                <c:pt idx="29">
                  <c:v>0.98078153994784389</c:v>
                </c:pt>
                <c:pt idx="30">
                  <c:v>1.1618855338834528</c:v>
                </c:pt>
                <c:pt idx="31">
                  <c:v>1.3955605407023011</c:v>
                </c:pt>
                <c:pt idx="32">
                  <c:v>1.70801881699095</c:v>
                </c:pt>
                <c:pt idx="33">
                  <c:v>2.1464163817304032</c:v>
                </c:pt>
                <c:pt idx="34">
                  <c:v>2.8049873938594398</c:v>
                </c:pt>
                <c:pt idx="35">
                  <c:v>3.9033273688464369</c:v>
                </c:pt>
                <c:pt idx="36">
                  <c:v>6.098718634915044</c:v>
                </c:pt>
                <c:pt idx="37">
                  <c:v>12.659566924581251</c:v>
                </c:pt>
                <c:pt idx="38">
                  <c:v>1921.5837087114464</c:v>
                </c:pt>
                <c:pt idx="39">
                  <c:v>42.249999999987104</c:v>
                </c:pt>
                <c:pt idx="40">
                  <c:v>10.581427390464974</c:v>
                </c:pt>
                <c:pt idx="41">
                  <c:v>6.2413366336631526</c:v>
                </c:pt>
                <c:pt idx="42">
                  <c:v>4.5187319884725161</c:v>
                </c:pt>
                <c:pt idx="43">
                  <c:v>3.5949449125080415</c:v>
                </c:pt>
                <c:pt idx="44">
                  <c:v>3.0192994996425648</c:v>
                </c:pt>
                <c:pt idx="45">
                  <c:v>2.6264591439688467</c:v>
                </c:pt>
                <c:pt idx="46">
                  <c:v>2.3414634146341284</c:v>
                </c:pt>
                <c:pt idx="47">
                  <c:v>2.1254008980115326</c:v>
                </c:pt>
                <c:pt idx="48">
                  <c:v>1.9560649474689491</c:v>
                </c:pt>
                <c:pt idx="49">
                  <c:v>1.8198585144012047</c:v>
                </c:pt>
                <c:pt idx="50">
                  <c:v>1.7079905491189553</c:v>
                </c:pt>
                <c:pt idx="51">
                  <c:v>1.6145251396647997</c:v>
                </c:pt>
                <c:pt idx="52">
                  <c:v>1.5353095649293769</c:v>
                </c:pt>
                <c:pt idx="53">
                  <c:v>1.4673515584189416</c:v>
                </c:pt>
                <c:pt idx="54">
                  <c:v>1.4084404999094342</c:v>
                </c:pt>
                <c:pt idx="55">
                  <c:v>1.35690789473684</c:v>
                </c:pt>
                <c:pt idx="56">
                  <c:v>1.3114708393594574</c:v>
                </c:pt>
                <c:pt idx="57">
                  <c:v>1.2711267605633787</c:v>
                </c:pt>
                <c:pt idx="58">
                  <c:v>1.2350808487203404</c:v>
                </c:pt>
                <c:pt idx="59">
                  <c:v>1.2026949211102145</c:v>
                </c:pt>
                <c:pt idx="60">
                  <c:v>1.1734506784011727</c:v>
                </c:pt>
                <c:pt idx="61">
                  <c:v>1.1469228398232809</c:v>
                </c:pt>
                <c:pt idx="62">
                  <c:v>1.1227591914225556</c:v>
                </c:pt>
                <c:pt idx="63">
                  <c:v>1.1006655574043258</c:v>
                </c:pt>
                <c:pt idx="64">
                  <c:v>1.080394333380958</c:v>
                </c:pt>
                <c:pt idx="65">
                  <c:v>1.0617356341095658</c:v>
                </c:pt>
                <c:pt idx="66">
                  <c:v>1.0445103857566764</c:v>
                </c:pt>
                <c:pt idx="67">
                  <c:v>1.0285648819980142</c:v>
                </c:pt>
                <c:pt idx="68">
                  <c:v>1.0137664544300213</c:v>
                </c:pt>
                <c:pt idx="69">
                  <c:v>1</c:v>
                </c:pt>
                <c:pt idx="70">
                  <c:v>0.92687605964801134</c:v>
                </c:pt>
                <c:pt idx="71">
                  <c:v>0.87793233473094412</c:v>
                </c:pt>
                <c:pt idx="72">
                  <c:v>0.8432116897802775</c:v>
                </c:pt>
                <c:pt idx="73">
                  <c:v>0.81751431221486071</c:v>
                </c:pt>
                <c:pt idx="74">
                  <c:v>0.79786908756308172</c:v>
                </c:pt>
                <c:pt idx="75">
                  <c:v>0.78246071684854068</c:v>
                </c:pt>
                <c:pt idx="76">
                  <c:v>0.7701209595806876</c:v>
                </c:pt>
                <c:pt idx="77">
                  <c:v>0.76006613168945525</c:v>
                </c:pt>
                <c:pt idx="78">
                  <c:v>0.75175235378607119</c:v>
                </c:pt>
                <c:pt idx="79">
                  <c:v>0.74479131918510189</c:v>
                </c:pt>
                <c:pt idx="80">
                  <c:v>0.73889904941593587</c:v>
                </c:pt>
                <c:pt idx="81">
                  <c:v>0.73386352963092394</c:v>
                </c:pt>
                <c:pt idx="82">
                  <c:v>0.72952360451323239</c:v>
                </c:pt>
              </c:numCache>
            </c:numRef>
          </c:yVal>
          <c:smooth val="1"/>
          <c:extLst>
            <c:ext xmlns:c16="http://schemas.microsoft.com/office/drawing/2014/chart" uri="{C3380CC4-5D6E-409C-BE32-E72D297353CC}">
              <c16:uniqueId val="{00000000-EC34-4C40-B998-3DB22CC78E2C}"/>
            </c:ext>
          </c:extLst>
        </c:ser>
        <c:ser>
          <c:idx val="1"/>
          <c:order val="1"/>
          <c:tx>
            <c:strRef>
              <c:f>RTC!$B$56</c:f>
              <c:strCache>
                <c:ptCount val="1"/>
                <c:pt idx="0">
                  <c:v>Mreq(Vin_min, Vout,π/4 )</c:v>
                </c:pt>
              </c:strCache>
            </c:strRef>
          </c:tx>
          <c:spPr>
            <a:ln w="19080" cap="rnd">
              <a:solidFill>
                <a:srgbClr val="4EA72E"/>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RTC!$C$56:$CG$56</c:f>
              <c:numCache>
                <c:formatCode>General</c:formatCode>
                <c:ptCount val="83"/>
                <c:pt idx="0">
                  <c:v>2.1509611053669317</c:v>
                </c:pt>
                <c:pt idx="1">
                  <c:v>2.1509611053669317</c:v>
                </c:pt>
                <c:pt idx="2">
                  <c:v>2.1509611053669317</c:v>
                </c:pt>
                <c:pt idx="3">
                  <c:v>2.1509611053669317</c:v>
                </c:pt>
                <c:pt idx="4">
                  <c:v>2.1509611053669317</c:v>
                </c:pt>
                <c:pt idx="5">
                  <c:v>2.1509611053669317</c:v>
                </c:pt>
                <c:pt idx="6">
                  <c:v>2.1509611053669317</c:v>
                </c:pt>
                <c:pt idx="7">
                  <c:v>2.1509611053669317</c:v>
                </c:pt>
                <c:pt idx="8">
                  <c:v>2.1509611053669317</c:v>
                </c:pt>
                <c:pt idx="9">
                  <c:v>2.1509611053669317</c:v>
                </c:pt>
                <c:pt idx="10">
                  <c:v>2.1509611053669317</c:v>
                </c:pt>
                <c:pt idx="11">
                  <c:v>2.1509611053669317</c:v>
                </c:pt>
                <c:pt idx="12">
                  <c:v>2.1509611053669317</c:v>
                </c:pt>
                <c:pt idx="13">
                  <c:v>2.1509611053669317</c:v>
                </c:pt>
                <c:pt idx="14">
                  <c:v>2.1509611053669317</c:v>
                </c:pt>
                <c:pt idx="15">
                  <c:v>2.1509611053669317</c:v>
                </c:pt>
                <c:pt idx="16">
                  <c:v>2.1509611053669317</c:v>
                </c:pt>
                <c:pt idx="17">
                  <c:v>2.1509611053669317</c:v>
                </c:pt>
                <c:pt idx="18">
                  <c:v>2.1509611053669317</c:v>
                </c:pt>
                <c:pt idx="19">
                  <c:v>2.1509611053669317</c:v>
                </c:pt>
                <c:pt idx="20">
                  <c:v>2.1509611053669317</c:v>
                </c:pt>
                <c:pt idx="21">
                  <c:v>2.1509611053669317</c:v>
                </c:pt>
                <c:pt idx="22">
                  <c:v>2.1509611053669317</c:v>
                </c:pt>
                <c:pt idx="23">
                  <c:v>2.1509611053669317</c:v>
                </c:pt>
                <c:pt idx="24">
                  <c:v>2.1509611053669317</c:v>
                </c:pt>
                <c:pt idx="25">
                  <c:v>2.1509611053669317</c:v>
                </c:pt>
                <c:pt idx="26">
                  <c:v>2.1509611053669317</c:v>
                </c:pt>
                <c:pt idx="27">
                  <c:v>2.1509611053669317</c:v>
                </c:pt>
                <c:pt idx="28">
                  <c:v>2.1509611053669317</c:v>
                </c:pt>
                <c:pt idx="29">
                  <c:v>2.1509611053669317</c:v>
                </c:pt>
                <c:pt idx="30">
                  <c:v>2.1509611053669317</c:v>
                </c:pt>
                <c:pt idx="31">
                  <c:v>2.1509611053669317</c:v>
                </c:pt>
                <c:pt idx="32">
                  <c:v>2.1509611053669317</c:v>
                </c:pt>
                <c:pt idx="33">
                  <c:v>2.1509611053669317</c:v>
                </c:pt>
                <c:pt idx="34">
                  <c:v>2.1509611053669317</c:v>
                </c:pt>
                <c:pt idx="35">
                  <c:v>2.1509611053669317</c:v>
                </c:pt>
                <c:pt idx="36">
                  <c:v>2.1509611053669317</c:v>
                </c:pt>
                <c:pt idx="37">
                  <c:v>2.1509611053669317</c:v>
                </c:pt>
                <c:pt idx="38">
                  <c:v>2.1509611053669317</c:v>
                </c:pt>
                <c:pt idx="39">
                  <c:v>2.1509611053669317</c:v>
                </c:pt>
                <c:pt idx="40">
                  <c:v>2.1509611053669317</c:v>
                </c:pt>
                <c:pt idx="41">
                  <c:v>2.1509611053669317</c:v>
                </c:pt>
                <c:pt idx="42">
                  <c:v>2.1509611053669317</c:v>
                </c:pt>
                <c:pt idx="43">
                  <c:v>2.1509611053669317</c:v>
                </c:pt>
                <c:pt idx="44">
                  <c:v>2.1509611053669317</c:v>
                </c:pt>
                <c:pt idx="45">
                  <c:v>2.1509611053669317</c:v>
                </c:pt>
                <c:pt idx="46">
                  <c:v>2.1509611053669317</c:v>
                </c:pt>
                <c:pt idx="47">
                  <c:v>2.1509611053669317</c:v>
                </c:pt>
                <c:pt idx="48">
                  <c:v>2.1509611053669317</c:v>
                </c:pt>
                <c:pt idx="49">
                  <c:v>2.1509611053669317</c:v>
                </c:pt>
                <c:pt idx="50">
                  <c:v>2.1509611053669317</c:v>
                </c:pt>
                <c:pt idx="51">
                  <c:v>2.1509611053669317</c:v>
                </c:pt>
                <c:pt idx="52">
                  <c:v>2.1509611053669317</c:v>
                </c:pt>
                <c:pt idx="53">
                  <c:v>2.1509611053669317</c:v>
                </c:pt>
                <c:pt idx="54">
                  <c:v>2.1509611053669317</c:v>
                </c:pt>
                <c:pt idx="55">
                  <c:v>2.1509611053669317</c:v>
                </c:pt>
                <c:pt idx="56">
                  <c:v>2.1509611053669317</c:v>
                </c:pt>
                <c:pt idx="57">
                  <c:v>2.1509611053669317</c:v>
                </c:pt>
                <c:pt idx="58">
                  <c:v>2.1509611053669317</c:v>
                </c:pt>
                <c:pt idx="59">
                  <c:v>2.1509611053669317</c:v>
                </c:pt>
                <c:pt idx="60">
                  <c:v>2.1509611053669317</c:v>
                </c:pt>
                <c:pt idx="61">
                  <c:v>2.1509611053669317</c:v>
                </c:pt>
                <c:pt idx="62">
                  <c:v>2.1509611053669317</c:v>
                </c:pt>
                <c:pt idx="63">
                  <c:v>2.1509611053669317</c:v>
                </c:pt>
                <c:pt idx="64">
                  <c:v>2.1509611053669317</c:v>
                </c:pt>
                <c:pt idx="65">
                  <c:v>2.1509611053669317</c:v>
                </c:pt>
                <c:pt idx="66">
                  <c:v>2.1509611053669317</c:v>
                </c:pt>
                <c:pt idx="67">
                  <c:v>2.1509611053669317</c:v>
                </c:pt>
                <c:pt idx="68">
                  <c:v>2.1509611053669317</c:v>
                </c:pt>
                <c:pt idx="69">
                  <c:v>2.1509611053669317</c:v>
                </c:pt>
                <c:pt idx="70">
                  <c:v>2.1509611053669317</c:v>
                </c:pt>
                <c:pt idx="71">
                  <c:v>2.1509611053669317</c:v>
                </c:pt>
                <c:pt idx="72">
                  <c:v>2.1509611053669317</c:v>
                </c:pt>
                <c:pt idx="73">
                  <c:v>2.1509611053669317</c:v>
                </c:pt>
                <c:pt idx="74">
                  <c:v>2.1509611053669317</c:v>
                </c:pt>
                <c:pt idx="75">
                  <c:v>2.1509611053669317</c:v>
                </c:pt>
                <c:pt idx="76">
                  <c:v>2.1509611053669317</c:v>
                </c:pt>
                <c:pt idx="77">
                  <c:v>2.1509611053669317</c:v>
                </c:pt>
                <c:pt idx="78">
                  <c:v>2.1509611053669317</c:v>
                </c:pt>
                <c:pt idx="79">
                  <c:v>2.1509611053669317</c:v>
                </c:pt>
                <c:pt idx="80">
                  <c:v>2.1509611053669317</c:v>
                </c:pt>
                <c:pt idx="81">
                  <c:v>2.1509611053669317</c:v>
                </c:pt>
                <c:pt idx="82">
                  <c:v>2.1509611053669317</c:v>
                </c:pt>
              </c:numCache>
            </c:numRef>
          </c:yVal>
          <c:smooth val="1"/>
          <c:extLst>
            <c:ext xmlns:c16="http://schemas.microsoft.com/office/drawing/2014/chart" uri="{C3380CC4-5D6E-409C-BE32-E72D297353CC}">
              <c16:uniqueId val="{00000001-EC34-4C40-B998-3DB22CC78E2C}"/>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1921.5837087114464</c:v>
                </c:pt>
                <c:pt idx="39">
                  <c:v>6.499999999999007</c:v>
                </c:pt>
                <c:pt idx="40">
                  <c:v>3.2529106029008803</c:v>
                </c:pt>
                <c:pt idx="41">
                  <c:v>2.4982667258847973</c:v>
                </c:pt>
                <c:pt idx="42">
                  <c:v>2.1257309304031207</c:v>
                </c:pt>
                <c:pt idx="43">
                  <c:v>1.8960339956097945</c:v>
                </c:pt>
                <c:pt idx="44">
                  <c:v>1.7376131616797115</c:v>
                </c:pt>
                <c:pt idx="45">
                  <c:v>1.6206354136476369</c:v>
                </c:pt>
                <c:pt idx="46">
                  <c:v>1.5301841113520063</c:v>
                </c:pt>
                <c:pt idx="47">
                  <c:v>1.4578754741100259</c:v>
                </c:pt>
                <c:pt idx="48">
                  <c:v>1.3985939180008431</c:v>
                </c:pt>
                <c:pt idx="49">
                  <c:v>1.3490213172523273</c:v>
                </c:pt>
                <c:pt idx="50">
                  <c:v>1.3069011244615849</c:v>
                </c:pt>
                <c:pt idx="51">
                  <c:v>1.2706396576782892</c:v>
                </c:pt>
                <c:pt idx="52">
                  <c:v>1.2390760932765092</c:v>
                </c:pt>
                <c:pt idx="53">
                  <c:v>1.2113428740117067</c:v>
                </c:pt>
                <c:pt idx="54">
                  <c:v>1.1867773590313537</c:v>
                </c:pt>
                <c:pt idx="55">
                  <c:v>1.1648638953701158</c:v>
                </c:pt>
                <c:pt idx="56">
                  <c:v>1.1451946731274369</c:v>
                </c:pt>
                <c:pt idx="57">
                  <c:v>1.1274425752841599</c:v>
                </c:pt>
                <c:pt idx="58">
                  <c:v>1.1113419135083229</c:v>
                </c:pt>
                <c:pt idx="59">
                  <c:v>1.0966744827478272</c:v>
                </c:pt>
                <c:pt idx="60">
                  <c:v>1.0832592849365161</c:v>
                </c:pt>
                <c:pt idx="61">
                  <c:v>1.0709448350980926</c:v>
                </c:pt>
                <c:pt idx="62">
                  <c:v>1.0596033179556184</c:v>
                </c:pt>
                <c:pt idx="63">
                  <c:v>1.0491260922331147</c:v>
                </c:pt>
                <c:pt idx="64">
                  <c:v>1.0394201909627108</c:v>
                </c:pt>
                <c:pt idx="65">
                  <c:v>1.0304055677788071</c:v>
                </c:pt>
                <c:pt idx="66">
                  <c:v>1.022012908801389</c:v>
                </c:pt>
                <c:pt idx="67">
                  <c:v>1.0141818781648655</c:v>
                </c:pt>
                <c:pt idx="68">
                  <c:v>1.0068596994765564</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EC34-4C40-B998-3DB22CC78E2C}"/>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RTC!$C$31:$CG$31</c:f>
              <c:numCache>
                <c:formatCode>General</c:formatCode>
                <c:ptCount val="83"/>
                <c:pt idx="0">
                  <c:v>0.68571428571428572</c:v>
                </c:pt>
                <c:pt idx="1">
                  <c:v>0.68571428571428572</c:v>
                </c:pt>
                <c:pt idx="2">
                  <c:v>0.68571428571428572</c:v>
                </c:pt>
                <c:pt idx="3">
                  <c:v>0.68571428571428572</c:v>
                </c:pt>
                <c:pt idx="4">
                  <c:v>0.68571428571428572</c:v>
                </c:pt>
                <c:pt idx="5">
                  <c:v>0.68571428571428572</c:v>
                </c:pt>
                <c:pt idx="6">
                  <c:v>0.68571428571428572</c:v>
                </c:pt>
                <c:pt idx="7">
                  <c:v>0.68571428571428572</c:v>
                </c:pt>
                <c:pt idx="8">
                  <c:v>0.68571428571428572</c:v>
                </c:pt>
                <c:pt idx="9">
                  <c:v>0.68571428571428572</c:v>
                </c:pt>
                <c:pt idx="10">
                  <c:v>0.68571428571428572</c:v>
                </c:pt>
                <c:pt idx="11">
                  <c:v>0.68571428571428572</c:v>
                </c:pt>
                <c:pt idx="12">
                  <c:v>0.68571428571428572</c:v>
                </c:pt>
                <c:pt idx="13">
                  <c:v>0.68571428571428572</c:v>
                </c:pt>
                <c:pt idx="14">
                  <c:v>0.68571428571428572</c:v>
                </c:pt>
                <c:pt idx="15">
                  <c:v>0.68571428571428572</c:v>
                </c:pt>
                <c:pt idx="16">
                  <c:v>0.68571428571428572</c:v>
                </c:pt>
                <c:pt idx="17">
                  <c:v>0.68571428571428572</c:v>
                </c:pt>
                <c:pt idx="18">
                  <c:v>0.68571428571428572</c:v>
                </c:pt>
                <c:pt idx="19">
                  <c:v>0.68571428571428572</c:v>
                </c:pt>
                <c:pt idx="20">
                  <c:v>0.68571428571428572</c:v>
                </c:pt>
                <c:pt idx="21">
                  <c:v>0.68571428571428572</c:v>
                </c:pt>
                <c:pt idx="22">
                  <c:v>0.68571428571428572</c:v>
                </c:pt>
                <c:pt idx="23">
                  <c:v>0.68571428571428572</c:v>
                </c:pt>
                <c:pt idx="24">
                  <c:v>0.68571428571428572</c:v>
                </c:pt>
                <c:pt idx="25">
                  <c:v>0.68571428571428572</c:v>
                </c:pt>
                <c:pt idx="26">
                  <c:v>0.68571428571428572</c:v>
                </c:pt>
                <c:pt idx="27">
                  <c:v>0.68571428571428572</c:v>
                </c:pt>
                <c:pt idx="28">
                  <c:v>0.68571428571428572</c:v>
                </c:pt>
                <c:pt idx="29">
                  <c:v>0.68571428571428572</c:v>
                </c:pt>
                <c:pt idx="30">
                  <c:v>0.68571428571428572</c:v>
                </c:pt>
                <c:pt idx="31">
                  <c:v>0.68571428571428572</c:v>
                </c:pt>
                <c:pt idx="32">
                  <c:v>0.68571428571428572</c:v>
                </c:pt>
                <c:pt idx="33">
                  <c:v>0.68571428571428572</c:v>
                </c:pt>
                <c:pt idx="34">
                  <c:v>0.68571428571428572</c:v>
                </c:pt>
                <c:pt idx="35">
                  <c:v>0.68571428571428572</c:v>
                </c:pt>
                <c:pt idx="36">
                  <c:v>0.68571428571428572</c:v>
                </c:pt>
                <c:pt idx="37">
                  <c:v>0.68571428571428572</c:v>
                </c:pt>
                <c:pt idx="38">
                  <c:v>0.68571428571428572</c:v>
                </c:pt>
                <c:pt idx="39">
                  <c:v>0.68571428571428572</c:v>
                </c:pt>
                <c:pt idx="40">
                  <c:v>0.68571428571428572</c:v>
                </c:pt>
                <c:pt idx="41">
                  <c:v>0.68571428571428572</c:v>
                </c:pt>
                <c:pt idx="42">
                  <c:v>0.68571428571428572</c:v>
                </c:pt>
                <c:pt idx="43">
                  <c:v>0.68571428571428572</c:v>
                </c:pt>
                <c:pt idx="44">
                  <c:v>0.68571428571428572</c:v>
                </c:pt>
                <c:pt idx="45">
                  <c:v>0.68571428571428572</c:v>
                </c:pt>
                <c:pt idx="46">
                  <c:v>0.68571428571428572</c:v>
                </c:pt>
                <c:pt idx="47">
                  <c:v>0.68571428571428572</c:v>
                </c:pt>
                <c:pt idx="48">
                  <c:v>0.68571428571428572</c:v>
                </c:pt>
                <c:pt idx="49">
                  <c:v>0.68571428571428572</c:v>
                </c:pt>
                <c:pt idx="50">
                  <c:v>0.68571428571428572</c:v>
                </c:pt>
                <c:pt idx="51">
                  <c:v>0.68571428571428572</c:v>
                </c:pt>
                <c:pt idx="52">
                  <c:v>0.68571428571428572</c:v>
                </c:pt>
                <c:pt idx="53">
                  <c:v>0.68571428571428572</c:v>
                </c:pt>
                <c:pt idx="54">
                  <c:v>0.68571428571428572</c:v>
                </c:pt>
                <c:pt idx="55">
                  <c:v>0.68571428571428572</c:v>
                </c:pt>
                <c:pt idx="56">
                  <c:v>0.68571428571428572</c:v>
                </c:pt>
                <c:pt idx="57">
                  <c:v>0.68571428571428572</c:v>
                </c:pt>
                <c:pt idx="58">
                  <c:v>0.68571428571428572</c:v>
                </c:pt>
                <c:pt idx="59">
                  <c:v>0.68571428571428572</c:v>
                </c:pt>
                <c:pt idx="60">
                  <c:v>0.68571428571428572</c:v>
                </c:pt>
                <c:pt idx="61">
                  <c:v>0.68571428571428572</c:v>
                </c:pt>
                <c:pt idx="62">
                  <c:v>0.68571428571428572</c:v>
                </c:pt>
                <c:pt idx="63">
                  <c:v>0.68571428571428572</c:v>
                </c:pt>
                <c:pt idx="64">
                  <c:v>0.68571428571428572</c:v>
                </c:pt>
                <c:pt idx="65">
                  <c:v>0.68571428571428572</c:v>
                </c:pt>
                <c:pt idx="66">
                  <c:v>0.68571428571428572</c:v>
                </c:pt>
                <c:pt idx="67">
                  <c:v>0.68571428571428572</c:v>
                </c:pt>
                <c:pt idx="68">
                  <c:v>0.68571428571428572</c:v>
                </c:pt>
                <c:pt idx="69">
                  <c:v>0.68571428571428572</c:v>
                </c:pt>
                <c:pt idx="70">
                  <c:v>0.68571428571428572</c:v>
                </c:pt>
                <c:pt idx="71">
                  <c:v>0.68571428571428572</c:v>
                </c:pt>
                <c:pt idx="72">
                  <c:v>0.68571428571428572</c:v>
                </c:pt>
                <c:pt idx="73">
                  <c:v>0.68571428571428572</c:v>
                </c:pt>
                <c:pt idx="74">
                  <c:v>0.68571428571428572</c:v>
                </c:pt>
                <c:pt idx="75">
                  <c:v>0.68571428571428572</c:v>
                </c:pt>
                <c:pt idx="76">
                  <c:v>0.68571428571428572</c:v>
                </c:pt>
                <c:pt idx="77">
                  <c:v>0.68571428571428572</c:v>
                </c:pt>
                <c:pt idx="78">
                  <c:v>0.68571428571428572</c:v>
                </c:pt>
                <c:pt idx="79">
                  <c:v>0.68571428571428572</c:v>
                </c:pt>
                <c:pt idx="80">
                  <c:v>0.68571428571428572</c:v>
                </c:pt>
                <c:pt idx="81">
                  <c:v>0.68571428571428572</c:v>
                </c:pt>
                <c:pt idx="82">
                  <c:v>0.68571428571428572</c:v>
                </c:pt>
              </c:numCache>
            </c:numRef>
          </c:yVal>
          <c:smooth val="1"/>
          <c:extLst>
            <c:ext xmlns:c16="http://schemas.microsoft.com/office/drawing/2014/chart" uri="{C3380CC4-5D6E-409C-BE32-E72D297353CC}">
              <c16:uniqueId val="{00000003-EC34-4C40-B998-3DB22CC78E2C}"/>
            </c:ext>
          </c:extLst>
        </c:ser>
        <c:ser>
          <c:idx val="4"/>
          <c:order val="4"/>
          <c:tx>
            <c:strRef>
              <c:f>RTC!$B$108</c:f>
              <c:strCache>
                <c:ptCount val="1"/>
                <c:pt idx="0">
                  <c:v>M(fn,100% Po,π/4)</c:v>
                </c:pt>
              </c:strCache>
            </c:strRef>
          </c:tx>
          <c:spPr>
            <a:ln w="19080" cap="rnd">
              <a:solidFill>
                <a:srgbClr val="275317"/>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RTC!$C$108:$CG$108</c:f>
              <c:numCache>
                <c:formatCode>General</c:formatCode>
                <c:ptCount val="83"/>
                <c:pt idx="0">
                  <c:v>2.1818182479920704E-8</c:v>
                </c:pt>
                <c:pt idx="1">
                  <c:v>1.2885285829841006E-3</c:v>
                </c:pt>
                <c:pt idx="2">
                  <c:v>3.2950119481721194E-3</c:v>
                </c:pt>
                <c:pt idx="3">
                  <c:v>6.2440144033623097E-3</c:v>
                </c:pt>
                <c:pt idx="4">
                  <c:v>1.0158553191859945E-2</c:v>
                </c:pt>
                <c:pt idx="5">
                  <c:v>1.5069602622699301E-2</c:v>
                </c:pt>
                <c:pt idx="6">
                  <c:v>2.1016704876682134E-2</c:v>
                </c:pt>
                <c:pt idx="7">
                  <c:v>2.8048768388947723E-2</c:v>
                </c:pt>
                <c:pt idx="8">
                  <c:v>3.6225083729408088E-2</c:v>
                </c:pt>
                <c:pt idx="9">
                  <c:v>4.5616596356075428E-2</c:v>
                </c:pt>
                <c:pt idx="10">
                  <c:v>5.6307487501055131E-2</c:v>
                </c:pt>
                <c:pt idx="11">
                  <c:v>6.83971296301875E-2</c:v>
                </c:pt>
                <c:pt idx="12">
                  <c:v>8.2002502564154742E-2</c:v>
                </c:pt>
                <c:pt idx="13">
                  <c:v>9.7261182059277002E-2</c:v>
                </c:pt>
                <c:pt idx="14">
                  <c:v>0.11433504662530793</c:v>
                </c:pt>
                <c:pt idx="15">
                  <c:v>0.13341489367348136</c:v>
                </c:pt>
                <c:pt idx="16">
                  <c:v>0.15472621704054584</c:v>
                </c:pt>
                <c:pt idx="17">
                  <c:v>0.17853648058534624</c:v>
                </c:pt>
                <c:pt idx="18">
                  <c:v>0.20516433548851423</c:v>
                </c:pt>
                <c:pt idx="19">
                  <c:v>0.23499138428974772</c:v>
                </c:pt>
                <c:pt idx="20">
                  <c:v>0.26847730985236462</c:v>
                </c:pt>
                <c:pt idx="21">
                  <c:v>0.30617948669159406</c:v>
                </c:pt>
                <c:pt idx="22">
                  <c:v>0.34877860915110864</c:v>
                </c:pt>
                <c:pt idx="23">
                  <c:v>0.39711245078414564</c:v>
                </c:pt>
                <c:pt idx="24">
                  <c:v>0.45222066752110879</c:v>
                </c:pt>
                <c:pt idx="25">
                  <c:v>0.51540462938092035</c:v>
                </c:pt>
                <c:pt idx="26">
                  <c:v>0.58830762840615813</c:v>
                </c:pt>
                <c:pt idx="27">
                  <c:v>0.67302232488870162</c:v>
                </c:pt>
                <c:pt idx="28">
                  <c:v>0.77223333712321429</c:v>
                </c:pt>
                <c:pt idx="29">
                  <c:v>0.88940146434470002</c:v>
                </c:pt>
                <c:pt idx="30">
                  <c:v>1.0289864824494521</c:v>
                </c:pt>
                <c:pt idx="31">
                  <c:v>1.1966724314094623</c:v>
                </c:pt>
                <c:pt idx="32">
                  <c:v>1.3994632574174968</c:v>
                </c:pt>
                <c:pt idx="33">
                  <c:v>1.6452628496952006</c:v>
                </c:pt>
                <c:pt idx="34">
                  <c:v>1.9409529095430136</c:v>
                </c:pt>
                <c:pt idx="35">
                  <c:v>2.286856711332343</c:v>
                </c:pt>
                <c:pt idx="36">
                  <c:v>2.664689739148864</c:v>
                </c:pt>
                <c:pt idx="37">
                  <c:v>3.0210297534050943</c:v>
                </c:pt>
                <c:pt idx="38">
                  <c:v>3.2681466330811526</c:v>
                </c:pt>
                <c:pt idx="39">
                  <c:v>3.3110252196145522</c:v>
                </c:pt>
                <c:pt idx="40">
                  <c:v>3.3156909367168934</c:v>
                </c:pt>
                <c:pt idx="41">
                  <c:v>3.165485129035889</c:v>
                </c:pt>
                <c:pt idx="42">
                  <c:v>2.9379147301897302</c:v>
                </c:pt>
                <c:pt idx="43">
                  <c:v>2.6956469422014004</c:v>
                </c:pt>
                <c:pt idx="44">
                  <c:v>2.4705166769883413</c:v>
                </c:pt>
                <c:pt idx="45">
                  <c:v>2.2731978578150067</c:v>
                </c:pt>
                <c:pt idx="46">
                  <c:v>2.1043137440172504</c:v>
                </c:pt>
                <c:pt idx="47">
                  <c:v>1.9607997258777867</c:v>
                </c:pt>
                <c:pt idx="48">
                  <c:v>1.8387414801727384</c:v>
                </c:pt>
                <c:pt idx="49">
                  <c:v>1.7344475901781762</c:v>
                </c:pt>
                <c:pt idx="50">
                  <c:v>1.6447671953798582</c:v>
                </c:pt>
                <c:pt idx="51">
                  <c:v>1.5671176092543677</c:v>
                </c:pt>
                <c:pt idx="52">
                  <c:v>1.4994159312519777</c:v>
                </c:pt>
                <c:pt idx="53">
                  <c:v>1.4399901776491046</c:v>
                </c:pt>
                <c:pt idx="54">
                  <c:v>1.3874966034904137</c:v>
                </c:pt>
                <c:pt idx="55">
                  <c:v>1.3408506390314692</c:v>
                </c:pt>
                <c:pt idx="56">
                  <c:v>1.2991717638123261</c:v>
                </c:pt>
                <c:pt idx="57">
                  <c:v>1.2617403838170929</c:v>
                </c:pt>
                <c:pt idx="58">
                  <c:v>1.2279643637936826</c:v>
                </c:pt>
                <c:pt idx="59">
                  <c:v>1.1973530893088902</c:v>
                </c:pt>
                <c:pt idx="60">
                  <c:v>1.1694973196907215</c:v>
                </c:pt>
                <c:pt idx="61">
                  <c:v>1.1440534718277999</c:v>
                </c:pt>
                <c:pt idx="62">
                  <c:v>1.1207312935183062</c:v>
                </c:pt>
                <c:pt idx="63">
                  <c:v>1.0992841366401696</c:v>
                </c:pt>
                <c:pt idx="64">
                  <c:v>1.0795012330280616</c:v>
                </c:pt>
                <c:pt idx="65">
                  <c:v>1.0612015212514392</c:v>
                </c:pt>
                <c:pt idx="66">
                  <c:v>1.0442286814174895</c:v>
                </c:pt>
                <c:pt idx="67">
                  <c:v>1.028447116660097</c:v>
                </c:pt>
                <c:pt idx="68">
                  <c:v>1.0137386810967635</c:v>
                </c:pt>
                <c:pt idx="69">
                  <c:v>1</c:v>
                </c:pt>
                <c:pt idx="70">
                  <c:v>0.9259862501827153</c:v>
                </c:pt>
                <c:pt idx="71">
                  <c:v>0.87515050886117685</c:v>
                </c:pt>
                <c:pt idx="72">
                  <c:v>0.83806761170528898</c:v>
                </c:pt>
                <c:pt idx="73">
                  <c:v>0.80972746125639039</c:v>
                </c:pt>
                <c:pt idx="74">
                  <c:v>0.78723671009002483</c:v>
                </c:pt>
                <c:pt idx="75">
                  <c:v>0.76881622259455229</c:v>
                </c:pt>
                <c:pt idx="76">
                  <c:v>0.75331704608022088</c:v>
                </c:pt>
                <c:pt idx="77">
                  <c:v>0.73996753261833481</c:v>
                </c:pt>
                <c:pt idx="78">
                  <c:v>0.72823262046716475</c:v>
                </c:pt>
                <c:pt idx="79">
                  <c:v>0.71773138144407611</c:v>
                </c:pt>
                <c:pt idx="80">
                  <c:v>0.70818658508753285</c:v>
                </c:pt>
                <c:pt idx="81">
                  <c:v>0.69939270288926503</c:v>
                </c:pt>
                <c:pt idx="82">
                  <c:v>0.69119496620994025</c:v>
                </c:pt>
              </c:numCache>
            </c:numRef>
          </c:yVal>
          <c:smooth val="1"/>
          <c:extLst>
            <c:ext xmlns:c16="http://schemas.microsoft.com/office/drawing/2014/chart" uri="{C3380CC4-5D6E-409C-BE32-E72D297353CC}">
              <c16:uniqueId val="{00000004-EC34-4C40-B998-3DB22CC78E2C}"/>
            </c:ext>
          </c:extLst>
        </c:ser>
        <c:ser>
          <c:idx val="5"/>
          <c:order val="5"/>
          <c:tx>
            <c:strRef>
              <c:f>RTC!$B$109</c:f>
              <c:strCache>
                <c:ptCount val="1"/>
                <c:pt idx="0">
                  <c:v>M(fn,75% Po,π/4)</c:v>
                </c:pt>
              </c:strCache>
            </c:strRef>
          </c:tx>
          <c:spPr>
            <a:ln w="19080" cap="rnd">
              <a:solidFill>
                <a:srgbClr val="3A7D2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RTC!$C$109:$CG$109</c:f>
              <c:numCache>
                <c:formatCode>General</c:formatCode>
                <c:ptCount val="83"/>
                <c:pt idx="0">
                  <c:v>2.1818182494128961E-8</c:v>
                </c:pt>
                <c:pt idx="1">
                  <c:v>1.288578171574027E-3</c:v>
                </c:pt>
                <c:pt idx="2">
                  <c:v>3.2953365564165381E-3</c:v>
                </c:pt>
                <c:pt idx="3">
                  <c:v>6.2451818527583169E-3</c:v>
                </c:pt>
                <c:pt idx="4">
                  <c:v>1.0161649593314151E-2</c:v>
                </c:pt>
                <c:pt idx="5">
                  <c:v>1.5076433975065679E-2</c:v>
                </c:pt>
                <c:pt idx="6">
                  <c:v>2.1030033274098695E-2</c:v>
                </c:pt>
                <c:pt idx="7">
                  <c:v>2.8072595420429815E-2</c:v>
                </c:pt>
                <c:pt idx="8">
                  <c:v>3.6264996999625973E-2</c:v>
                </c:pt>
                <c:pt idx="9">
                  <c:v>4.5680199715147266E-2</c:v>
                </c:pt>
                <c:pt idx="10">
                  <c:v>5.640494203549281E-2</c:v>
                </c:pt>
                <c:pt idx="11">
                  <c:v>6.854184145450834E-2</c:v>
                </c:pt>
                <c:pt idx="12">
                  <c:v>8.2212006016100361E-2</c:v>
                </c:pt>
                <c:pt idx="13">
                  <c:v>9.7558284599454398E-2</c:v>
                </c:pt>
                <c:pt idx="14">
                  <c:v>0.11474932690509751</c:v>
                </c:pt>
                <c:pt idx="15">
                  <c:v>0.13398468039047992</c:v>
                </c:pt>
                <c:pt idx="16">
                  <c:v>0.15550122875600239</c:v>
                </c:pt>
                <c:pt idx="17">
                  <c:v>0.17958138403859605</c:v>
                </c:pt>
                <c:pt idx="18">
                  <c:v>0.20656359537070312</c:v>
                </c:pt>
                <c:pt idx="19">
                  <c:v>0.23685595218794511</c:v>
                </c:pt>
                <c:pt idx="20">
                  <c:v>0.27095396878595501</c:v>
                </c:pt>
                <c:pt idx="21">
                  <c:v>0.30946408779780116</c:v>
                </c:pt>
                <c:pt idx="22">
                  <c:v>0.35313510574261586</c:v>
                </c:pt>
                <c:pt idx="23">
                  <c:v>0.40290071951848322</c:v>
                </c:pt>
                <c:pt idx="24">
                  <c:v>0.45993790091907139</c:v>
                </c:pt>
                <c:pt idx="25">
                  <c:v>0.52574811603441041</c:v>
                </c:pt>
                <c:pt idx="26">
                  <c:v>0.60227197223209405</c:v>
                </c:pt>
                <c:pt idx="27">
                  <c:v>0.69205339033255242</c:v>
                </c:pt>
                <c:pt idx="28">
                  <c:v>0.79847783432444808</c:v>
                </c:pt>
                <c:pt idx="29">
                  <c:v>0.92612151818432153</c:v>
                </c:pt>
                <c:pt idx="30">
                  <c:v>1.0812646200199973</c:v>
                </c:pt>
                <c:pt idx="31">
                  <c:v>1.2726343216532146</c:v>
                </c:pt>
                <c:pt idx="32">
                  <c:v>1.5124180898398729</c:v>
                </c:pt>
                <c:pt idx="33">
                  <c:v>1.8173855912326224</c:v>
                </c:pt>
                <c:pt idx="34">
                  <c:v>2.2090801713925834</c:v>
                </c:pt>
                <c:pt idx="35">
                  <c:v>2.7089090039799784</c:v>
                </c:pt>
                <c:pt idx="36">
                  <c:v>3.3153045546675202</c:v>
                </c:pt>
                <c:pt idx="37">
                  <c:v>3.9416922154280147</c:v>
                </c:pt>
                <c:pt idx="38">
                  <c:v>4.357523942376635</c:v>
                </c:pt>
                <c:pt idx="39">
                  <c:v>4.4041940885742372</c:v>
                </c:pt>
                <c:pt idx="40">
                  <c:v>4.2612033432527046</c:v>
                </c:pt>
                <c:pt idx="41">
                  <c:v>3.8527942441394005</c:v>
                </c:pt>
                <c:pt idx="42">
                  <c:v>3.3982236476184218</c:v>
                </c:pt>
                <c:pt idx="43">
                  <c:v>2.9979567124083721</c:v>
                </c:pt>
                <c:pt idx="44">
                  <c:v>2.6711570417583141</c:v>
                </c:pt>
                <c:pt idx="45">
                  <c:v>2.4092786879197372</c:v>
                </c:pt>
                <c:pt idx="46">
                  <c:v>2.1988449901644733</c:v>
                </c:pt>
                <c:pt idx="47">
                  <c:v>2.0279628274312711</c:v>
                </c:pt>
                <c:pt idx="48">
                  <c:v>1.8874111529356545</c:v>
                </c:pt>
                <c:pt idx="49">
                  <c:v>1.7703076368044173</c:v>
                </c:pt>
                <c:pt idx="50">
                  <c:v>1.671550850643214</c:v>
                </c:pt>
                <c:pt idx="51">
                  <c:v>1.5873385715548483</c:v>
                </c:pt>
                <c:pt idx="52">
                  <c:v>1.5148067641068692</c:v>
                </c:pt>
                <c:pt idx="53">
                  <c:v>1.4517710548787346</c:v>
                </c:pt>
                <c:pt idx="54">
                  <c:v>1.396543915521502</c:v>
                </c:pt>
                <c:pt idx="55">
                  <c:v>1.3478052167776442</c:v>
                </c:pt>
                <c:pt idx="56">
                  <c:v>1.3045098739697338</c:v>
                </c:pt>
                <c:pt idx="57">
                  <c:v>1.2658212630462244</c:v>
                </c:pt>
                <c:pt idx="58">
                  <c:v>1.2310626548488726</c:v>
                </c:pt>
                <c:pt idx="59">
                  <c:v>1.1996813670832631</c:v>
                </c:pt>
                <c:pt idx="60">
                  <c:v>1.1712219910308832</c:v>
                </c:pt>
                <c:pt idx="61">
                  <c:v>1.1453061677974472</c:v>
                </c:pt>
                <c:pt idx="62">
                  <c:v>1.1216171458202568</c:v>
                </c:pt>
                <c:pt idx="63">
                  <c:v>1.099887867894062</c:v>
                </c:pt>
                <c:pt idx="64">
                  <c:v>1.0798916918159434</c:v>
                </c:pt>
                <c:pt idx="65">
                  <c:v>1.0614350964231427</c:v>
                </c:pt>
                <c:pt idx="66">
                  <c:v>1.044351899017198</c:v>
                </c:pt>
                <c:pt idx="67">
                  <c:v>1.0284986340178952</c:v>
                </c:pt>
                <c:pt idx="68">
                  <c:v>1.0137508316491879</c:v>
                </c:pt>
                <c:pt idx="69">
                  <c:v>1</c:v>
                </c:pt>
                <c:pt idx="70">
                  <c:v>0.92637522637472969</c:v>
                </c:pt>
                <c:pt idx="71">
                  <c:v>0.87636429979908725</c:v>
                </c:pt>
                <c:pt idx="72">
                  <c:v>0.84030653357038576</c:v>
                </c:pt>
                <c:pt idx="73">
                  <c:v>0.8131067261316709</c:v>
                </c:pt>
                <c:pt idx="74">
                  <c:v>0.79183579693340045</c:v>
                </c:pt>
                <c:pt idx="75">
                  <c:v>0.77469725207046947</c:v>
                </c:pt>
                <c:pt idx="76">
                  <c:v>0.76053224006517439</c:v>
                </c:pt>
                <c:pt idx="77">
                  <c:v>0.7485624272603979</c:v>
                </c:pt>
                <c:pt idx="78">
                  <c:v>0.73824750526586647</c:v>
                </c:pt>
                <c:pt idx="79">
                  <c:v>0.72920196164554796</c:v>
                </c:pt>
                <c:pt idx="80">
                  <c:v>0.72114429664412516</c:v>
                </c:pt>
                <c:pt idx="81">
                  <c:v>0.71386487398730347</c:v>
                </c:pt>
                <c:pt idx="82">
                  <c:v>0.70720491604949265</c:v>
                </c:pt>
              </c:numCache>
            </c:numRef>
          </c:yVal>
          <c:smooth val="1"/>
          <c:extLst>
            <c:ext xmlns:c16="http://schemas.microsoft.com/office/drawing/2014/chart" uri="{C3380CC4-5D6E-409C-BE32-E72D297353CC}">
              <c16:uniqueId val="{00000005-EC34-4C40-B998-3DB22CC78E2C}"/>
            </c:ext>
          </c:extLst>
        </c:ser>
        <c:ser>
          <c:idx val="6"/>
          <c:order val="6"/>
          <c:tx>
            <c:strRef>
              <c:f>RTC!$B$110</c:f>
              <c:strCache>
                <c:ptCount val="1"/>
                <c:pt idx="0">
                  <c:v>M(fn,50% Po,π/4)</c:v>
                </c:pt>
              </c:strCache>
            </c:strRef>
          </c:tx>
          <c:spPr>
            <a:ln w="19080" cap="rnd">
              <a:solidFill>
                <a:srgbClr val="8ED97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RTC!$C$110:$CG$110</c:f>
              <c:numCache>
                <c:formatCode>General</c:formatCode>
                <c:ptCount val="83"/>
                <c:pt idx="0">
                  <c:v>2.1818182504277716E-8</c:v>
                </c:pt>
                <c:pt idx="1">
                  <c:v>1.2886135955008332E-3</c:v>
                </c:pt>
                <c:pt idx="2">
                  <c:v>3.2955684781936466E-3</c:v>
                </c:pt>
                <c:pt idx="3">
                  <c:v>6.2460161462191653E-3</c:v>
                </c:pt>
                <c:pt idx="4">
                  <c:v>1.0163863042965088E-2</c:v>
                </c:pt>
                <c:pt idx="5">
                  <c:v>1.5081319204381372E-2</c:v>
                </c:pt>
                <c:pt idx="6">
                  <c:v>2.1039569098202388E-2</c:v>
                </c:pt>
                <c:pt idx="7">
                  <c:v>2.8089651953662267E-2</c:v>
                </c:pt>
                <c:pt idx="8">
                  <c:v>3.6293587388214997E-2</c:v>
                </c:pt>
                <c:pt idx="9">
                  <c:v>4.5725793918706494E-2</c:v>
                </c:pt>
                <c:pt idx="10">
                  <c:v>5.647486303862221E-2</c:v>
                </c:pt>
                <c:pt idx="11">
                  <c:v>6.8645771225195648E-2</c:v>
                </c:pt>
                <c:pt idx="12">
                  <c:v>8.2362638290634962E-2</c:v>
                </c:pt>
                <c:pt idx="13">
                  <c:v>9.777217543465197E-2</c:v>
                </c:pt>
                <c:pt idx="14">
                  <c:v>0.11504801381981522</c:v>
                </c:pt>
                <c:pt idx="15">
                  <c:v>0.1343961697659459</c:v>
                </c:pt>
                <c:pt idx="16">
                  <c:v>0.15606199356055589</c:v>
                </c:pt>
                <c:pt idx="17">
                  <c:v>0.18033907712619268</c:v>
                </c:pt>
                <c:pt idx="18">
                  <c:v>0.20758077920643064</c:v>
                </c:pt>
                <c:pt idx="19">
                  <c:v>0.23821529291505833</c:v>
                </c:pt>
                <c:pt idx="20">
                  <c:v>0.27276557284516439</c:v>
                </c:pt>
                <c:pt idx="21">
                  <c:v>0.3118760270307826</c:v>
                </c:pt>
                <c:pt idx="22">
                  <c:v>0.35634877663150372</c:v>
                </c:pt>
                <c:pt idx="23">
                  <c:v>0.40719368317894933</c:v>
                </c:pt>
                <c:pt idx="24">
                  <c:v>0.46569856393000625</c:v>
                </c:pt>
                <c:pt idx="25">
                  <c:v>0.53352962776885804</c:v>
                </c:pt>
                <c:pt idx="26">
                  <c:v>0.61287818547722495</c:v>
                </c:pt>
                <c:pt idx="27">
                  <c:v>0.70667999489874977</c:v>
                </c:pt>
                <c:pt idx="28">
                  <c:v>0.81895174017762684</c:v>
                </c:pt>
                <c:pt idx="29">
                  <c:v>0.95532197886781722</c:v>
                </c:pt>
                <c:pt idx="30">
                  <c:v>1.1238949075668698</c:v>
                </c:pt>
                <c:pt idx="31">
                  <c:v>1.336700784700356</c:v>
                </c:pt>
                <c:pt idx="32">
                  <c:v>1.6122041821848843</c:v>
                </c:pt>
                <c:pt idx="33">
                  <c:v>1.9797167331940804</c:v>
                </c:pt>
                <c:pt idx="34">
                  <c:v>2.4869471935964955</c:v>
                </c:pt>
                <c:pt idx="35">
                  <c:v>3.2103200546599169</c:v>
                </c:pt>
                <c:pt idx="36">
                  <c:v>4.2496371420859811</c:v>
                </c:pt>
                <c:pt idx="37">
                  <c:v>5.5838781280519632</c:v>
                </c:pt>
                <c:pt idx="38">
                  <c:v>6.5362649062806746</c:v>
                </c:pt>
                <c:pt idx="39">
                  <c:v>6.56187709048654</c:v>
                </c:pt>
                <c:pt idx="40">
                  <c:v>5.8283032893166347</c:v>
                </c:pt>
                <c:pt idx="41">
                  <c:v>4.7563696098705019</c:v>
                </c:pt>
                <c:pt idx="42">
                  <c:v>3.9015255964034536</c:v>
                </c:pt>
                <c:pt idx="43">
                  <c:v>3.2890887050132047</c:v>
                </c:pt>
                <c:pt idx="44">
                  <c:v>2.8486465633840918</c:v>
                </c:pt>
                <c:pt idx="45">
                  <c:v>2.5229481085899601</c:v>
                </c:pt>
                <c:pt idx="46">
                  <c:v>2.274741534759305</c:v>
                </c:pt>
                <c:pt idx="47">
                  <c:v>2.0803949878791861</c:v>
                </c:pt>
                <c:pt idx="48">
                  <c:v>1.9246409174621322</c:v>
                </c:pt>
                <c:pt idx="49">
                  <c:v>1.7973280730835068</c:v>
                </c:pt>
                <c:pt idx="50">
                  <c:v>1.6915035214697591</c:v>
                </c:pt>
                <c:pt idx="51">
                  <c:v>1.6022709678425973</c:v>
                </c:pt>
                <c:pt idx="52">
                  <c:v>1.5260949961030321</c:v>
                </c:pt>
                <c:pt idx="53">
                  <c:v>1.4603652308008392</c:v>
                </c:pt>
                <c:pt idx="54">
                  <c:v>1.4031157251568276</c:v>
                </c:pt>
                <c:pt idx="55">
                  <c:v>1.3528395535321116</c:v>
                </c:pt>
                <c:pt idx="56">
                  <c:v>1.3083633497339899</c:v>
                </c:pt>
                <c:pt idx="57">
                  <c:v>1.2687605397323707</c:v>
                </c:pt>
                <c:pt idx="58">
                  <c:v>1.2332901336794484</c:v>
                </c:pt>
                <c:pt idx="59">
                  <c:v>1.2013527629548135</c:v>
                </c:pt>
                <c:pt idx="60">
                  <c:v>1.1724585811910933</c:v>
                </c:pt>
                <c:pt idx="61">
                  <c:v>1.1462034742108889</c:v>
                </c:pt>
                <c:pt idx="62">
                  <c:v>1.1222511850942101</c:v>
                </c:pt>
                <c:pt idx="63">
                  <c:v>1.1003197140231982</c:v>
                </c:pt>
                <c:pt idx="64">
                  <c:v>1.0801708504954202</c:v>
                </c:pt>
                <c:pt idx="65">
                  <c:v>1.0616020302914293</c:v>
                </c:pt>
                <c:pt idx="66">
                  <c:v>1.0444399382984499</c:v>
                </c:pt>
                <c:pt idx="67">
                  <c:v>1.0285354368708968</c:v>
                </c:pt>
                <c:pt idx="68">
                  <c:v>1.0137595108827029</c:v>
                </c:pt>
                <c:pt idx="69">
                  <c:v>1</c:v>
                </c:pt>
                <c:pt idx="70">
                  <c:v>0.92665336681927202</c:v>
                </c:pt>
                <c:pt idx="71">
                  <c:v>0.87723439196059105</c:v>
                </c:pt>
                <c:pt idx="72">
                  <c:v>0.8419167945280317</c:v>
                </c:pt>
                <c:pt idx="73">
                  <c:v>0.81554655568301382</c:v>
                </c:pt>
                <c:pt idx="74">
                  <c:v>0.79517065201017434</c:v>
                </c:pt>
                <c:pt idx="75">
                  <c:v>0.77898159085307739</c:v>
                </c:pt>
                <c:pt idx="76">
                  <c:v>0.7658147608597462</c:v>
                </c:pt>
                <c:pt idx="77">
                  <c:v>0.75488830753491964</c:v>
                </c:pt>
                <c:pt idx="78">
                  <c:v>0.74565938166910939</c:v>
                </c:pt>
                <c:pt idx="79">
                  <c:v>0.73774035279165173</c:v>
                </c:pt>
                <c:pt idx="80">
                  <c:v>0.73084777111781829</c:v>
                </c:pt>
                <c:pt idx="81">
                  <c:v>0.72477010086468752</c:v>
                </c:pt>
                <c:pt idx="82">
                  <c:v>0.71934666275294945</c:v>
                </c:pt>
              </c:numCache>
            </c:numRef>
          </c:yVal>
          <c:smooth val="1"/>
          <c:extLst>
            <c:ext xmlns:c16="http://schemas.microsoft.com/office/drawing/2014/chart" uri="{C3380CC4-5D6E-409C-BE32-E72D297353CC}">
              <c16:uniqueId val="{00000006-EC34-4C40-B998-3DB22CC78E2C}"/>
            </c:ext>
          </c:extLst>
        </c:ser>
        <c:ser>
          <c:idx val="7"/>
          <c:order val="7"/>
          <c:tx>
            <c:strRef>
              <c:f>RTC!$B$111</c:f>
              <c:strCache>
                <c:ptCount val="1"/>
                <c:pt idx="0">
                  <c:v>M(fn,25% Po,π/4)</c:v>
                </c:pt>
              </c:strCache>
            </c:strRef>
          </c:tx>
          <c:spPr>
            <a:ln w="19080" cap="rnd">
              <a:solidFill>
                <a:srgbClr val="B4E5A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RTC!$C$111:$CG$111</c:f>
              <c:numCache>
                <c:formatCode>General</c:formatCode>
                <c:ptCount val="83"/>
                <c:pt idx="0">
                  <c:v>2.1818182510366966E-8</c:v>
                </c:pt>
                <c:pt idx="1">
                  <c:v>1.2886348512592819E-3</c:v>
                </c:pt>
                <c:pt idx="2">
                  <c:v>3.2957076547663338E-3</c:v>
                </c:pt>
                <c:pt idx="3">
                  <c:v>6.2465168828168913E-3</c:v>
                </c:pt>
                <c:pt idx="4">
                  <c:v>1.0165191807242017E-2</c:v>
                </c:pt>
                <c:pt idx="5">
                  <c:v>1.5084252622425465E-2</c:v>
                </c:pt>
                <c:pt idx="6">
                  <c:v>2.1045296822859667E-2</c:v>
                </c:pt>
                <c:pt idx="7">
                  <c:v>2.8099900808883832E-2</c:v>
                </c:pt>
                <c:pt idx="8">
                  <c:v>3.6310774113015254E-2</c:v>
                </c:pt>
                <c:pt idx="9">
                  <c:v>4.5753216060223069E-2</c:v>
                </c:pt>
                <c:pt idx="10">
                  <c:v>5.651694066037502E-2</c:v>
                </c:pt>
                <c:pt idx="11">
                  <c:v>6.8708356474590837E-2</c:v>
                </c:pt>
                <c:pt idx="12">
                  <c:v>8.245341606112816E-2</c:v>
                </c:pt>
                <c:pt idx="13">
                  <c:v>9.7901187193779174E-2</c:v>
                </c:pt>
                <c:pt idx="14">
                  <c:v>0.11522834942108219</c:v>
                </c:pt>
                <c:pt idx="15">
                  <c:v>0.13464489067808946</c:v>
                </c:pt>
                <c:pt idx="16">
                  <c:v>0.15640137850524516</c:v>
                </c:pt>
                <c:pt idx="17">
                  <c:v>0.18079832252130565</c:v>
                </c:pt>
                <c:pt idx="18">
                  <c:v>0.2081983500445049</c:v>
                </c:pt>
                <c:pt idx="19">
                  <c:v>0.23904221799806005</c:v>
                </c:pt>
                <c:pt idx="20">
                  <c:v>0.2738701340767794</c:v>
                </c:pt>
                <c:pt idx="21">
                  <c:v>0.31335054466435652</c:v>
                </c:pt>
                <c:pt idx="22">
                  <c:v>0.35831961032449089</c:v>
                </c:pt>
                <c:pt idx="23">
                  <c:v>0.40983627949521473</c:v>
                </c:pt>
                <c:pt idx="24">
                  <c:v>0.46926062493655119</c:v>
                </c:pt>
                <c:pt idx="25">
                  <c:v>0.53836772348952122</c:v>
                </c:pt>
                <c:pt idx="26">
                  <c:v>0.61951734450923646</c:v>
                </c:pt>
                <c:pt idx="27">
                  <c:v>0.71591402471029431</c:v>
                </c:pt>
                <c:pt idx="28">
                  <c:v>0.83201882091516144</c:v>
                </c:pt>
                <c:pt idx="29">
                  <c:v>0.97422626176868343</c:v>
                </c:pt>
                <c:pt idx="30">
                  <c:v>1.1520277706949573</c:v>
                </c:pt>
                <c:pt idx="31">
                  <c:v>1.3801195101761581</c:v>
                </c:pt>
                <c:pt idx="32">
                  <c:v>1.6824722676826387</c:v>
                </c:pt>
                <c:pt idx="33">
                  <c:v>2.1008248093461006</c:v>
                </c:pt>
                <c:pt idx="34">
                  <c:v>2.7141828103905814</c:v>
                </c:pt>
                <c:pt idx="35">
                  <c:v>3.688982648204016</c:v>
                </c:pt>
                <c:pt idx="36">
                  <c:v>5.4226604572562698</c:v>
                </c:pt>
                <c:pt idx="37">
                  <c:v>8.874334292070964</c:v>
                </c:pt>
                <c:pt idx="38">
                  <c:v>13.072302940891014</c:v>
                </c:pt>
                <c:pt idx="39">
                  <c:v>12.673218577658734</c:v>
                </c:pt>
                <c:pt idx="40">
                  <c:v>8.4340745660325585</c:v>
                </c:pt>
                <c:pt idx="41">
                  <c:v>5.7444694203075599</c:v>
                </c:pt>
                <c:pt idx="42">
                  <c:v>4.3374128318841692</c:v>
                </c:pt>
                <c:pt idx="43">
                  <c:v>3.5105520922385378</c:v>
                </c:pt>
                <c:pt idx="44">
                  <c:v>2.9737766287718053</c:v>
                </c:pt>
                <c:pt idx="45">
                  <c:v>2.5993913032860352</c:v>
                </c:pt>
                <c:pt idx="46">
                  <c:v>2.3242339271319574</c:v>
                </c:pt>
                <c:pt idx="47">
                  <c:v>2.1138760975918665</c:v>
                </c:pt>
                <c:pt idx="48">
                  <c:v>1.9480648411822659</c:v>
                </c:pt>
                <c:pt idx="49">
                  <c:v>1.8141465550045413</c:v>
                </c:pt>
                <c:pt idx="50">
                  <c:v>1.7038236330198682</c:v>
                </c:pt>
                <c:pt idx="51">
                  <c:v>1.6114352549773965</c:v>
                </c:pt>
                <c:pt idx="52">
                  <c:v>1.5329902825925217</c:v>
                </c:pt>
                <c:pt idx="53">
                  <c:v>1.4655955802662384</c:v>
                </c:pt>
                <c:pt idx="54">
                  <c:v>1.4071036247169475</c:v>
                </c:pt>
                <c:pt idx="55">
                  <c:v>1.3558873693313063</c:v>
                </c:pt>
                <c:pt idx="56">
                  <c:v>1.3106918915748877</c:v>
                </c:pt>
                <c:pt idx="57">
                  <c:v>1.2705339644015305</c:v>
                </c:pt>
                <c:pt idx="58">
                  <c:v>1.2346324387746255</c:v>
                </c:pt>
                <c:pt idx="59">
                  <c:v>1.2023589598856741</c:v>
                </c:pt>
                <c:pt idx="60">
                  <c:v>1.1732024180112508</c:v>
                </c:pt>
                <c:pt idx="61">
                  <c:v>1.1467428714483408</c:v>
                </c:pt>
                <c:pt idx="62">
                  <c:v>1.1226321251672753</c:v>
                </c:pt>
                <c:pt idx="63">
                  <c:v>1.100579065987231</c:v>
                </c:pt>
                <c:pt idx="64">
                  <c:v>1.0803384496554489</c:v>
                </c:pt>
                <c:pt idx="65">
                  <c:v>1.0617022284260897</c:v>
                </c:pt>
                <c:pt idx="66">
                  <c:v>1.0444927725557174</c:v>
                </c:pt>
                <c:pt idx="67">
                  <c:v>1.0285575204791526</c:v>
                </c:pt>
                <c:pt idx="68">
                  <c:v>1.013764718529816</c:v>
                </c:pt>
                <c:pt idx="69">
                  <c:v>1</c:v>
                </c:pt>
                <c:pt idx="70">
                  <c:v>0.92682037138935403</c:v>
                </c:pt>
                <c:pt idx="71">
                  <c:v>0.87775769287192829</c:v>
                </c:pt>
                <c:pt idx="72">
                  <c:v>0.84288740590427746</c:v>
                </c:pt>
                <c:pt idx="73">
                  <c:v>0.81702103802787973</c:v>
                </c:pt>
                <c:pt idx="74">
                  <c:v>0.79719190393826278</c:v>
                </c:pt>
                <c:pt idx="75">
                  <c:v>0.78158656674389648</c:v>
                </c:pt>
                <c:pt idx="76">
                  <c:v>0.76903760296553292</c:v>
                </c:pt>
                <c:pt idx="77">
                  <c:v>0.75876169282562234</c:v>
                </c:pt>
                <c:pt idx="78">
                  <c:v>0.75021511775673544</c:v>
                </c:pt>
                <c:pt idx="79">
                  <c:v>0.74300963954348787</c:v>
                </c:pt>
                <c:pt idx="80">
                  <c:v>0.73686130745775735</c:v>
                </c:pt>
                <c:pt idx="81">
                  <c:v>0.73155811827664896</c:v>
                </c:pt>
                <c:pt idx="82">
                  <c:v>0.72693892402849414</c:v>
                </c:pt>
              </c:numCache>
            </c:numRef>
          </c:yVal>
          <c:smooth val="1"/>
          <c:extLst>
            <c:ext xmlns:c16="http://schemas.microsoft.com/office/drawing/2014/chart" uri="{C3380CC4-5D6E-409C-BE32-E72D297353CC}">
              <c16:uniqueId val="{00000007-EC34-4C40-B998-3DB22CC78E2C}"/>
            </c:ext>
          </c:extLst>
        </c:ser>
        <c:dLbls>
          <c:showLegendKey val="0"/>
          <c:showVal val="0"/>
          <c:showCatName val="0"/>
          <c:showSerName val="0"/>
          <c:showPercent val="0"/>
          <c:showBubbleSize val="0"/>
        </c:dLbls>
        <c:axId val="96616464"/>
        <c:axId val="85290919"/>
      </c:scatterChart>
      <c:valAx>
        <c:axId val="96616464"/>
        <c:scaling>
          <c:orientation val="minMax"/>
          <c:max val="2"/>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5290919"/>
        <c:crosses val="autoZero"/>
        <c:crossBetween val="midCat"/>
      </c:valAx>
      <c:valAx>
        <c:axId val="85290919"/>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6616464"/>
        <c:crossesAt val="0"/>
        <c:crossBetween val="midCat"/>
      </c:valAx>
      <c:spPr>
        <a:noFill/>
        <a:ln w="0">
          <a:noFill/>
        </a:ln>
      </c:spPr>
    </c:plotArea>
    <c:legend>
      <c:legendPos val="r"/>
      <c:layout>
        <c:manualLayout>
          <c:xMode val="edge"/>
          <c:yMode val="edge"/>
          <c:x val="0.65216113502583095"/>
          <c:y val="0.169142867158386"/>
          <c:w val="0.26939773403311301"/>
          <c:h val="0.38624747825753902"/>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@π/2</a:t>
            </a:r>
          </a:p>
        </c:rich>
      </c:tx>
      <c:layout>
        <c:manualLayout>
          <c:xMode val="edge"/>
          <c:yMode val="edge"/>
          <c:x val="0.161412005774694"/>
          <c:y val="2.3242982274639602E-2"/>
        </c:manualLayout>
      </c:layout>
      <c:overlay val="0"/>
      <c:spPr>
        <a:noFill/>
        <a:ln w="0">
          <a:noFill/>
        </a:ln>
      </c:spPr>
    </c:title>
    <c:autoTitleDeleted val="0"/>
    <c:plotArea>
      <c:layout>
        <c:manualLayout>
          <c:layoutTarget val="inner"/>
          <c:xMode val="edge"/>
          <c:yMode val="edge"/>
          <c:x val="0.12536673962650799"/>
          <c:y val="0.141802882957445"/>
          <c:w val="0.82624691473012601"/>
          <c:h val="0.73680943513345698"/>
        </c:manualLayout>
      </c:layout>
      <c:scatterChart>
        <c:scatterStyle val="lineMarker"/>
        <c:varyColors val="0"/>
        <c:ser>
          <c:idx val="0"/>
          <c:order val="0"/>
          <c:tx>
            <c:strRef>
              <c:f>RTC!$B$28</c:f>
              <c:strCache>
                <c:ptCount val="1"/>
                <c:pt idx="0">
                  <c:v>M.OL(fn)</c:v>
                </c:pt>
              </c:strCache>
            </c:strRef>
          </c:tx>
          <c:spPr>
            <a:ln w="19080" cap="rnd">
              <a:solidFill>
                <a:srgbClr val="AEAEA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RTC!$C$28:$CG$28</c:f>
              <c:numCache>
                <c:formatCode>General</c:formatCode>
                <c:ptCount val="83"/>
                <c:pt idx="0">
                  <c:v>2.1818182512396718E-8</c:v>
                </c:pt>
                <c:pt idx="1">
                  <c:v>1.2886419367458453E-3</c:v>
                </c:pt>
                <c:pt idx="2">
                  <c:v>3.2957540508757933E-3</c:v>
                </c:pt>
                <c:pt idx="3">
                  <c:v>6.2466838217803949E-3</c:v>
                </c:pt>
                <c:pt idx="4">
                  <c:v>1.0165634844491057E-2</c:v>
                </c:pt>
                <c:pt idx="5">
                  <c:v>1.5085230808885637E-2</c:v>
                </c:pt>
                <c:pt idx="6">
                  <c:v>2.104720710419164E-2</c:v>
                </c:pt>
                <c:pt idx="7">
                  <c:v>2.8103319587713758E-2</c:v>
                </c:pt>
                <c:pt idx="8">
                  <c:v>3.6316508449383139E-2</c:v>
                </c:pt>
                <c:pt idx="9">
                  <c:v>4.5762367743434479E-2</c:v>
                </c:pt>
                <c:pt idx="10">
                  <c:v>5.6530987448607108E-2</c:v>
                </c:pt>
                <c:pt idx="11">
                  <c:v>6.8729256295102084E-2</c:v>
                </c:pt>
                <c:pt idx="12">
                  <c:v>8.2483742085161724E-2</c:v>
                </c:pt>
                <c:pt idx="13">
                  <c:v>9.7944304735298124E-2</c:v>
                </c:pt>
                <c:pt idx="14">
                  <c:v>0.11528864999952876</c:v>
                </c:pt>
                <c:pt idx="15">
                  <c:v>0.1347281050187448</c:v>
                </c:pt>
                <c:pt idx="16">
                  <c:v>0.15651499980883612</c:v>
                </c:pt>
                <c:pt idx="17">
                  <c:v>0.18095218575415503</c:v>
                </c:pt>
                <c:pt idx="18">
                  <c:v>0.20840543512238516</c:v>
                </c:pt>
                <c:pt idx="19">
                  <c:v>0.23931977930378859</c:v>
                </c:pt>
                <c:pt idx="20">
                  <c:v>0.27424131386312434</c:v>
                </c:pt>
                <c:pt idx="21">
                  <c:v>0.31384671772931005</c:v>
                </c:pt>
                <c:pt idx="22">
                  <c:v>0.3589838574142431</c:v>
                </c:pt>
                <c:pt idx="23">
                  <c:v>0.41072864448862639</c:v>
                </c:pt>
                <c:pt idx="24">
                  <c:v>0.47046626668653735</c:v>
                </c:pt>
                <c:pt idx="25">
                  <c:v>0.54000990781304037</c:v>
                </c:pt>
                <c:pt idx="26">
                  <c:v>0.62177881033586746</c:v>
                </c:pt>
                <c:pt idx="27">
                  <c:v>0.71907341857608231</c:v>
                </c:pt>
                <c:pt idx="28">
                  <c:v>0.83651551018079373</c:v>
                </c:pt>
                <c:pt idx="29">
                  <c:v>0.98078153994784389</c:v>
                </c:pt>
                <c:pt idx="30">
                  <c:v>1.1618855338834528</c:v>
                </c:pt>
                <c:pt idx="31">
                  <c:v>1.3955605407023011</c:v>
                </c:pt>
                <c:pt idx="32">
                  <c:v>1.70801881699095</c:v>
                </c:pt>
                <c:pt idx="33">
                  <c:v>2.1464163817304032</c:v>
                </c:pt>
                <c:pt idx="34">
                  <c:v>2.8049873938594398</c:v>
                </c:pt>
                <c:pt idx="35">
                  <c:v>3.9033273688464369</c:v>
                </c:pt>
                <c:pt idx="36">
                  <c:v>6.098718634915044</c:v>
                </c:pt>
                <c:pt idx="37">
                  <c:v>12.659566924581251</c:v>
                </c:pt>
                <c:pt idx="38">
                  <c:v>1921.5837087114464</c:v>
                </c:pt>
                <c:pt idx="39">
                  <c:v>42.249999999987104</c:v>
                </c:pt>
                <c:pt idx="40">
                  <c:v>10.581427390464974</c:v>
                </c:pt>
                <c:pt idx="41">
                  <c:v>6.2413366336631526</c:v>
                </c:pt>
                <c:pt idx="42">
                  <c:v>4.5187319884725161</c:v>
                </c:pt>
                <c:pt idx="43">
                  <c:v>3.5949449125080415</c:v>
                </c:pt>
                <c:pt idx="44">
                  <c:v>3.0192994996425648</c:v>
                </c:pt>
                <c:pt idx="45">
                  <c:v>2.6264591439688467</c:v>
                </c:pt>
                <c:pt idx="46">
                  <c:v>2.3414634146341284</c:v>
                </c:pt>
                <c:pt idx="47">
                  <c:v>2.1254008980115326</c:v>
                </c:pt>
                <c:pt idx="48">
                  <c:v>1.9560649474689491</c:v>
                </c:pt>
                <c:pt idx="49">
                  <c:v>1.8198585144012047</c:v>
                </c:pt>
                <c:pt idx="50">
                  <c:v>1.7079905491189553</c:v>
                </c:pt>
                <c:pt idx="51">
                  <c:v>1.6145251396647997</c:v>
                </c:pt>
                <c:pt idx="52">
                  <c:v>1.5353095649293769</c:v>
                </c:pt>
                <c:pt idx="53">
                  <c:v>1.4673515584189416</c:v>
                </c:pt>
                <c:pt idx="54">
                  <c:v>1.4084404999094342</c:v>
                </c:pt>
                <c:pt idx="55">
                  <c:v>1.35690789473684</c:v>
                </c:pt>
                <c:pt idx="56">
                  <c:v>1.3114708393594574</c:v>
                </c:pt>
                <c:pt idx="57">
                  <c:v>1.2711267605633787</c:v>
                </c:pt>
                <c:pt idx="58">
                  <c:v>1.2350808487203404</c:v>
                </c:pt>
                <c:pt idx="59">
                  <c:v>1.2026949211102145</c:v>
                </c:pt>
                <c:pt idx="60">
                  <c:v>1.1734506784011727</c:v>
                </c:pt>
                <c:pt idx="61">
                  <c:v>1.1469228398232809</c:v>
                </c:pt>
                <c:pt idx="62">
                  <c:v>1.1227591914225556</c:v>
                </c:pt>
                <c:pt idx="63">
                  <c:v>1.1006655574043258</c:v>
                </c:pt>
                <c:pt idx="64">
                  <c:v>1.080394333380958</c:v>
                </c:pt>
                <c:pt idx="65">
                  <c:v>1.0617356341095658</c:v>
                </c:pt>
                <c:pt idx="66">
                  <c:v>1.0445103857566764</c:v>
                </c:pt>
                <c:pt idx="67">
                  <c:v>1.0285648819980142</c:v>
                </c:pt>
                <c:pt idx="68">
                  <c:v>1.0137664544300213</c:v>
                </c:pt>
                <c:pt idx="69">
                  <c:v>1</c:v>
                </c:pt>
                <c:pt idx="70">
                  <c:v>0.92687605964801134</c:v>
                </c:pt>
                <c:pt idx="71">
                  <c:v>0.87793233473094412</c:v>
                </c:pt>
                <c:pt idx="72">
                  <c:v>0.8432116897802775</c:v>
                </c:pt>
                <c:pt idx="73">
                  <c:v>0.81751431221486071</c:v>
                </c:pt>
                <c:pt idx="74">
                  <c:v>0.79786908756308172</c:v>
                </c:pt>
                <c:pt idx="75">
                  <c:v>0.78246071684854068</c:v>
                </c:pt>
                <c:pt idx="76">
                  <c:v>0.7701209595806876</c:v>
                </c:pt>
                <c:pt idx="77">
                  <c:v>0.76006613168945525</c:v>
                </c:pt>
                <c:pt idx="78">
                  <c:v>0.75175235378607119</c:v>
                </c:pt>
                <c:pt idx="79">
                  <c:v>0.74479131918510189</c:v>
                </c:pt>
                <c:pt idx="80">
                  <c:v>0.73889904941593587</c:v>
                </c:pt>
                <c:pt idx="81">
                  <c:v>0.73386352963092394</c:v>
                </c:pt>
                <c:pt idx="82">
                  <c:v>0.72952360451323239</c:v>
                </c:pt>
              </c:numCache>
            </c:numRef>
          </c:yVal>
          <c:smooth val="1"/>
          <c:extLst>
            <c:ext xmlns:c16="http://schemas.microsoft.com/office/drawing/2014/chart" uri="{C3380CC4-5D6E-409C-BE32-E72D297353CC}">
              <c16:uniqueId val="{00000000-0D8A-4B4D-ADFF-6CF0B928EE53}"/>
            </c:ext>
          </c:extLst>
        </c:ser>
        <c:ser>
          <c:idx val="1"/>
          <c:order val="1"/>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RTC!$C$67:$CG$67</c:f>
              <c:numCache>
                <c:formatCode>General</c:formatCode>
                <c:ptCount val="83"/>
                <c:pt idx="0">
                  <c:v>0.79284042553191492</c:v>
                </c:pt>
                <c:pt idx="1">
                  <c:v>0.79284042553191492</c:v>
                </c:pt>
                <c:pt idx="2">
                  <c:v>0.79284042553191492</c:v>
                </c:pt>
                <c:pt idx="3">
                  <c:v>0.79284042553191492</c:v>
                </c:pt>
                <c:pt idx="4">
                  <c:v>0.79284042553191492</c:v>
                </c:pt>
                <c:pt idx="5">
                  <c:v>0.79284042553191492</c:v>
                </c:pt>
                <c:pt idx="6">
                  <c:v>0.79284042553191492</c:v>
                </c:pt>
                <c:pt idx="7">
                  <c:v>0.79284042553191492</c:v>
                </c:pt>
                <c:pt idx="8">
                  <c:v>0.79284042553191492</c:v>
                </c:pt>
                <c:pt idx="9">
                  <c:v>0.79284042553191492</c:v>
                </c:pt>
                <c:pt idx="10">
                  <c:v>0.79284042553191492</c:v>
                </c:pt>
                <c:pt idx="11">
                  <c:v>0.79284042553191492</c:v>
                </c:pt>
                <c:pt idx="12">
                  <c:v>0.79284042553191492</c:v>
                </c:pt>
                <c:pt idx="13">
                  <c:v>0.79284042553191492</c:v>
                </c:pt>
                <c:pt idx="14">
                  <c:v>0.79284042553191492</c:v>
                </c:pt>
                <c:pt idx="15">
                  <c:v>0.79284042553191492</c:v>
                </c:pt>
                <c:pt idx="16">
                  <c:v>0.79284042553191492</c:v>
                </c:pt>
                <c:pt idx="17">
                  <c:v>0.79284042553191492</c:v>
                </c:pt>
                <c:pt idx="18">
                  <c:v>0.79284042553191492</c:v>
                </c:pt>
                <c:pt idx="19">
                  <c:v>0.79284042553191492</c:v>
                </c:pt>
                <c:pt idx="20">
                  <c:v>0.79284042553191492</c:v>
                </c:pt>
                <c:pt idx="21">
                  <c:v>0.79284042553191492</c:v>
                </c:pt>
                <c:pt idx="22">
                  <c:v>0.79284042553191492</c:v>
                </c:pt>
                <c:pt idx="23">
                  <c:v>0.79284042553191492</c:v>
                </c:pt>
                <c:pt idx="24">
                  <c:v>0.79284042553191492</c:v>
                </c:pt>
                <c:pt idx="25">
                  <c:v>0.79284042553191492</c:v>
                </c:pt>
                <c:pt idx="26">
                  <c:v>0.79284042553191492</c:v>
                </c:pt>
                <c:pt idx="27">
                  <c:v>0.79284042553191492</c:v>
                </c:pt>
                <c:pt idx="28">
                  <c:v>0.79284042553191492</c:v>
                </c:pt>
                <c:pt idx="29">
                  <c:v>0.79284042553191492</c:v>
                </c:pt>
                <c:pt idx="30">
                  <c:v>0.79284042553191492</c:v>
                </c:pt>
                <c:pt idx="31">
                  <c:v>0.79284042553191492</c:v>
                </c:pt>
                <c:pt idx="32">
                  <c:v>0.79284042553191492</c:v>
                </c:pt>
                <c:pt idx="33">
                  <c:v>0.79284042553191492</c:v>
                </c:pt>
                <c:pt idx="34">
                  <c:v>0.79284042553191492</c:v>
                </c:pt>
                <c:pt idx="35">
                  <c:v>0.79284042553191492</c:v>
                </c:pt>
                <c:pt idx="36">
                  <c:v>0.79284042553191492</c:v>
                </c:pt>
                <c:pt idx="37">
                  <c:v>0.79284042553191492</c:v>
                </c:pt>
                <c:pt idx="38">
                  <c:v>0.79284042553191492</c:v>
                </c:pt>
                <c:pt idx="39">
                  <c:v>0.79284042553191492</c:v>
                </c:pt>
                <c:pt idx="40">
                  <c:v>0.79284042553191492</c:v>
                </c:pt>
                <c:pt idx="41">
                  <c:v>0.79284042553191492</c:v>
                </c:pt>
                <c:pt idx="42">
                  <c:v>0.79284042553191492</c:v>
                </c:pt>
                <c:pt idx="43">
                  <c:v>0.79284042553191492</c:v>
                </c:pt>
                <c:pt idx="44">
                  <c:v>0.79284042553191492</c:v>
                </c:pt>
                <c:pt idx="45">
                  <c:v>0.79284042553191492</c:v>
                </c:pt>
                <c:pt idx="46">
                  <c:v>0.79284042553191492</c:v>
                </c:pt>
                <c:pt idx="47">
                  <c:v>0.79284042553191492</c:v>
                </c:pt>
                <c:pt idx="48">
                  <c:v>0.79284042553191492</c:v>
                </c:pt>
                <c:pt idx="49">
                  <c:v>0.79284042553191492</c:v>
                </c:pt>
                <c:pt idx="50">
                  <c:v>0.79284042553191492</c:v>
                </c:pt>
                <c:pt idx="51">
                  <c:v>0.79284042553191492</c:v>
                </c:pt>
                <c:pt idx="52">
                  <c:v>0.79284042553191492</c:v>
                </c:pt>
                <c:pt idx="53">
                  <c:v>0.79284042553191492</c:v>
                </c:pt>
                <c:pt idx="54">
                  <c:v>0.79284042553191492</c:v>
                </c:pt>
                <c:pt idx="55">
                  <c:v>0.79284042553191492</c:v>
                </c:pt>
                <c:pt idx="56">
                  <c:v>0.79284042553191492</c:v>
                </c:pt>
                <c:pt idx="57">
                  <c:v>0.79284042553191492</c:v>
                </c:pt>
                <c:pt idx="58">
                  <c:v>0.79284042553191492</c:v>
                </c:pt>
                <c:pt idx="59">
                  <c:v>0.79284042553191492</c:v>
                </c:pt>
                <c:pt idx="60">
                  <c:v>0.79284042553191492</c:v>
                </c:pt>
                <c:pt idx="61">
                  <c:v>0.79284042553191492</c:v>
                </c:pt>
                <c:pt idx="62">
                  <c:v>0.79284042553191492</c:v>
                </c:pt>
                <c:pt idx="63">
                  <c:v>0.79284042553191492</c:v>
                </c:pt>
                <c:pt idx="64">
                  <c:v>0.79284042553191492</c:v>
                </c:pt>
                <c:pt idx="65">
                  <c:v>0.79284042553191492</c:v>
                </c:pt>
                <c:pt idx="66">
                  <c:v>0.79284042553191492</c:v>
                </c:pt>
                <c:pt idx="67">
                  <c:v>0.79284042553191492</c:v>
                </c:pt>
                <c:pt idx="68">
                  <c:v>0.79284042553191492</c:v>
                </c:pt>
                <c:pt idx="69">
                  <c:v>0.79284042553191492</c:v>
                </c:pt>
                <c:pt idx="70">
                  <c:v>0.79284042553191492</c:v>
                </c:pt>
                <c:pt idx="71">
                  <c:v>0.79284042553191492</c:v>
                </c:pt>
                <c:pt idx="72">
                  <c:v>0.79284042553191492</c:v>
                </c:pt>
                <c:pt idx="73">
                  <c:v>0.79284042553191492</c:v>
                </c:pt>
                <c:pt idx="74">
                  <c:v>0.79284042553191492</c:v>
                </c:pt>
                <c:pt idx="75">
                  <c:v>0.79284042553191492</c:v>
                </c:pt>
                <c:pt idx="76">
                  <c:v>0.79284042553191492</c:v>
                </c:pt>
                <c:pt idx="77">
                  <c:v>0.79284042553191492</c:v>
                </c:pt>
                <c:pt idx="78">
                  <c:v>0.79284042553191492</c:v>
                </c:pt>
                <c:pt idx="79">
                  <c:v>0.79284042553191492</c:v>
                </c:pt>
                <c:pt idx="80">
                  <c:v>0.79284042553191492</c:v>
                </c:pt>
                <c:pt idx="81">
                  <c:v>0.79284042553191492</c:v>
                </c:pt>
                <c:pt idx="82">
                  <c:v>0.79284042553191492</c:v>
                </c:pt>
              </c:numCache>
            </c:numRef>
          </c:yVal>
          <c:smooth val="1"/>
          <c:extLst>
            <c:ext xmlns:c16="http://schemas.microsoft.com/office/drawing/2014/chart" uri="{C3380CC4-5D6E-409C-BE32-E72D297353CC}">
              <c16:uniqueId val="{00000001-0D8A-4B4D-ADFF-6CF0B928EE53}"/>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1921.5837087114464</c:v>
                </c:pt>
                <c:pt idx="39">
                  <c:v>6.499999999999007</c:v>
                </c:pt>
                <c:pt idx="40">
                  <c:v>3.2529106029008803</c:v>
                </c:pt>
                <c:pt idx="41">
                  <c:v>2.4982667258847973</c:v>
                </c:pt>
                <c:pt idx="42">
                  <c:v>2.1257309304031207</c:v>
                </c:pt>
                <c:pt idx="43">
                  <c:v>1.8960339956097945</c:v>
                </c:pt>
                <c:pt idx="44">
                  <c:v>1.7376131616797115</c:v>
                </c:pt>
                <c:pt idx="45">
                  <c:v>1.6206354136476369</c:v>
                </c:pt>
                <c:pt idx="46">
                  <c:v>1.5301841113520063</c:v>
                </c:pt>
                <c:pt idx="47">
                  <c:v>1.4578754741100259</c:v>
                </c:pt>
                <c:pt idx="48">
                  <c:v>1.3985939180008431</c:v>
                </c:pt>
                <c:pt idx="49">
                  <c:v>1.3490213172523273</c:v>
                </c:pt>
                <c:pt idx="50">
                  <c:v>1.3069011244615849</c:v>
                </c:pt>
                <c:pt idx="51">
                  <c:v>1.2706396576782892</c:v>
                </c:pt>
                <c:pt idx="52">
                  <c:v>1.2390760932765092</c:v>
                </c:pt>
                <c:pt idx="53">
                  <c:v>1.2113428740117067</c:v>
                </c:pt>
                <c:pt idx="54">
                  <c:v>1.1867773590313537</c:v>
                </c:pt>
                <c:pt idx="55">
                  <c:v>1.1648638953701158</c:v>
                </c:pt>
                <c:pt idx="56">
                  <c:v>1.1451946731274369</c:v>
                </c:pt>
                <c:pt idx="57">
                  <c:v>1.1274425752841599</c:v>
                </c:pt>
                <c:pt idx="58">
                  <c:v>1.1113419135083229</c:v>
                </c:pt>
                <c:pt idx="59">
                  <c:v>1.0966744827478272</c:v>
                </c:pt>
                <c:pt idx="60">
                  <c:v>1.0832592849365161</c:v>
                </c:pt>
                <c:pt idx="61">
                  <c:v>1.0709448350980926</c:v>
                </c:pt>
                <c:pt idx="62">
                  <c:v>1.0596033179556184</c:v>
                </c:pt>
                <c:pt idx="63">
                  <c:v>1.0491260922331147</c:v>
                </c:pt>
                <c:pt idx="64">
                  <c:v>1.0394201909627108</c:v>
                </c:pt>
                <c:pt idx="65">
                  <c:v>1.0304055677788071</c:v>
                </c:pt>
                <c:pt idx="66">
                  <c:v>1.022012908801389</c:v>
                </c:pt>
                <c:pt idx="67">
                  <c:v>1.0141818781648655</c:v>
                </c:pt>
                <c:pt idx="68">
                  <c:v>1.0068596994765564</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0D8A-4B4D-ADFF-6CF0B928EE53}"/>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RTC!$C$31:$CG$31</c:f>
              <c:numCache>
                <c:formatCode>General</c:formatCode>
                <c:ptCount val="83"/>
                <c:pt idx="0">
                  <c:v>0.68571428571428572</c:v>
                </c:pt>
                <c:pt idx="1">
                  <c:v>0.68571428571428572</c:v>
                </c:pt>
                <c:pt idx="2">
                  <c:v>0.68571428571428572</c:v>
                </c:pt>
                <c:pt idx="3">
                  <c:v>0.68571428571428572</c:v>
                </c:pt>
                <c:pt idx="4">
                  <c:v>0.68571428571428572</c:v>
                </c:pt>
                <c:pt idx="5">
                  <c:v>0.68571428571428572</c:v>
                </c:pt>
                <c:pt idx="6">
                  <c:v>0.68571428571428572</c:v>
                </c:pt>
                <c:pt idx="7">
                  <c:v>0.68571428571428572</c:v>
                </c:pt>
                <c:pt idx="8">
                  <c:v>0.68571428571428572</c:v>
                </c:pt>
                <c:pt idx="9">
                  <c:v>0.68571428571428572</c:v>
                </c:pt>
                <c:pt idx="10">
                  <c:v>0.68571428571428572</c:v>
                </c:pt>
                <c:pt idx="11">
                  <c:v>0.68571428571428572</c:v>
                </c:pt>
                <c:pt idx="12">
                  <c:v>0.68571428571428572</c:v>
                </c:pt>
                <c:pt idx="13">
                  <c:v>0.68571428571428572</c:v>
                </c:pt>
                <c:pt idx="14">
                  <c:v>0.68571428571428572</c:v>
                </c:pt>
                <c:pt idx="15">
                  <c:v>0.68571428571428572</c:v>
                </c:pt>
                <c:pt idx="16">
                  <c:v>0.68571428571428572</c:v>
                </c:pt>
                <c:pt idx="17">
                  <c:v>0.68571428571428572</c:v>
                </c:pt>
                <c:pt idx="18">
                  <c:v>0.68571428571428572</c:v>
                </c:pt>
                <c:pt idx="19">
                  <c:v>0.68571428571428572</c:v>
                </c:pt>
                <c:pt idx="20">
                  <c:v>0.68571428571428572</c:v>
                </c:pt>
                <c:pt idx="21">
                  <c:v>0.68571428571428572</c:v>
                </c:pt>
                <c:pt idx="22">
                  <c:v>0.68571428571428572</c:v>
                </c:pt>
                <c:pt idx="23">
                  <c:v>0.68571428571428572</c:v>
                </c:pt>
                <c:pt idx="24">
                  <c:v>0.68571428571428572</c:v>
                </c:pt>
                <c:pt idx="25">
                  <c:v>0.68571428571428572</c:v>
                </c:pt>
                <c:pt idx="26">
                  <c:v>0.68571428571428572</c:v>
                </c:pt>
                <c:pt idx="27">
                  <c:v>0.68571428571428572</c:v>
                </c:pt>
                <c:pt idx="28">
                  <c:v>0.68571428571428572</c:v>
                </c:pt>
                <c:pt idx="29">
                  <c:v>0.68571428571428572</c:v>
                </c:pt>
                <c:pt idx="30">
                  <c:v>0.68571428571428572</c:v>
                </c:pt>
                <c:pt idx="31">
                  <c:v>0.68571428571428572</c:v>
                </c:pt>
                <c:pt idx="32">
                  <c:v>0.68571428571428572</c:v>
                </c:pt>
                <c:pt idx="33">
                  <c:v>0.68571428571428572</c:v>
                </c:pt>
                <c:pt idx="34">
                  <c:v>0.68571428571428572</c:v>
                </c:pt>
                <c:pt idx="35">
                  <c:v>0.68571428571428572</c:v>
                </c:pt>
                <c:pt idx="36">
                  <c:v>0.68571428571428572</c:v>
                </c:pt>
                <c:pt idx="37">
                  <c:v>0.68571428571428572</c:v>
                </c:pt>
                <c:pt idx="38">
                  <c:v>0.68571428571428572</c:v>
                </c:pt>
                <c:pt idx="39">
                  <c:v>0.68571428571428572</c:v>
                </c:pt>
                <c:pt idx="40">
                  <c:v>0.68571428571428572</c:v>
                </c:pt>
                <c:pt idx="41">
                  <c:v>0.68571428571428572</c:v>
                </c:pt>
                <c:pt idx="42">
                  <c:v>0.68571428571428572</c:v>
                </c:pt>
                <c:pt idx="43">
                  <c:v>0.68571428571428572</c:v>
                </c:pt>
                <c:pt idx="44">
                  <c:v>0.68571428571428572</c:v>
                </c:pt>
                <c:pt idx="45">
                  <c:v>0.68571428571428572</c:v>
                </c:pt>
                <c:pt idx="46">
                  <c:v>0.68571428571428572</c:v>
                </c:pt>
                <c:pt idx="47">
                  <c:v>0.68571428571428572</c:v>
                </c:pt>
                <c:pt idx="48">
                  <c:v>0.68571428571428572</c:v>
                </c:pt>
                <c:pt idx="49">
                  <c:v>0.68571428571428572</c:v>
                </c:pt>
                <c:pt idx="50">
                  <c:v>0.68571428571428572</c:v>
                </c:pt>
                <c:pt idx="51">
                  <c:v>0.68571428571428572</c:v>
                </c:pt>
                <c:pt idx="52">
                  <c:v>0.68571428571428572</c:v>
                </c:pt>
                <c:pt idx="53">
                  <c:v>0.68571428571428572</c:v>
                </c:pt>
                <c:pt idx="54">
                  <c:v>0.68571428571428572</c:v>
                </c:pt>
                <c:pt idx="55">
                  <c:v>0.68571428571428572</c:v>
                </c:pt>
                <c:pt idx="56">
                  <c:v>0.68571428571428572</c:v>
                </c:pt>
                <c:pt idx="57">
                  <c:v>0.68571428571428572</c:v>
                </c:pt>
                <c:pt idx="58">
                  <c:v>0.68571428571428572</c:v>
                </c:pt>
                <c:pt idx="59">
                  <c:v>0.68571428571428572</c:v>
                </c:pt>
                <c:pt idx="60">
                  <c:v>0.68571428571428572</c:v>
                </c:pt>
                <c:pt idx="61">
                  <c:v>0.68571428571428572</c:v>
                </c:pt>
                <c:pt idx="62">
                  <c:v>0.68571428571428572</c:v>
                </c:pt>
                <c:pt idx="63">
                  <c:v>0.68571428571428572</c:v>
                </c:pt>
                <c:pt idx="64">
                  <c:v>0.68571428571428572</c:v>
                </c:pt>
                <c:pt idx="65">
                  <c:v>0.68571428571428572</c:v>
                </c:pt>
                <c:pt idx="66">
                  <c:v>0.68571428571428572</c:v>
                </c:pt>
                <c:pt idx="67">
                  <c:v>0.68571428571428572</c:v>
                </c:pt>
                <c:pt idx="68">
                  <c:v>0.68571428571428572</c:v>
                </c:pt>
                <c:pt idx="69">
                  <c:v>0.68571428571428572</c:v>
                </c:pt>
                <c:pt idx="70">
                  <c:v>0.68571428571428572</c:v>
                </c:pt>
                <c:pt idx="71">
                  <c:v>0.68571428571428572</c:v>
                </c:pt>
                <c:pt idx="72">
                  <c:v>0.68571428571428572</c:v>
                </c:pt>
                <c:pt idx="73">
                  <c:v>0.68571428571428572</c:v>
                </c:pt>
                <c:pt idx="74">
                  <c:v>0.68571428571428572</c:v>
                </c:pt>
                <c:pt idx="75">
                  <c:v>0.68571428571428572</c:v>
                </c:pt>
                <c:pt idx="76">
                  <c:v>0.68571428571428572</c:v>
                </c:pt>
                <c:pt idx="77">
                  <c:v>0.68571428571428572</c:v>
                </c:pt>
                <c:pt idx="78">
                  <c:v>0.68571428571428572</c:v>
                </c:pt>
                <c:pt idx="79">
                  <c:v>0.68571428571428572</c:v>
                </c:pt>
                <c:pt idx="80">
                  <c:v>0.68571428571428572</c:v>
                </c:pt>
                <c:pt idx="81">
                  <c:v>0.68571428571428572</c:v>
                </c:pt>
                <c:pt idx="82">
                  <c:v>0.68571428571428572</c:v>
                </c:pt>
              </c:numCache>
            </c:numRef>
          </c:yVal>
          <c:smooth val="1"/>
          <c:extLst>
            <c:ext xmlns:c16="http://schemas.microsoft.com/office/drawing/2014/chart" uri="{C3380CC4-5D6E-409C-BE32-E72D297353CC}">
              <c16:uniqueId val="{00000003-0D8A-4B4D-ADFF-6CF0B928EE53}"/>
            </c:ext>
          </c:extLst>
        </c:ser>
        <c:ser>
          <c:idx val="4"/>
          <c:order val="4"/>
          <c:tx>
            <c:strRef>
              <c:f>RTC!$B$99</c:f>
              <c:strCache>
                <c:ptCount val="1"/>
                <c:pt idx="0">
                  <c:v>M(fn,100% Po,π/2)</c:v>
                </c:pt>
              </c:strCache>
            </c:strRef>
          </c:tx>
          <c:spPr>
            <a:ln w="1260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RTC!$C$99:$CG$99</c:f>
              <c:numCache>
                <c:formatCode>General</c:formatCode>
                <c:ptCount val="83"/>
                <c:pt idx="0">
                  <c:v>2.1818182382492675E-8</c:v>
                </c:pt>
                <c:pt idx="1">
                  <c:v>1.2881887010930794E-3</c:v>
                </c:pt>
                <c:pt idx="2">
                  <c:v>3.2927886442313385E-3</c:v>
                </c:pt>
                <c:pt idx="3">
                  <c:v>6.2360266346062031E-3</c:v>
                </c:pt>
                <c:pt idx="4">
                  <c:v>1.0137396704165301E-2</c:v>
                </c:pt>
                <c:pt idx="5">
                  <c:v>1.5023007895528954E-2</c:v>
                </c:pt>
                <c:pt idx="6">
                  <c:v>2.0925987778792478E-2</c:v>
                </c:pt>
                <c:pt idx="7">
                  <c:v>2.7887001276361342E-2</c:v>
                </c:pt>
                <c:pt idx="8">
                  <c:v>3.5954897539339017E-2</c:v>
                </c:pt>
                <c:pt idx="9">
                  <c:v>4.5187500817546217E-2</c:v>
                </c:pt>
                <c:pt idx="10">
                  <c:v>5.5652564835327163E-2</c:v>
                </c:pt>
                <c:pt idx="11">
                  <c:v>6.7428914152122668E-2</c:v>
                </c:pt>
                <c:pt idx="12">
                  <c:v>8.0607800331455051E-2</c:v>
                </c:pt>
                <c:pt idx="13">
                  <c:v>9.5294505365001059E-2</c:v>
                </c:pt>
                <c:pt idx="14">
                  <c:v>0.11161022945863958</c:v>
                </c:pt>
                <c:pt idx="15">
                  <c:v>0.12969430450041747</c:v>
                </c:pt>
                <c:pt idx="16">
                  <c:v>0.14970677740192706</c:v>
                </c:pt>
                <c:pt idx="17">
                  <c:v>0.17183140745740369</c:v>
                </c:pt>
                <c:pt idx="18">
                  <c:v>0.19627911619524036</c:v>
                </c:pt>
                <c:pt idx="19">
                  <c:v>0.22329191235764032</c:v>
                </c:pt>
                <c:pt idx="20">
                  <c:v>0.25314728109657647</c:v>
                </c:pt>
                <c:pt idx="21">
                  <c:v>0.28616296286546417</c:v>
                </c:pt>
                <c:pt idx="22">
                  <c:v>0.32270193381356715</c:v>
                </c:pt>
                <c:pt idx="23">
                  <c:v>0.36317720380577329</c:v>
                </c:pt>
                <c:pt idx="24">
                  <c:v>0.40805572039200749</c:v>
                </c:pt>
                <c:pt idx="25">
                  <c:v>0.45786013065995684</c:v>
                </c:pt>
                <c:pt idx="26">
                  <c:v>0.51316629609248432</c:v>
                </c:pt>
                <c:pt idx="27">
                  <c:v>0.57459312657902117</c:v>
                </c:pt>
                <c:pt idx="28">
                  <c:v>0.64277932160959372</c:v>
                </c:pt>
                <c:pt idx="29">
                  <c:v>0.71833884691119299</c:v>
                </c:pt>
                <c:pt idx="30">
                  <c:v>0.80178354597124124</c:v>
                </c:pt>
                <c:pt idx="31">
                  <c:v>0.89339801137383779</c:v>
                </c:pt>
                <c:pt idx="32">
                  <c:v>0.99305115057053139</c:v>
                </c:pt>
                <c:pt idx="33">
                  <c:v>1.0999361156437204</c:v>
                </c:pt>
                <c:pt idx="34">
                  <c:v>1.2122544795938535</c:v>
                </c:pt>
                <c:pt idx="35">
                  <c:v>1.3269116345880969</c:v>
                </c:pt>
                <c:pt idx="36">
                  <c:v>1.4393666612797296</c:v>
                </c:pt>
                <c:pt idx="37">
                  <c:v>1.5438437181055409</c:v>
                </c:pt>
                <c:pt idx="38">
                  <c:v>1.634075089047597</c:v>
                </c:pt>
                <c:pt idx="39">
                  <c:v>1.6593385553953328</c:v>
                </c:pt>
                <c:pt idx="40">
                  <c:v>1.7224809596753172</c:v>
                </c:pt>
                <c:pt idx="41">
                  <c:v>1.7617858065342098</c:v>
                </c:pt>
                <c:pt idx="42">
                  <c:v>1.7775007606476596</c:v>
                </c:pt>
                <c:pt idx="43">
                  <c:v>1.7723770936820213</c:v>
                </c:pt>
                <c:pt idx="44">
                  <c:v>1.7506688032071991</c:v>
                </c:pt>
                <c:pt idx="45">
                  <c:v>1.7170352094878036</c:v>
                </c:pt>
                <c:pt idx="46">
                  <c:v>1.6757354437264311</c:v>
                </c:pt>
                <c:pt idx="47">
                  <c:v>1.6302254633798372</c:v>
                </c:pt>
                <c:pt idx="48">
                  <c:v>1.5830741957458498</c:v>
                </c:pt>
                <c:pt idx="49">
                  <c:v>1.5360596375513149</c:v>
                </c:pt>
                <c:pt idx="50">
                  <c:v>1.4903324554146884</c:v>
                </c:pt>
                <c:pt idx="51">
                  <c:v>1.446581713956461</c:v>
                </c:pt>
                <c:pt idx="52">
                  <c:v>1.4051745142564538</c:v>
                </c:pt>
                <c:pt idx="53">
                  <c:v>1.3662628198799427</c:v>
                </c:pt>
                <c:pt idx="54">
                  <c:v>1.329860503810347</c:v>
                </c:pt>
                <c:pt idx="55">
                  <c:v>1.2958967576600455</c:v>
                </c:pt>
                <c:pt idx="56">
                  <c:v>1.2642520414530216</c:v>
                </c:pt>
                <c:pt idx="57">
                  <c:v>1.2347816882910965</c:v>
                </c:pt>
                <c:pt idx="58">
                  <c:v>1.2073310266874606</c:v>
                </c:pt>
                <c:pt idx="59">
                  <c:v>1.1817447922027622</c:v>
                </c:pt>
                <c:pt idx="60">
                  <c:v>1.1578727557635651</c:v>
                </c:pt>
                <c:pt idx="61">
                  <c:v>1.1355728820271946</c:v>
                </c:pt>
                <c:pt idx="62">
                  <c:v>1.1147129003379874</c:v>
                </c:pt>
                <c:pt idx="63">
                  <c:v>1.0951708751382412</c:v>
                </c:pt>
                <c:pt idx="64">
                  <c:v>1.0768351626045636</c:v>
                </c:pt>
                <c:pt idx="65">
                  <c:v>1.0596040061373857</c:v>
                </c:pt>
                <c:pt idx="66">
                  <c:v>1.0433849339971508</c:v>
                </c:pt>
                <c:pt idx="67">
                  <c:v>1.0280940632015909</c:v>
                </c:pt>
                <c:pt idx="68">
                  <c:v>1.0136553747908899</c:v>
                </c:pt>
                <c:pt idx="69">
                  <c:v>1</c:v>
                </c:pt>
                <c:pt idx="70">
                  <c:v>0.92333211953700123</c:v>
                </c:pt>
                <c:pt idx="71">
                  <c:v>0.86696105834124759</c:v>
                </c:pt>
                <c:pt idx="72">
                  <c:v>0.82318248090522994</c:v>
                </c:pt>
                <c:pt idx="73">
                  <c:v>0.78763759103387965</c:v>
                </c:pt>
                <c:pt idx="74">
                  <c:v>0.75772129315258452</c:v>
                </c:pt>
                <c:pt idx="75">
                  <c:v>0.73180269010084442</c:v>
                </c:pt>
                <c:pt idx="76">
                  <c:v>0.70882081816335396</c:v>
                </c:pt>
                <c:pt idx="77">
                  <c:v>0.68806311613752202</c:v>
                </c:pt>
                <c:pt idx="78">
                  <c:v>0.66903798029635431</c:v>
                </c:pt>
                <c:pt idx="79">
                  <c:v>0.65139830863734394</c:v>
                </c:pt>
                <c:pt idx="80">
                  <c:v>0.63489396113171548</c:v>
                </c:pt>
                <c:pt idx="81">
                  <c:v>0.61934128252039466</c:v>
                </c:pt>
                <c:pt idx="82">
                  <c:v>0.60460304808045218</c:v>
                </c:pt>
              </c:numCache>
            </c:numRef>
          </c:yVal>
          <c:smooth val="1"/>
          <c:extLst>
            <c:ext xmlns:c16="http://schemas.microsoft.com/office/drawing/2014/chart" uri="{C3380CC4-5D6E-409C-BE32-E72D297353CC}">
              <c16:uniqueId val="{00000004-0D8A-4B4D-ADFF-6CF0B928EE53}"/>
            </c:ext>
          </c:extLst>
        </c:ser>
        <c:ser>
          <c:idx val="5"/>
          <c:order val="5"/>
          <c:tx>
            <c:strRef>
              <c:f>RTC!$B$100</c:f>
              <c:strCache>
                <c:ptCount val="1"/>
                <c:pt idx="0">
                  <c:v>M(fn,75% Po,π/2)</c:v>
                </c:pt>
              </c:strCache>
            </c:strRef>
          </c:tx>
          <c:spPr>
            <a:ln w="1260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RTC!$C$100:$CG$100</c:f>
              <c:numCache>
                <c:formatCode>General</c:formatCode>
                <c:ptCount val="83"/>
                <c:pt idx="0">
                  <c:v>2.1818182439325691E-8</c:v>
                </c:pt>
                <c:pt idx="1">
                  <c:v>1.288386932838223E-3</c:v>
                </c:pt>
                <c:pt idx="2">
                  <c:v>3.294085024357045E-3</c:v>
                </c:pt>
                <c:pt idx="3">
                  <c:v>6.2406824378399874E-3</c:v>
                </c:pt>
                <c:pt idx="4">
                  <c:v>1.0149721903320651E-2</c:v>
                </c:pt>
                <c:pt idx="5">
                  <c:v>1.5050135523851146E-2</c:v>
                </c:pt>
                <c:pt idx="6">
                  <c:v>2.0978762930202923E-2</c:v>
                </c:pt>
                <c:pt idx="7">
                  <c:v>2.7981024024538607E-2</c:v>
                </c:pt>
                <c:pt idx="8">
                  <c:v>3.6111767932241016E-2</c:v>
                </c:pt>
                <c:pt idx="9">
                  <c:v>4.5436326096875805E-2</c:v>
                </c:pt>
                <c:pt idx="10">
                  <c:v>5.6031805097773307E-2</c:v>
                </c:pt>
                <c:pt idx="11">
                  <c:v>6.7988664131966317E-2</c:v>
                </c:pt>
                <c:pt idx="12">
                  <c:v>8.1412633661487821E-2</c:v>
                </c:pt>
                <c:pt idx="13">
                  <c:v>9.6427046070027292E-2</c:v>
                </c:pt>
                <c:pt idx="14">
                  <c:v>0.11317566700622338</c:v>
                </c:pt>
                <c:pt idx="15">
                  <c:v>0.13182613823889974</c:v>
                </c:pt>
                <c:pt idx="16">
                  <c:v>0.15257417021874703</c:v>
                </c:pt>
                <c:pt idx="17">
                  <c:v>0.17564865601082361</c:v>
                </c:pt>
                <c:pt idx="18">
                  <c:v>0.20131791842768321</c:v>
                </c:pt>
                <c:pt idx="19">
                  <c:v>0.22989734881129481</c:v>
                </c:pt>
                <c:pt idx="20">
                  <c:v>0.26175874677386279</c:v>
                </c:pt>
                <c:pt idx="21">
                  <c:v>0.29734171889440625</c:v>
                </c:pt>
                <c:pt idx="22">
                  <c:v>0.33716752587048926</c:v>
                </c:pt>
                <c:pt idx="23">
                  <c:v>0.38185574987982202</c:v>
                </c:pt>
                <c:pt idx="24">
                  <c:v>0.43214402159173204</c:v>
                </c:pt>
                <c:pt idx="25">
                  <c:v>0.48891067008148414</c:v>
                </c:pt>
                <c:pt idx="26">
                  <c:v>0.55319928820362751</c:v>
                </c:pt>
                <c:pt idx="27">
                  <c:v>0.62624236450510695</c:v>
                </c:pt>
                <c:pt idx="28">
                  <c:v>0.70947743818119824</c:v>
                </c:pt>
                <c:pt idx="29">
                  <c:v>0.80454211618310545</c:v>
                </c:pt>
                <c:pt idx="30">
                  <c:v>0.91322115987396435</c:v>
                </c:pt>
                <c:pt idx="31">
                  <c:v>1.0372960664446651</c:v>
                </c:pt>
                <c:pt idx="32">
                  <c:v>1.1782121374140364</c:v>
                </c:pt>
                <c:pt idx="33">
                  <c:v>1.3364349780829283</c:v>
                </c:pt>
                <c:pt idx="34">
                  <c:v>1.510352267256434</c:v>
                </c:pt>
                <c:pt idx="35">
                  <c:v>1.6946933621753784</c:v>
                </c:pt>
                <c:pt idx="36">
                  <c:v>1.8788872930725189</c:v>
                </c:pt>
                <c:pt idx="37">
                  <c:v>2.0466553898913222</c:v>
                </c:pt>
                <c:pt idx="38">
                  <c:v>2.1787661726775807</c:v>
                </c:pt>
                <c:pt idx="39">
                  <c:v>2.2111254628172499</c:v>
                </c:pt>
                <c:pt idx="40">
                  <c:v>2.2733341619235312</c:v>
                </c:pt>
                <c:pt idx="41">
                  <c:v>2.279475815657614</c:v>
                </c:pt>
                <c:pt idx="42">
                  <c:v>2.2390917769355316</c:v>
                </c:pt>
                <c:pt idx="43">
                  <c:v>2.1671764851446018</c:v>
                </c:pt>
                <c:pt idx="44">
                  <c:v>2.0782664827564981</c:v>
                </c:pt>
                <c:pt idx="45">
                  <c:v>1.9833491584035785</c:v>
                </c:pt>
                <c:pt idx="46">
                  <c:v>1.8894370266624958</c:v>
                </c:pt>
                <c:pt idx="47">
                  <c:v>1.8004036122547353</c:v>
                </c:pt>
                <c:pt idx="48">
                  <c:v>1.7180362951962087</c:v>
                </c:pt>
                <c:pt idx="49">
                  <c:v>1.6428800535467103</c:v>
                </c:pt>
                <c:pt idx="50">
                  <c:v>1.5748033751254673</c:v>
                </c:pt>
                <c:pt idx="51">
                  <c:v>1.5133428875947135</c:v>
                </c:pt>
                <c:pt idx="52">
                  <c:v>1.4579001918992971</c:v>
                </c:pt>
                <c:pt idx="53">
                  <c:v>1.4078482374057373</c:v>
                </c:pt>
                <c:pt idx="54">
                  <c:v>1.3625851213657623</c:v>
                </c:pt>
                <c:pt idx="55">
                  <c:v>1.3215584444011077</c:v>
                </c:pt>
                <c:pt idx="56">
                  <c:v>1.2842737446429706</c:v>
                </c:pt>
                <c:pt idx="57">
                  <c:v>1.2502946995621886</c:v>
                </c:pt>
                <c:pt idx="58">
                  <c:v>1.2192393728204127</c:v>
                </c:pt>
                <c:pt idx="59">
                  <c:v>1.1907748312749207</c:v>
                </c:pt>
                <c:pt idx="60">
                  <c:v>1.1646113567059417</c:v>
                </c:pt>
                <c:pt idx="61">
                  <c:v>1.140496864502047</c:v>
                </c:pt>
                <c:pt idx="62">
                  <c:v>1.1182118061628268</c:v>
                </c:pt>
                <c:pt idx="63">
                  <c:v>1.0975646529978911</c:v>
                </c:pt>
                <c:pt idx="64">
                  <c:v>1.0783879659759421</c:v>
                </c:pt>
                <c:pt idx="65">
                  <c:v>1.0605350123336386</c:v>
                </c:pt>
                <c:pt idx="66">
                  <c:v>1.0438768713069297</c:v>
                </c:pt>
                <c:pt idx="67">
                  <c:v>1.0282999668555644</c:v>
                </c:pt>
                <c:pt idx="68">
                  <c:v>1.0137039676399553</c:v>
                </c:pt>
                <c:pt idx="69">
                  <c:v>1</c:v>
                </c:pt>
                <c:pt idx="70">
                  <c:v>0.9248775837731108</c:v>
                </c:pt>
                <c:pt idx="71">
                  <c:v>0.87171013030791378</c:v>
                </c:pt>
                <c:pt idx="72">
                  <c:v>0.8317679840872253</c:v>
                </c:pt>
                <c:pt idx="73">
                  <c:v>0.80029976910742162</c:v>
                </c:pt>
                <c:pt idx="74">
                  <c:v>0.77452535688315916</c:v>
                </c:pt>
                <c:pt idx="75">
                  <c:v>0.75272386488392695</c:v>
                </c:pt>
                <c:pt idx="76">
                  <c:v>0.73378169196191756</c:v>
                </c:pt>
                <c:pt idx="77">
                  <c:v>0.71695212083513837</c:v>
                </c:pt>
                <c:pt idx="78">
                  <c:v>0.70171979637125559</c:v>
                </c:pt>
                <c:pt idx="79">
                  <c:v>0.68772053775691788</c:v>
                </c:pt>
                <c:pt idx="80">
                  <c:v>0.67469191662288786</c:v>
                </c:pt>
                <c:pt idx="81">
                  <c:v>0.6624417207487634</c:v>
                </c:pt>
                <c:pt idx="82">
                  <c:v>0.65082722151455907</c:v>
                </c:pt>
              </c:numCache>
            </c:numRef>
          </c:yVal>
          <c:smooth val="1"/>
          <c:extLst>
            <c:ext xmlns:c16="http://schemas.microsoft.com/office/drawing/2014/chart" uri="{C3380CC4-5D6E-409C-BE32-E72D297353CC}">
              <c16:uniqueId val="{00000005-0D8A-4B4D-ADFF-6CF0B928EE53}"/>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RTC!$C$101:$CG$101</c:f>
              <c:numCache>
                <c:formatCode>General</c:formatCode>
                <c:ptCount val="83"/>
                <c:pt idx="0">
                  <c:v>2.1818182479920704E-8</c:v>
                </c:pt>
                <c:pt idx="1">
                  <c:v>1.2885285829841006E-3</c:v>
                </c:pt>
                <c:pt idx="2">
                  <c:v>3.2950119481721194E-3</c:v>
                </c:pt>
                <c:pt idx="3">
                  <c:v>6.2440144033623097E-3</c:v>
                </c:pt>
                <c:pt idx="4">
                  <c:v>1.0158553191859945E-2</c:v>
                </c:pt>
                <c:pt idx="5">
                  <c:v>1.5069602622699301E-2</c:v>
                </c:pt>
                <c:pt idx="6">
                  <c:v>2.1016704876682134E-2</c:v>
                </c:pt>
                <c:pt idx="7">
                  <c:v>2.8048768388947723E-2</c:v>
                </c:pt>
                <c:pt idx="8">
                  <c:v>3.6225083729408081E-2</c:v>
                </c:pt>
                <c:pt idx="9">
                  <c:v>4.5616596356075428E-2</c:v>
                </c:pt>
                <c:pt idx="10">
                  <c:v>5.6307487501055131E-2</c:v>
                </c:pt>
                <c:pt idx="11">
                  <c:v>6.83971296301875E-2</c:v>
                </c:pt>
                <c:pt idx="12">
                  <c:v>8.2002502564154742E-2</c:v>
                </c:pt>
                <c:pt idx="13">
                  <c:v>9.7261182059277002E-2</c:v>
                </c:pt>
                <c:pt idx="14">
                  <c:v>0.11433504662530793</c:v>
                </c:pt>
                <c:pt idx="15">
                  <c:v>0.13341489367348136</c:v>
                </c:pt>
                <c:pt idx="16">
                  <c:v>0.15472621704054584</c:v>
                </c:pt>
                <c:pt idx="17">
                  <c:v>0.17853648058534624</c:v>
                </c:pt>
                <c:pt idx="18">
                  <c:v>0.20516433548851423</c:v>
                </c:pt>
                <c:pt idx="19">
                  <c:v>0.23499138428974772</c:v>
                </c:pt>
                <c:pt idx="20">
                  <c:v>0.26847730985236462</c:v>
                </c:pt>
                <c:pt idx="21">
                  <c:v>0.306179486691594</c:v>
                </c:pt>
                <c:pt idx="22">
                  <c:v>0.34877860915110864</c:v>
                </c:pt>
                <c:pt idx="23">
                  <c:v>0.39711245078414559</c:v>
                </c:pt>
                <c:pt idx="24">
                  <c:v>0.45222066752110879</c:v>
                </c:pt>
                <c:pt idx="25">
                  <c:v>0.51540462938092035</c:v>
                </c:pt>
                <c:pt idx="26">
                  <c:v>0.58830762840615802</c:v>
                </c:pt>
                <c:pt idx="27">
                  <c:v>0.67302232488870162</c:v>
                </c:pt>
                <c:pt idx="28">
                  <c:v>0.77223333712321429</c:v>
                </c:pt>
                <c:pt idx="29">
                  <c:v>0.88940146434470002</c:v>
                </c:pt>
                <c:pt idx="30">
                  <c:v>1.0289864824494519</c:v>
                </c:pt>
                <c:pt idx="31">
                  <c:v>1.1966724314094623</c:v>
                </c:pt>
                <c:pt idx="32">
                  <c:v>1.3994632574174966</c:v>
                </c:pt>
                <c:pt idx="33">
                  <c:v>1.6452628496952004</c:v>
                </c:pt>
                <c:pt idx="34">
                  <c:v>1.9409529095430127</c:v>
                </c:pt>
                <c:pt idx="35">
                  <c:v>2.2868567113323426</c:v>
                </c:pt>
                <c:pt idx="36">
                  <c:v>2.6646897391488631</c:v>
                </c:pt>
                <c:pt idx="37">
                  <c:v>3.0210297534050929</c:v>
                </c:pt>
                <c:pt idx="38">
                  <c:v>3.2681466330811508</c:v>
                </c:pt>
                <c:pt idx="39">
                  <c:v>3.3110252196145509</c:v>
                </c:pt>
                <c:pt idx="40">
                  <c:v>3.3156909367168921</c:v>
                </c:pt>
                <c:pt idx="41">
                  <c:v>3.1654851290358881</c:v>
                </c:pt>
                <c:pt idx="42">
                  <c:v>2.9379147301897293</c:v>
                </c:pt>
                <c:pt idx="43">
                  <c:v>2.6956469422014</c:v>
                </c:pt>
                <c:pt idx="44">
                  <c:v>2.4705166769883409</c:v>
                </c:pt>
                <c:pt idx="45">
                  <c:v>2.2731978578150067</c:v>
                </c:pt>
                <c:pt idx="46">
                  <c:v>2.1043137440172504</c:v>
                </c:pt>
                <c:pt idx="47">
                  <c:v>1.9607997258777863</c:v>
                </c:pt>
                <c:pt idx="48">
                  <c:v>1.8387414801727384</c:v>
                </c:pt>
                <c:pt idx="49">
                  <c:v>1.7344475901781757</c:v>
                </c:pt>
                <c:pt idx="50">
                  <c:v>1.6447671953798582</c:v>
                </c:pt>
                <c:pt idx="51">
                  <c:v>1.5671176092543675</c:v>
                </c:pt>
                <c:pt idx="52">
                  <c:v>1.4994159312519777</c:v>
                </c:pt>
                <c:pt idx="53">
                  <c:v>1.4399901776491046</c:v>
                </c:pt>
                <c:pt idx="54">
                  <c:v>1.3874966034904137</c:v>
                </c:pt>
                <c:pt idx="55">
                  <c:v>1.3408506390314692</c:v>
                </c:pt>
                <c:pt idx="56">
                  <c:v>1.2991717638123261</c:v>
                </c:pt>
                <c:pt idx="57">
                  <c:v>1.2617403838170929</c:v>
                </c:pt>
                <c:pt idx="58">
                  <c:v>1.2279643637936826</c:v>
                </c:pt>
                <c:pt idx="59">
                  <c:v>1.1973530893088902</c:v>
                </c:pt>
                <c:pt idx="60">
                  <c:v>1.1694973196907215</c:v>
                </c:pt>
                <c:pt idx="61">
                  <c:v>1.1440534718277999</c:v>
                </c:pt>
                <c:pt idx="62">
                  <c:v>1.1207312935183062</c:v>
                </c:pt>
                <c:pt idx="63">
                  <c:v>1.0992841366401696</c:v>
                </c:pt>
                <c:pt idx="64">
                  <c:v>1.0795012330280616</c:v>
                </c:pt>
                <c:pt idx="65">
                  <c:v>1.0612015212514392</c:v>
                </c:pt>
                <c:pt idx="66">
                  <c:v>1.0442286814174895</c:v>
                </c:pt>
                <c:pt idx="67">
                  <c:v>1.028447116660097</c:v>
                </c:pt>
                <c:pt idx="68">
                  <c:v>1.0137386810967635</c:v>
                </c:pt>
                <c:pt idx="69">
                  <c:v>1</c:v>
                </c:pt>
                <c:pt idx="70">
                  <c:v>0.9259862501827153</c:v>
                </c:pt>
                <c:pt idx="71">
                  <c:v>0.87515050886117685</c:v>
                </c:pt>
                <c:pt idx="72">
                  <c:v>0.83806761170528898</c:v>
                </c:pt>
                <c:pt idx="73">
                  <c:v>0.80972746125639039</c:v>
                </c:pt>
                <c:pt idx="74">
                  <c:v>0.78723671009002483</c:v>
                </c:pt>
                <c:pt idx="75">
                  <c:v>0.76881622259455229</c:v>
                </c:pt>
                <c:pt idx="76">
                  <c:v>0.75331704608022088</c:v>
                </c:pt>
                <c:pt idx="77">
                  <c:v>0.73996753261833481</c:v>
                </c:pt>
                <c:pt idx="78">
                  <c:v>0.72823262046716475</c:v>
                </c:pt>
                <c:pt idx="79">
                  <c:v>0.71773138144407611</c:v>
                </c:pt>
                <c:pt idx="80">
                  <c:v>0.70818658508753285</c:v>
                </c:pt>
                <c:pt idx="81">
                  <c:v>0.69939270288926503</c:v>
                </c:pt>
                <c:pt idx="82">
                  <c:v>0.69119496620994014</c:v>
                </c:pt>
              </c:numCache>
            </c:numRef>
          </c:yVal>
          <c:smooth val="1"/>
          <c:extLst>
            <c:ext xmlns:c16="http://schemas.microsoft.com/office/drawing/2014/chart" uri="{C3380CC4-5D6E-409C-BE32-E72D297353CC}">
              <c16:uniqueId val="{00000006-0D8A-4B4D-ADFF-6CF0B928EE53}"/>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RTC!$C$102:$CG$102</c:f>
              <c:numCache>
                <c:formatCode>General</c:formatCode>
                <c:ptCount val="83"/>
                <c:pt idx="0">
                  <c:v>2.1818182504277716E-8</c:v>
                </c:pt>
                <c:pt idx="1">
                  <c:v>1.2886135955008332E-3</c:v>
                </c:pt>
                <c:pt idx="2">
                  <c:v>3.2955684781936466E-3</c:v>
                </c:pt>
                <c:pt idx="3">
                  <c:v>6.2460161462191653E-3</c:v>
                </c:pt>
                <c:pt idx="4">
                  <c:v>1.0163863042965088E-2</c:v>
                </c:pt>
                <c:pt idx="5">
                  <c:v>1.5081319204381372E-2</c:v>
                </c:pt>
                <c:pt idx="6">
                  <c:v>2.1039569098202388E-2</c:v>
                </c:pt>
                <c:pt idx="7">
                  <c:v>2.8089651953662267E-2</c:v>
                </c:pt>
                <c:pt idx="8">
                  <c:v>3.6293587388214997E-2</c:v>
                </c:pt>
                <c:pt idx="9">
                  <c:v>4.5725793918706494E-2</c:v>
                </c:pt>
                <c:pt idx="10">
                  <c:v>5.6474863038622196E-2</c:v>
                </c:pt>
                <c:pt idx="11">
                  <c:v>6.8645771225195648E-2</c:v>
                </c:pt>
                <c:pt idx="12">
                  <c:v>8.2362638290634962E-2</c:v>
                </c:pt>
                <c:pt idx="13">
                  <c:v>9.777217543465197E-2</c:v>
                </c:pt>
                <c:pt idx="14">
                  <c:v>0.11504801381981522</c:v>
                </c:pt>
                <c:pt idx="15">
                  <c:v>0.1343961697659459</c:v>
                </c:pt>
                <c:pt idx="16">
                  <c:v>0.15606199356055589</c:v>
                </c:pt>
                <c:pt idx="17">
                  <c:v>0.18033907712619268</c:v>
                </c:pt>
                <c:pt idx="18">
                  <c:v>0.20758077920643064</c:v>
                </c:pt>
                <c:pt idx="19">
                  <c:v>0.23821529291505833</c:v>
                </c:pt>
                <c:pt idx="20">
                  <c:v>0.27276557284516439</c:v>
                </c:pt>
                <c:pt idx="21">
                  <c:v>0.3118760270307826</c:v>
                </c:pt>
                <c:pt idx="22">
                  <c:v>0.35634877663150372</c:v>
                </c:pt>
                <c:pt idx="23">
                  <c:v>0.40719368317894933</c:v>
                </c:pt>
                <c:pt idx="24">
                  <c:v>0.46569856393000625</c:v>
                </c:pt>
                <c:pt idx="25">
                  <c:v>0.53352962776885804</c:v>
                </c:pt>
                <c:pt idx="26">
                  <c:v>0.61287818547722495</c:v>
                </c:pt>
                <c:pt idx="27">
                  <c:v>0.70667999489874966</c:v>
                </c:pt>
                <c:pt idx="28">
                  <c:v>0.81895174017762684</c:v>
                </c:pt>
                <c:pt idx="29">
                  <c:v>0.95532197886781722</c:v>
                </c:pt>
                <c:pt idx="30">
                  <c:v>1.1238949075668698</c:v>
                </c:pt>
                <c:pt idx="31">
                  <c:v>1.336700784700356</c:v>
                </c:pt>
                <c:pt idx="32">
                  <c:v>1.6122041821848843</c:v>
                </c:pt>
                <c:pt idx="33">
                  <c:v>1.9797167331940804</c:v>
                </c:pt>
                <c:pt idx="34">
                  <c:v>2.4869471935964955</c:v>
                </c:pt>
                <c:pt idx="35">
                  <c:v>3.2103200546599164</c:v>
                </c:pt>
                <c:pt idx="36">
                  <c:v>4.2496371420859802</c:v>
                </c:pt>
                <c:pt idx="37">
                  <c:v>5.5838781280519623</c:v>
                </c:pt>
                <c:pt idx="38">
                  <c:v>6.536264906280671</c:v>
                </c:pt>
                <c:pt idx="39">
                  <c:v>6.5618770904865382</c:v>
                </c:pt>
                <c:pt idx="40">
                  <c:v>5.8283032893166329</c:v>
                </c:pt>
                <c:pt idx="41">
                  <c:v>4.7563696098705019</c:v>
                </c:pt>
                <c:pt idx="42">
                  <c:v>3.9015255964034536</c:v>
                </c:pt>
                <c:pt idx="43">
                  <c:v>3.2890887050132047</c:v>
                </c:pt>
                <c:pt idx="44">
                  <c:v>2.8486465633840918</c:v>
                </c:pt>
                <c:pt idx="45">
                  <c:v>2.5229481085899597</c:v>
                </c:pt>
                <c:pt idx="46">
                  <c:v>2.274741534759305</c:v>
                </c:pt>
                <c:pt idx="47">
                  <c:v>2.0803949878791861</c:v>
                </c:pt>
                <c:pt idx="48">
                  <c:v>1.9246409174621322</c:v>
                </c:pt>
                <c:pt idx="49">
                  <c:v>1.7973280730835068</c:v>
                </c:pt>
                <c:pt idx="50">
                  <c:v>1.6915035214697591</c:v>
                </c:pt>
                <c:pt idx="51">
                  <c:v>1.6022709678425973</c:v>
                </c:pt>
                <c:pt idx="52">
                  <c:v>1.5260949961030321</c:v>
                </c:pt>
                <c:pt idx="53">
                  <c:v>1.4603652308008392</c:v>
                </c:pt>
                <c:pt idx="54">
                  <c:v>1.4031157251568276</c:v>
                </c:pt>
                <c:pt idx="55">
                  <c:v>1.3528395535321116</c:v>
                </c:pt>
                <c:pt idx="56">
                  <c:v>1.3083633497339899</c:v>
                </c:pt>
                <c:pt idx="57">
                  <c:v>1.2687605397323707</c:v>
                </c:pt>
                <c:pt idx="58">
                  <c:v>1.2332901336794484</c:v>
                </c:pt>
                <c:pt idx="59">
                  <c:v>1.2013527629548135</c:v>
                </c:pt>
                <c:pt idx="60">
                  <c:v>1.1724585811910933</c:v>
                </c:pt>
                <c:pt idx="61">
                  <c:v>1.1462034742108889</c:v>
                </c:pt>
                <c:pt idx="62">
                  <c:v>1.1222511850942101</c:v>
                </c:pt>
                <c:pt idx="63">
                  <c:v>1.1003197140231982</c:v>
                </c:pt>
                <c:pt idx="64">
                  <c:v>1.0801708504954202</c:v>
                </c:pt>
                <c:pt idx="65">
                  <c:v>1.0616020302914293</c:v>
                </c:pt>
                <c:pt idx="66">
                  <c:v>1.0444399382984499</c:v>
                </c:pt>
                <c:pt idx="67">
                  <c:v>1.0285354368708968</c:v>
                </c:pt>
                <c:pt idx="68">
                  <c:v>1.0137595108827029</c:v>
                </c:pt>
                <c:pt idx="69">
                  <c:v>1</c:v>
                </c:pt>
                <c:pt idx="70">
                  <c:v>0.92665336681927202</c:v>
                </c:pt>
                <c:pt idx="71">
                  <c:v>0.87723439196059105</c:v>
                </c:pt>
                <c:pt idx="72">
                  <c:v>0.8419167945280317</c:v>
                </c:pt>
                <c:pt idx="73">
                  <c:v>0.81554655568301382</c:v>
                </c:pt>
                <c:pt idx="74">
                  <c:v>0.79517065201017434</c:v>
                </c:pt>
                <c:pt idx="75">
                  <c:v>0.77898159085307739</c:v>
                </c:pt>
                <c:pt idx="76">
                  <c:v>0.7658147608597462</c:v>
                </c:pt>
                <c:pt idx="77">
                  <c:v>0.75488830753491964</c:v>
                </c:pt>
                <c:pt idx="78">
                  <c:v>0.74565938166910939</c:v>
                </c:pt>
                <c:pt idx="79">
                  <c:v>0.73774035279165173</c:v>
                </c:pt>
                <c:pt idx="80">
                  <c:v>0.73084777111781829</c:v>
                </c:pt>
                <c:pt idx="81">
                  <c:v>0.72477010086468752</c:v>
                </c:pt>
                <c:pt idx="82">
                  <c:v>0.71934666275294945</c:v>
                </c:pt>
              </c:numCache>
            </c:numRef>
          </c:yVal>
          <c:smooth val="1"/>
          <c:extLst>
            <c:ext xmlns:c16="http://schemas.microsoft.com/office/drawing/2014/chart" uri="{C3380CC4-5D6E-409C-BE32-E72D297353CC}">
              <c16:uniqueId val="{00000007-0D8A-4B4D-ADFF-6CF0B928EE53}"/>
            </c:ext>
          </c:extLst>
        </c:ser>
        <c:ser>
          <c:idx val="8"/>
          <c:order val="8"/>
          <c:tx>
            <c:strRef>
              <c:f>RTC!$B$108</c:f>
              <c:strCache>
                <c:ptCount val="1"/>
                <c:pt idx="0">
                  <c:v>M(fn,100%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RTC!$C$108:$CG$108</c:f>
              <c:numCache>
                <c:formatCode>General</c:formatCode>
                <c:ptCount val="83"/>
                <c:pt idx="0">
                  <c:v>2.1818182479920704E-8</c:v>
                </c:pt>
                <c:pt idx="1">
                  <c:v>1.2885285829841006E-3</c:v>
                </c:pt>
                <c:pt idx="2">
                  <c:v>3.2950119481721194E-3</c:v>
                </c:pt>
                <c:pt idx="3">
                  <c:v>6.2440144033623097E-3</c:v>
                </c:pt>
                <c:pt idx="4">
                  <c:v>1.0158553191859945E-2</c:v>
                </c:pt>
                <c:pt idx="5">
                  <c:v>1.5069602622699301E-2</c:v>
                </c:pt>
                <c:pt idx="6">
                  <c:v>2.1016704876682134E-2</c:v>
                </c:pt>
                <c:pt idx="7">
                  <c:v>2.8048768388947723E-2</c:v>
                </c:pt>
                <c:pt idx="8">
                  <c:v>3.6225083729408088E-2</c:v>
                </c:pt>
                <c:pt idx="9">
                  <c:v>4.5616596356075428E-2</c:v>
                </c:pt>
                <c:pt idx="10">
                  <c:v>5.6307487501055131E-2</c:v>
                </c:pt>
                <c:pt idx="11">
                  <c:v>6.83971296301875E-2</c:v>
                </c:pt>
                <c:pt idx="12">
                  <c:v>8.2002502564154742E-2</c:v>
                </c:pt>
                <c:pt idx="13">
                  <c:v>9.7261182059277002E-2</c:v>
                </c:pt>
                <c:pt idx="14">
                  <c:v>0.11433504662530793</c:v>
                </c:pt>
                <c:pt idx="15">
                  <c:v>0.13341489367348136</c:v>
                </c:pt>
                <c:pt idx="16">
                  <c:v>0.15472621704054584</c:v>
                </c:pt>
                <c:pt idx="17">
                  <c:v>0.17853648058534624</c:v>
                </c:pt>
                <c:pt idx="18">
                  <c:v>0.20516433548851423</c:v>
                </c:pt>
                <c:pt idx="19">
                  <c:v>0.23499138428974772</c:v>
                </c:pt>
                <c:pt idx="20">
                  <c:v>0.26847730985236462</c:v>
                </c:pt>
                <c:pt idx="21">
                  <c:v>0.30617948669159406</c:v>
                </c:pt>
                <c:pt idx="22">
                  <c:v>0.34877860915110864</c:v>
                </c:pt>
                <c:pt idx="23">
                  <c:v>0.39711245078414564</c:v>
                </c:pt>
                <c:pt idx="24">
                  <c:v>0.45222066752110879</c:v>
                </c:pt>
                <c:pt idx="25">
                  <c:v>0.51540462938092035</c:v>
                </c:pt>
                <c:pt idx="26">
                  <c:v>0.58830762840615813</c:v>
                </c:pt>
                <c:pt idx="27">
                  <c:v>0.67302232488870162</c:v>
                </c:pt>
                <c:pt idx="28">
                  <c:v>0.77223333712321429</c:v>
                </c:pt>
                <c:pt idx="29">
                  <c:v>0.88940146434470002</c:v>
                </c:pt>
                <c:pt idx="30">
                  <c:v>1.0289864824494521</c:v>
                </c:pt>
                <c:pt idx="31">
                  <c:v>1.1966724314094623</c:v>
                </c:pt>
                <c:pt idx="32">
                  <c:v>1.3994632574174968</c:v>
                </c:pt>
                <c:pt idx="33">
                  <c:v>1.6452628496952006</c:v>
                </c:pt>
                <c:pt idx="34">
                  <c:v>1.9409529095430136</c:v>
                </c:pt>
                <c:pt idx="35">
                  <c:v>2.286856711332343</c:v>
                </c:pt>
                <c:pt idx="36">
                  <c:v>2.664689739148864</c:v>
                </c:pt>
                <c:pt idx="37">
                  <c:v>3.0210297534050943</c:v>
                </c:pt>
                <c:pt idx="38">
                  <c:v>3.2681466330811526</c:v>
                </c:pt>
                <c:pt idx="39">
                  <c:v>3.3110252196145522</c:v>
                </c:pt>
                <c:pt idx="40">
                  <c:v>3.3156909367168934</c:v>
                </c:pt>
                <c:pt idx="41">
                  <c:v>3.165485129035889</c:v>
                </c:pt>
                <c:pt idx="42">
                  <c:v>2.9379147301897302</c:v>
                </c:pt>
                <c:pt idx="43">
                  <c:v>2.6956469422014004</c:v>
                </c:pt>
                <c:pt idx="44">
                  <c:v>2.4705166769883413</c:v>
                </c:pt>
                <c:pt idx="45">
                  <c:v>2.2731978578150067</c:v>
                </c:pt>
                <c:pt idx="46">
                  <c:v>2.1043137440172504</c:v>
                </c:pt>
                <c:pt idx="47">
                  <c:v>1.9607997258777867</c:v>
                </c:pt>
                <c:pt idx="48">
                  <c:v>1.8387414801727384</c:v>
                </c:pt>
                <c:pt idx="49">
                  <c:v>1.7344475901781762</c:v>
                </c:pt>
                <c:pt idx="50">
                  <c:v>1.6447671953798582</c:v>
                </c:pt>
                <c:pt idx="51">
                  <c:v>1.5671176092543677</c:v>
                </c:pt>
                <c:pt idx="52">
                  <c:v>1.4994159312519777</c:v>
                </c:pt>
                <c:pt idx="53">
                  <c:v>1.4399901776491046</c:v>
                </c:pt>
                <c:pt idx="54">
                  <c:v>1.3874966034904137</c:v>
                </c:pt>
                <c:pt idx="55">
                  <c:v>1.3408506390314692</c:v>
                </c:pt>
                <c:pt idx="56">
                  <c:v>1.2991717638123261</c:v>
                </c:pt>
                <c:pt idx="57">
                  <c:v>1.2617403838170929</c:v>
                </c:pt>
                <c:pt idx="58">
                  <c:v>1.2279643637936826</c:v>
                </c:pt>
                <c:pt idx="59">
                  <c:v>1.1973530893088902</c:v>
                </c:pt>
                <c:pt idx="60">
                  <c:v>1.1694973196907215</c:v>
                </c:pt>
                <c:pt idx="61">
                  <c:v>1.1440534718277999</c:v>
                </c:pt>
                <c:pt idx="62">
                  <c:v>1.1207312935183062</c:v>
                </c:pt>
                <c:pt idx="63">
                  <c:v>1.0992841366401696</c:v>
                </c:pt>
                <c:pt idx="64">
                  <c:v>1.0795012330280616</c:v>
                </c:pt>
                <c:pt idx="65">
                  <c:v>1.0612015212514392</c:v>
                </c:pt>
                <c:pt idx="66">
                  <c:v>1.0442286814174895</c:v>
                </c:pt>
                <c:pt idx="67">
                  <c:v>1.028447116660097</c:v>
                </c:pt>
                <c:pt idx="68">
                  <c:v>1.0137386810967635</c:v>
                </c:pt>
                <c:pt idx="69">
                  <c:v>1</c:v>
                </c:pt>
                <c:pt idx="70">
                  <c:v>0.9259862501827153</c:v>
                </c:pt>
                <c:pt idx="71">
                  <c:v>0.87515050886117685</c:v>
                </c:pt>
                <c:pt idx="72">
                  <c:v>0.83806761170528898</c:v>
                </c:pt>
                <c:pt idx="73">
                  <c:v>0.80972746125639039</c:v>
                </c:pt>
                <c:pt idx="74">
                  <c:v>0.78723671009002483</c:v>
                </c:pt>
                <c:pt idx="75">
                  <c:v>0.76881622259455229</c:v>
                </c:pt>
                <c:pt idx="76">
                  <c:v>0.75331704608022088</c:v>
                </c:pt>
                <c:pt idx="77">
                  <c:v>0.73996753261833481</c:v>
                </c:pt>
                <c:pt idx="78">
                  <c:v>0.72823262046716475</c:v>
                </c:pt>
                <c:pt idx="79">
                  <c:v>0.71773138144407611</c:v>
                </c:pt>
                <c:pt idx="80">
                  <c:v>0.70818658508753285</c:v>
                </c:pt>
                <c:pt idx="81">
                  <c:v>0.69939270288926503</c:v>
                </c:pt>
                <c:pt idx="82">
                  <c:v>0.69119496620994025</c:v>
                </c:pt>
              </c:numCache>
            </c:numRef>
          </c:yVal>
          <c:smooth val="1"/>
          <c:extLst>
            <c:ext xmlns:c16="http://schemas.microsoft.com/office/drawing/2014/chart" uri="{C3380CC4-5D6E-409C-BE32-E72D297353CC}">
              <c16:uniqueId val="{00000008-0D8A-4B4D-ADFF-6CF0B928EE53}"/>
            </c:ext>
          </c:extLst>
        </c:ser>
        <c:ser>
          <c:idx val="9"/>
          <c:order val="9"/>
          <c:tx>
            <c:strRef>
              <c:f>RTC!$B$109</c:f>
              <c:strCache>
                <c:ptCount val="1"/>
                <c:pt idx="0">
                  <c:v>M(fn,75%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RTC!$C$109:$CG$109</c:f>
              <c:numCache>
                <c:formatCode>General</c:formatCode>
                <c:ptCount val="83"/>
                <c:pt idx="0">
                  <c:v>2.1818182494128961E-8</c:v>
                </c:pt>
                <c:pt idx="1">
                  <c:v>1.288578171574027E-3</c:v>
                </c:pt>
                <c:pt idx="2">
                  <c:v>3.2953365564165381E-3</c:v>
                </c:pt>
                <c:pt idx="3">
                  <c:v>6.2451818527583169E-3</c:v>
                </c:pt>
                <c:pt idx="4">
                  <c:v>1.0161649593314151E-2</c:v>
                </c:pt>
                <c:pt idx="5">
                  <c:v>1.5076433975065679E-2</c:v>
                </c:pt>
                <c:pt idx="6">
                  <c:v>2.1030033274098695E-2</c:v>
                </c:pt>
                <c:pt idx="7">
                  <c:v>2.8072595420429815E-2</c:v>
                </c:pt>
                <c:pt idx="8">
                  <c:v>3.6264996999625973E-2</c:v>
                </c:pt>
                <c:pt idx="9">
                  <c:v>4.5680199715147266E-2</c:v>
                </c:pt>
                <c:pt idx="10">
                  <c:v>5.640494203549281E-2</c:v>
                </c:pt>
                <c:pt idx="11">
                  <c:v>6.854184145450834E-2</c:v>
                </c:pt>
                <c:pt idx="12">
                  <c:v>8.2212006016100361E-2</c:v>
                </c:pt>
                <c:pt idx="13">
                  <c:v>9.7558284599454398E-2</c:v>
                </c:pt>
                <c:pt idx="14">
                  <c:v>0.11474932690509751</c:v>
                </c:pt>
                <c:pt idx="15">
                  <c:v>0.13398468039047992</c:v>
                </c:pt>
                <c:pt idx="16">
                  <c:v>0.15550122875600239</c:v>
                </c:pt>
                <c:pt idx="17">
                  <c:v>0.17958138403859605</c:v>
                </c:pt>
                <c:pt idx="18">
                  <c:v>0.20656359537070312</c:v>
                </c:pt>
                <c:pt idx="19">
                  <c:v>0.23685595218794511</c:v>
                </c:pt>
                <c:pt idx="20">
                  <c:v>0.27095396878595501</c:v>
                </c:pt>
                <c:pt idx="21">
                  <c:v>0.30946408779780116</c:v>
                </c:pt>
                <c:pt idx="22">
                  <c:v>0.35313510574261586</c:v>
                </c:pt>
                <c:pt idx="23">
                  <c:v>0.40290071951848322</c:v>
                </c:pt>
                <c:pt idx="24">
                  <c:v>0.45993790091907139</c:v>
                </c:pt>
                <c:pt idx="25">
                  <c:v>0.52574811603441041</c:v>
                </c:pt>
                <c:pt idx="26">
                  <c:v>0.60227197223209405</c:v>
                </c:pt>
                <c:pt idx="27">
                  <c:v>0.69205339033255242</c:v>
                </c:pt>
                <c:pt idx="28">
                  <c:v>0.79847783432444808</c:v>
                </c:pt>
                <c:pt idx="29">
                  <c:v>0.92612151818432153</c:v>
                </c:pt>
                <c:pt idx="30">
                  <c:v>1.0812646200199973</c:v>
                </c:pt>
                <c:pt idx="31">
                  <c:v>1.2726343216532146</c:v>
                </c:pt>
                <c:pt idx="32">
                  <c:v>1.5124180898398729</c:v>
                </c:pt>
                <c:pt idx="33">
                  <c:v>1.8173855912326224</c:v>
                </c:pt>
                <c:pt idx="34">
                  <c:v>2.2090801713925834</c:v>
                </c:pt>
                <c:pt idx="35">
                  <c:v>2.7089090039799784</c:v>
                </c:pt>
                <c:pt idx="36">
                  <c:v>3.3153045546675202</c:v>
                </c:pt>
                <c:pt idx="37">
                  <c:v>3.9416922154280147</c:v>
                </c:pt>
                <c:pt idx="38">
                  <c:v>4.357523942376635</c:v>
                </c:pt>
                <c:pt idx="39">
                  <c:v>4.4041940885742372</c:v>
                </c:pt>
                <c:pt idx="40">
                  <c:v>4.2612033432527046</c:v>
                </c:pt>
                <c:pt idx="41">
                  <c:v>3.8527942441394005</c:v>
                </c:pt>
                <c:pt idx="42">
                  <c:v>3.3982236476184218</c:v>
                </c:pt>
                <c:pt idx="43">
                  <c:v>2.9979567124083721</c:v>
                </c:pt>
                <c:pt idx="44">
                  <c:v>2.6711570417583141</c:v>
                </c:pt>
                <c:pt idx="45">
                  <c:v>2.4092786879197372</c:v>
                </c:pt>
                <c:pt idx="46">
                  <c:v>2.1988449901644733</c:v>
                </c:pt>
                <c:pt idx="47">
                  <c:v>2.0279628274312711</c:v>
                </c:pt>
                <c:pt idx="48">
                  <c:v>1.8874111529356545</c:v>
                </c:pt>
                <c:pt idx="49">
                  <c:v>1.7703076368044173</c:v>
                </c:pt>
                <c:pt idx="50">
                  <c:v>1.671550850643214</c:v>
                </c:pt>
                <c:pt idx="51">
                  <c:v>1.5873385715548483</c:v>
                </c:pt>
                <c:pt idx="52">
                  <c:v>1.5148067641068692</c:v>
                </c:pt>
                <c:pt idx="53">
                  <c:v>1.4517710548787346</c:v>
                </c:pt>
                <c:pt idx="54">
                  <c:v>1.396543915521502</c:v>
                </c:pt>
                <c:pt idx="55">
                  <c:v>1.3478052167776442</c:v>
                </c:pt>
                <c:pt idx="56">
                  <c:v>1.3045098739697338</c:v>
                </c:pt>
                <c:pt idx="57">
                  <c:v>1.2658212630462244</c:v>
                </c:pt>
                <c:pt idx="58">
                  <c:v>1.2310626548488726</c:v>
                </c:pt>
                <c:pt idx="59">
                  <c:v>1.1996813670832631</c:v>
                </c:pt>
                <c:pt idx="60">
                  <c:v>1.1712219910308832</c:v>
                </c:pt>
                <c:pt idx="61">
                  <c:v>1.1453061677974472</c:v>
                </c:pt>
                <c:pt idx="62">
                  <c:v>1.1216171458202568</c:v>
                </c:pt>
                <c:pt idx="63">
                  <c:v>1.099887867894062</c:v>
                </c:pt>
                <c:pt idx="64">
                  <c:v>1.0798916918159434</c:v>
                </c:pt>
                <c:pt idx="65">
                  <c:v>1.0614350964231427</c:v>
                </c:pt>
                <c:pt idx="66">
                  <c:v>1.044351899017198</c:v>
                </c:pt>
                <c:pt idx="67">
                  <c:v>1.0284986340178952</c:v>
                </c:pt>
                <c:pt idx="68">
                  <c:v>1.0137508316491879</c:v>
                </c:pt>
                <c:pt idx="69">
                  <c:v>1</c:v>
                </c:pt>
                <c:pt idx="70">
                  <c:v>0.92637522637472969</c:v>
                </c:pt>
                <c:pt idx="71">
                  <c:v>0.87636429979908725</c:v>
                </c:pt>
                <c:pt idx="72">
                  <c:v>0.84030653357038576</c:v>
                </c:pt>
                <c:pt idx="73">
                  <c:v>0.8131067261316709</c:v>
                </c:pt>
                <c:pt idx="74">
                  <c:v>0.79183579693340045</c:v>
                </c:pt>
                <c:pt idx="75">
                  <c:v>0.77469725207046947</c:v>
                </c:pt>
                <c:pt idx="76">
                  <c:v>0.76053224006517439</c:v>
                </c:pt>
                <c:pt idx="77">
                  <c:v>0.7485624272603979</c:v>
                </c:pt>
                <c:pt idx="78">
                  <c:v>0.73824750526586647</c:v>
                </c:pt>
                <c:pt idx="79">
                  <c:v>0.72920196164554796</c:v>
                </c:pt>
                <c:pt idx="80">
                  <c:v>0.72114429664412516</c:v>
                </c:pt>
                <c:pt idx="81">
                  <c:v>0.71386487398730347</c:v>
                </c:pt>
                <c:pt idx="82">
                  <c:v>0.70720491604949265</c:v>
                </c:pt>
              </c:numCache>
            </c:numRef>
          </c:yVal>
          <c:smooth val="1"/>
          <c:extLst>
            <c:ext xmlns:c16="http://schemas.microsoft.com/office/drawing/2014/chart" uri="{C3380CC4-5D6E-409C-BE32-E72D297353CC}">
              <c16:uniqueId val="{00000009-0D8A-4B4D-ADFF-6CF0B928EE53}"/>
            </c:ext>
          </c:extLst>
        </c:ser>
        <c:ser>
          <c:idx val="10"/>
          <c:order val="10"/>
          <c:tx>
            <c:strRef>
              <c:f>RTC!$B$110</c:f>
              <c:strCache>
                <c:ptCount val="1"/>
                <c:pt idx="0">
                  <c:v>M(fn,50%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RTC!$C$110:$CG$110</c:f>
              <c:numCache>
                <c:formatCode>General</c:formatCode>
                <c:ptCount val="83"/>
                <c:pt idx="0">
                  <c:v>2.1818182504277716E-8</c:v>
                </c:pt>
                <c:pt idx="1">
                  <c:v>1.2886135955008332E-3</c:v>
                </c:pt>
                <c:pt idx="2">
                  <c:v>3.2955684781936466E-3</c:v>
                </c:pt>
                <c:pt idx="3">
                  <c:v>6.2460161462191653E-3</c:v>
                </c:pt>
                <c:pt idx="4">
                  <c:v>1.0163863042965088E-2</c:v>
                </c:pt>
                <c:pt idx="5">
                  <c:v>1.5081319204381372E-2</c:v>
                </c:pt>
                <c:pt idx="6">
                  <c:v>2.1039569098202388E-2</c:v>
                </c:pt>
                <c:pt idx="7">
                  <c:v>2.8089651953662267E-2</c:v>
                </c:pt>
                <c:pt idx="8">
                  <c:v>3.6293587388214997E-2</c:v>
                </c:pt>
                <c:pt idx="9">
                  <c:v>4.5725793918706494E-2</c:v>
                </c:pt>
                <c:pt idx="10">
                  <c:v>5.647486303862221E-2</c:v>
                </c:pt>
                <c:pt idx="11">
                  <c:v>6.8645771225195648E-2</c:v>
                </c:pt>
                <c:pt idx="12">
                  <c:v>8.2362638290634962E-2</c:v>
                </c:pt>
                <c:pt idx="13">
                  <c:v>9.777217543465197E-2</c:v>
                </c:pt>
                <c:pt idx="14">
                  <c:v>0.11504801381981522</c:v>
                </c:pt>
                <c:pt idx="15">
                  <c:v>0.1343961697659459</c:v>
                </c:pt>
                <c:pt idx="16">
                  <c:v>0.15606199356055589</c:v>
                </c:pt>
                <c:pt idx="17">
                  <c:v>0.18033907712619268</c:v>
                </c:pt>
                <c:pt idx="18">
                  <c:v>0.20758077920643064</c:v>
                </c:pt>
                <c:pt idx="19">
                  <c:v>0.23821529291505833</c:v>
                </c:pt>
                <c:pt idx="20">
                  <c:v>0.27276557284516439</c:v>
                </c:pt>
                <c:pt idx="21">
                  <c:v>0.3118760270307826</c:v>
                </c:pt>
                <c:pt idx="22">
                  <c:v>0.35634877663150372</c:v>
                </c:pt>
                <c:pt idx="23">
                  <c:v>0.40719368317894933</c:v>
                </c:pt>
                <c:pt idx="24">
                  <c:v>0.46569856393000625</c:v>
                </c:pt>
                <c:pt idx="25">
                  <c:v>0.53352962776885804</c:v>
                </c:pt>
                <c:pt idx="26">
                  <c:v>0.61287818547722495</c:v>
                </c:pt>
                <c:pt idx="27">
                  <c:v>0.70667999489874977</c:v>
                </c:pt>
                <c:pt idx="28">
                  <c:v>0.81895174017762684</c:v>
                </c:pt>
                <c:pt idx="29">
                  <c:v>0.95532197886781722</c:v>
                </c:pt>
                <c:pt idx="30">
                  <c:v>1.1238949075668698</c:v>
                </c:pt>
                <c:pt idx="31">
                  <c:v>1.336700784700356</c:v>
                </c:pt>
                <c:pt idx="32">
                  <c:v>1.6122041821848843</c:v>
                </c:pt>
                <c:pt idx="33">
                  <c:v>1.9797167331940804</c:v>
                </c:pt>
                <c:pt idx="34">
                  <c:v>2.4869471935964955</c:v>
                </c:pt>
                <c:pt idx="35">
                  <c:v>3.2103200546599169</c:v>
                </c:pt>
                <c:pt idx="36">
                  <c:v>4.2496371420859811</c:v>
                </c:pt>
                <c:pt idx="37">
                  <c:v>5.5838781280519632</c:v>
                </c:pt>
                <c:pt idx="38">
                  <c:v>6.5362649062806746</c:v>
                </c:pt>
                <c:pt idx="39">
                  <c:v>6.56187709048654</c:v>
                </c:pt>
                <c:pt idx="40">
                  <c:v>5.8283032893166347</c:v>
                </c:pt>
                <c:pt idx="41">
                  <c:v>4.7563696098705019</c:v>
                </c:pt>
                <c:pt idx="42">
                  <c:v>3.9015255964034536</c:v>
                </c:pt>
                <c:pt idx="43">
                  <c:v>3.2890887050132047</c:v>
                </c:pt>
                <c:pt idx="44">
                  <c:v>2.8486465633840918</c:v>
                </c:pt>
                <c:pt idx="45">
                  <c:v>2.5229481085899601</c:v>
                </c:pt>
                <c:pt idx="46">
                  <c:v>2.274741534759305</c:v>
                </c:pt>
                <c:pt idx="47">
                  <c:v>2.0803949878791861</c:v>
                </c:pt>
                <c:pt idx="48">
                  <c:v>1.9246409174621322</c:v>
                </c:pt>
                <c:pt idx="49">
                  <c:v>1.7973280730835068</c:v>
                </c:pt>
                <c:pt idx="50">
                  <c:v>1.6915035214697591</c:v>
                </c:pt>
                <c:pt idx="51">
                  <c:v>1.6022709678425973</c:v>
                </c:pt>
                <c:pt idx="52">
                  <c:v>1.5260949961030321</c:v>
                </c:pt>
                <c:pt idx="53">
                  <c:v>1.4603652308008392</c:v>
                </c:pt>
                <c:pt idx="54">
                  <c:v>1.4031157251568276</c:v>
                </c:pt>
                <c:pt idx="55">
                  <c:v>1.3528395535321116</c:v>
                </c:pt>
                <c:pt idx="56">
                  <c:v>1.3083633497339899</c:v>
                </c:pt>
                <c:pt idx="57">
                  <c:v>1.2687605397323707</c:v>
                </c:pt>
                <c:pt idx="58">
                  <c:v>1.2332901336794484</c:v>
                </c:pt>
                <c:pt idx="59">
                  <c:v>1.2013527629548135</c:v>
                </c:pt>
                <c:pt idx="60">
                  <c:v>1.1724585811910933</c:v>
                </c:pt>
                <c:pt idx="61">
                  <c:v>1.1462034742108889</c:v>
                </c:pt>
                <c:pt idx="62">
                  <c:v>1.1222511850942101</c:v>
                </c:pt>
                <c:pt idx="63">
                  <c:v>1.1003197140231982</c:v>
                </c:pt>
                <c:pt idx="64">
                  <c:v>1.0801708504954202</c:v>
                </c:pt>
                <c:pt idx="65">
                  <c:v>1.0616020302914293</c:v>
                </c:pt>
                <c:pt idx="66">
                  <c:v>1.0444399382984499</c:v>
                </c:pt>
                <c:pt idx="67">
                  <c:v>1.0285354368708968</c:v>
                </c:pt>
                <c:pt idx="68">
                  <c:v>1.0137595108827029</c:v>
                </c:pt>
                <c:pt idx="69">
                  <c:v>1</c:v>
                </c:pt>
                <c:pt idx="70">
                  <c:v>0.92665336681927202</c:v>
                </c:pt>
                <c:pt idx="71">
                  <c:v>0.87723439196059105</c:v>
                </c:pt>
                <c:pt idx="72">
                  <c:v>0.8419167945280317</c:v>
                </c:pt>
                <c:pt idx="73">
                  <c:v>0.81554655568301382</c:v>
                </c:pt>
                <c:pt idx="74">
                  <c:v>0.79517065201017434</c:v>
                </c:pt>
                <c:pt idx="75">
                  <c:v>0.77898159085307739</c:v>
                </c:pt>
                <c:pt idx="76">
                  <c:v>0.7658147608597462</c:v>
                </c:pt>
                <c:pt idx="77">
                  <c:v>0.75488830753491964</c:v>
                </c:pt>
                <c:pt idx="78">
                  <c:v>0.74565938166910939</c:v>
                </c:pt>
                <c:pt idx="79">
                  <c:v>0.73774035279165173</c:v>
                </c:pt>
                <c:pt idx="80">
                  <c:v>0.73084777111781829</c:v>
                </c:pt>
                <c:pt idx="81">
                  <c:v>0.72477010086468752</c:v>
                </c:pt>
                <c:pt idx="82">
                  <c:v>0.71934666275294945</c:v>
                </c:pt>
              </c:numCache>
            </c:numRef>
          </c:yVal>
          <c:smooth val="1"/>
          <c:extLst>
            <c:ext xmlns:c16="http://schemas.microsoft.com/office/drawing/2014/chart" uri="{C3380CC4-5D6E-409C-BE32-E72D297353CC}">
              <c16:uniqueId val="{0000000A-0D8A-4B4D-ADFF-6CF0B928EE53}"/>
            </c:ext>
          </c:extLst>
        </c:ser>
        <c:ser>
          <c:idx val="11"/>
          <c:order val="11"/>
          <c:tx>
            <c:strRef>
              <c:f>RTC!$B$111</c:f>
              <c:strCache>
                <c:ptCount val="1"/>
                <c:pt idx="0">
                  <c:v>M(fn,25%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2.4280026523417007E-2</c:v>
                </c:pt>
                <c:pt idx="2">
                  <c:v>3.8772780146605415E-2</c:v>
                </c:pt>
                <c:pt idx="3">
                  <c:v>5.3265533769793823E-2</c:v>
                </c:pt>
                <c:pt idx="4">
                  <c:v>6.775828739298223E-2</c:v>
                </c:pt>
                <c:pt idx="5">
                  <c:v>8.2251041016170631E-2</c:v>
                </c:pt>
                <c:pt idx="6">
                  <c:v>9.6743794639359032E-2</c:v>
                </c:pt>
                <c:pt idx="7">
                  <c:v>0.11123654826254743</c:v>
                </c:pt>
                <c:pt idx="8">
                  <c:v>0.12572930188573583</c:v>
                </c:pt>
                <c:pt idx="9">
                  <c:v>0.14022205550892425</c:v>
                </c:pt>
                <c:pt idx="10">
                  <c:v>0.15471480913211266</c:v>
                </c:pt>
                <c:pt idx="11">
                  <c:v>0.16920756275530108</c:v>
                </c:pt>
                <c:pt idx="12">
                  <c:v>0.18370031637848949</c:v>
                </c:pt>
                <c:pt idx="13">
                  <c:v>0.19819307000167791</c:v>
                </c:pt>
                <c:pt idx="14">
                  <c:v>0.21268582362486632</c:v>
                </c:pt>
                <c:pt idx="15">
                  <c:v>0.22717857724805474</c:v>
                </c:pt>
                <c:pt idx="16">
                  <c:v>0.24167133087124315</c:v>
                </c:pt>
                <c:pt idx="17">
                  <c:v>0.25616408449443157</c:v>
                </c:pt>
                <c:pt idx="18">
                  <c:v>0.27065683811761998</c:v>
                </c:pt>
                <c:pt idx="19">
                  <c:v>0.28514959174080839</c:v>
                </c:pt>
                <c:pt idx="20">
                  <c:v>0.29964234536399681</c:v>
                </c:pt>
                <c:pt idx="21">
                  <c:v>0.31413509898718522</c:v>
                </c:pt>
                <c:pt idx="22">
                  <c:v>0.32862785261037364</c:v>
                </c:pt>
                <c:pt idx="23">
                  <c:v>0.34312060623356205</c:v>
                </c:pt>
                <c:pt idx="24">
                  <c:v>0.35761335985675047</c:v>
                </c:pt>
                <c:pt idx="25">
                  <c:v>0.37210611347993888</c:v>
                </c:pt>
                <c:pt idx="26">
                  <c:v>0.3865988671031273</c:v>
                </c:pt>
                <c:pt idx="27">
                  <c:v>0.40109162072631571</c:v>
                </c:pt>
                <c:pt idx="28">
                  <c:v>0.41558437434950413</c:v>
                </c:pt>
                <c:pt idx="29">
                  <c:v>0.43007712797269254</c:v>
                </c:pt>
                <c:pt idx="30">
                  <c:v>0.44456988159588096</c:v>
                </c:pt>
                <c:pt idx="31">
                  <c:v>0.45906263521906937</c:v>
                </c:pt>
                <c:pt idx="32">
                  <c:v>0.47355538884225779</c:v>
                </c:pt>
                <c:pt idx="33">
                  <c:v>0.4880481424654462</c:v>
                </c:pt>
                <c:pt idx="34">
                  <c:v>0.50254089608863461</c:v>
                </c:pt>
                <c:pt idx="35">
                  <c:v>0.51703364971182297</c:v>
                </c:pt>
                <c:pt idx="36">
                  <c:v>0.53152640333501133</c:v>
                </c:pt>
                <c:pt idx="37">
                  <c:v>0.54601915695819969</c:v>
                </c:pt>
                <c:pt idx="38">
                  <c:v>0.56051191058138805</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1.0990537133847369</c:v>
                </c:pt>
                <c:pt idx="71">
                  <c:v>1.1981074267694738</c:v>
                </c:pt>
                <c:pt idx="72">
                  <c:v>1.2971611401542109</c:v>
                </c:pt>
                <c:pt idx="73">
                  <c:v>1.3962148535389478</c:v>
                </c:pt>
                <c:pt idx="74">
                  <c:v>1.4952685669236847</c:v>
                </c:pt>
                <c:pt idx="75">
                  <c:v>1.5943222803084218</c:v>
                </c:pt>
                <c:pt idx="76">
                  <c:v>1.6933759936931585</c:v>
                </c:pt>
                <c:pt idx="77">
                  <c:v>1.7924297070778956</c:v>
                </c:pt>
                <c:pt idx="78">
                  <c:v>1.8914834204626327</c:v>
                </c:pt>
                <c:pt idx="79">
                  <c:v>1.9905371338473694</c:v>
                </c:pt>
                <c:pt idx="80">
                  <c:v>2.0895908472321061</c:v>
                </c:pt>
                <c:pt idx="81">
                  <c:v>2.1886445606168436</c:v>
                </c:pt>
                <c:pt idx="82">
                  <c:v>2.2876982740015803</c:v>
                </c:pt>
              </c:numCache>
            </c:numRef>
          </c:xVal>
          <c:yVal>
            <c:numRef>
              <c:f>RTC!$C$111:$CG$111</c:f>
              <c:numCache>
                <c:formatCode>General</c:formatCode>
                <c:ptCount val="83"/>
                <c:pt idx="0">
                  <c:v>2.1818182510366966E-8</c:v>
                </c:pt>
                <c:pt idx="1">
                  <c:v>1.2886348512592819E-3</c:v>
                </c:pt>
                <c:pt idx="2">
                  <c:v>3.2957076547663338E-3</c:v>
                </c:pt>
                <c:pt idx="3">
                  <c:v>6.2465168828168913E-3</c:v>
                </c:pt>
                <c:pt idx="4">
                  <c:v>1.0165191807242017E-2</c:v>
                </c:pt>
                <c:pt idx="5">
                  <c:v>1.5084252622425465E-2</c:v>
                </c:pt>
                <c:pt idx="6">
                  <c:v>2.1045296822859667E-2</c:v>
                </c:pt>
                <c:pt idx="7">
                  <c:v>2.8099900808883832E-2</c:v>
                </c:pt>
                <c:pt idx="8">
                  <c:v>3.6310774113015254E-2</c:v>
                </c:pt>
                <c:pt idx="9">
                  <c:v>4.5753216060223069E-2</c:v>
                </c:pt>
                <c:pt idx="10">
                  <c:v>5.651694066037502E-2</c:v>
                </c:pt>
                <c:pt idx="11">
                  <c:v>6.8708356474590837E-2</c:v>
                </c:pt>
                <c:pt idx="12">
                  <c:v>8.245341606112816E-2</c:v>
                </c:pt>
                <c:pt idx="13">
                  <c:v>9.7901187193779174E-2</c:v>
                </c:pt>
                <c:pt idx="14">
                  <c:v>0.11522834942108219</c:v>
                </c:pt>
                <c:pt idx="15">
                  <c:v>0.13464489067808946</c:v>
                </c:pt>
                <c:pt idx="16">
                  <c:v>0.15640137850524516</c:v>
                </c:pt>
                <c:pt idx="17">
                  <c:v>0.18079832252130565</c:v>
                </c:pt>
                <c:pt idx="18">
                  <c:v>0.2081983500445049</c:v>
                </c:pt>
                <c:pt idx="19">
                  <c:v>0.23904221799806005</c:v>
                </c:pt>
                <c:pt idx="20">
                  <c:v>0.2738701340767794</c:v>
                </c:pt>
                <c:pt idx="21">
                  <c:v>0.31335054466435652</c:v>
                </c:pt>
                <c:pt idx="22">
                  <c:v>0.35831961032449089</c:v>
                </c:pt>
                <c:pt idx="23">
                  <c:v>0.40983627949521473</c:v>
                </c:pt>
                <c:pt idx="24">
                  <c:v>0.46926062493655119</c:v>
                </c:pt>
                <c:pt idx="25">
                  <c:v>0.53836772348952122</c:v>
                </c:pt>
                <c:pt idx="26">
                  <c:v>0.61951734450923646</c:v>
                </c:pt>
                <c:pt idx="27">
                  <c:v>0.71591402471029431</c:v>
                </c:pt>
                <c:pt idx="28">
                  <c:v>0.83201882091516144</c:v>
                </c:pt>
                <c:pt idx="29">
                  <c:v>0.97422626176868343</c:v>
                </c:pt>
                <c:pt idx="30">
                  <c:v>1.1520277706949573</c:v>
                </c:pt>
                <c:pt idx="31">
                  <c:v>1.3801195101761581</c:v>
                </c:pt>
                <c:pt idx="32">
                  <c:v>1.6824722676826387</c:v>
                </c:pt>
                <c:pt idx="33">
                  <c:v>2.1008248093461006</c:v>
                </c:pt>
                <c:pt idx="34">
                  <c:v>2.7141828103905814</c:v>
                </c:pt>
                <c:pt idx="35">
                  <c:v>3.688982648204016</c:v>
                </c:pt>
                <c:pt idx="36">
                  <c:v>5.4226604572562698</c:v>
                </c:pt>
                <c:pt idx="37">
                  <c:v>8.874334292070964</c:v>
                </c:pt>
                <c:pt idx="38">
                  <c:v>13.072302940891014</c:v>
                </c:pt>
                <c:pt idx="39">
                  <c:v>12.673218577658734</c:v>
                </c:pt>
                <c:pt idx="40">
                  <c:v>8.4340745660325585</c:v>
                </c:pt>
                <c:pt idx="41">
                  <c:v>5.7444694203075599</c:v>
                </c:pt>
                <c:pt idx="42">
                  <c:v>4.3374128318841692</c:v>
                </c:pt>
                <c:pt idx="43">
                  <c:v>3.5105520922385378</c:v>
                </c:pt>
                <c:pt idx="44">
                  <c:v>2.9737766287718053</c:v>
                </c:pt>
                <c:pt idx="45">
                  <c:v>2.5993913032860352</c:v>
                </c:pt>
                <c:pt idx="46">
                  <c:v>2.3242339271319574</c:v>
                </c:pt>
                <c:pt idx="47">
                  <c:v>2.1138760975918665</c:v>
                </c:pt>
                <c:pt idx="48">
                  <c:v>1.9480648411822659</c:v>
                </c:pt>
                <c:pt idx="49">
                  <c:v>1.8141465550045413</c:v>
                </c:pt>
                <c:pt idx="50">
                  <c:v>1.7038236330198682</c:v>
                </c:pt>
                <c:pt idx="51">
                  <c:v>1.6114352549773965</c:v>
                </c:pt>
                <c:pt idx="52">
                  <c:v>1.5329902825925217</c:v>
                </c:pt>
                <c:pt idx="53">
                  <c:v>1.4655955802662384</c:v>
                </c:pt>
                <c:pt idx="54">
                  <c:v>1.4071036247169475</c:v>
                </c:pt>
                <c:pt idx="55">
                  <c:v>1.3558873693313063</c:v>
                </c:pt>
                <c:pt idx="56">
                  <c:v>1.3106918915748877</c:v>
                </c:pt>
                <c:pt idx="57">
                  <c:v>1.2705339644015305</c:v>
                </c:pt>
                <c:pt idx="58">
                  <c:v>1.2346324387746255</c:v>
                </c:pt>
                <c:pt idx="59">
                  <c:v>1.2023589598856741</c:v>
                </c:pt>
                <c:pt idx="60">
                  <c:v>1.1732024180112508</c:v>
                </c:pt>
                <c:pt idx="61">
                  <c:v>1.1467428714483408</c:v>
                </c:pt>
                <c:pt idx="62">
                  <c:v>1.1226321251672753</c:v>
                </c:pt>
                <c:pt idx="63">
                  <c:v>1.100579065987231</c:v>
                </c:pt>
                <c:pt idx="64">
                  <c:v>1.0803384496554489</c:v>
                </c:pt>
                <c:pt idx="65">
                  <c:v>1.0617022284260897</c:v>
                </c:pt>
                <c:pt idx="66">
                  <c:v>1.0444927725557174</c:v>
                </c:pt>
                <c:pt idx="67">
                  <c:v>1.0285575204791526</c:v>
                </c:pt>
                <c:pt idx="68">
                  <c:v>1.013764718529816</c:v>
                </c:pt>
                <c:pt idx="69">
                  <c:v>1</c:v>
                </c:pt>
                <c:pt idx="70">
                  <c:v>0.92682037138935403</c:v>
                </c:pt>
                <c:pt idx="71">
                  <c:v>0.87775769287192829</c:v>
                </c:pt>
                <c:pt idx="72">
                  <c:v>0.84288740590427746</c:v>
                </c:pt>
                <c:pt idx="73">
                  <c:v>0.81702103802787973</c:v>
                </c:pt>
                <c:pt idx="74">
                  <c:v>0.79719190393826278</c:v>
                </c:pt>
                <c:pt idx="75">
                  <c:v>0.78158656674389648</c:v>
                </c:pt>
                <c:pt idx="76">
                  <c:v>0.76903760296553292</c:v>
                </c:pt>
                <c:pt idx="77">
                  <c:v>0.75876169282562234</c:v>
                </c:pt>
                <c:pt idx="78">
                  <c:v>0.75021511775673544</c:v>
                </c:pt>
                <c:pt idx="79">
                  <c:v>0.74300963954348787</c:v>
                </c:pt>
                <c:pt idx="80">
                  <c:v>0.73686130745775735</c:v>
                </c:pt>
                <c:pt idx="81">
                  <c:v>0.73155811827664896</c:v>
                </c:pt>
                <c:pt idx="82">
                  <c:v>0.72693892402849414</c:v>
                </c:pt>
              </c:numCache>
            </c:numRef>
          </c:yVal>
          <c:smooth val="1"/>
          <c:extLst>
            <c:ext xmlns:c16="http://schemas.microsoft.com/office/drawing/2014/chart" uri="{C3380CC4-5D6E-409C-BE32-E72D297353CC}">
              <c16:uniqueId val="{0000000B-0D8A-4B4D-ADFF-6CF0B928EE53}"/>
            </c:ext>
          </c:extLst>
        </c:ser>
        <c:dLbls>
          <c:showLegendKey val="0"/>
          <c:showVal val="0"/>
          <c:showCatName val="0"/>
          <c:showSerName val="0"/>
          <c:showPercent val="0"/>
          <c:showBubbleSize val="0"/>
        </c:dLbls>
        <c:axId val="15799101"/>
        <c:axId val="63864025"/>
      </c:scatterChart>
      <c:valAx>
        <c:axId val="15799101"/>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3864025"/>
        <c:crosses val="autoZero"/>
        <c:crossBetween val="midCat"/>
        <c:majorUnit val="0.1"/>
      </c:valAx>
      <c:valAx>
        <c:axId val="63864025"/>
        <c:scaling>
          <c:orientation val="minMax"/>
          <c:max val="1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5799101"/>
        <c:crossesAt val="0"/>
        <c:crossBetween val="midCat"/>
      </c:valAx>
      <c:spPr>
        <a:noFill/>
        <a:ln w="0">
          <a:noFill/>
        </a:ln>
      </c:spPr>
    </c:plotArea>
    <c:legend>
      <c:legendPos val="r"/>
      <c:layout>
        <c:manualLayout>
          <c:xMode val="edge"/>
          <c:yMode val="edge"/>
          <c:x val="0.65216113502583095"/>
          <c:y val="0.169142867158386"/>
          <c:w val="0.26953931350646199"/>
          <c:h val="0.57854358983588094"/>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BC11-491B-9681-8516E04E8E44}"/>
            </c:ext>
          </c:extLst>
        </c:ser>
        <c:ser>
          <c:idx val="1"/>
          <c:order val="1"/>
          <c:tx>
            <c:strRef>
              <c:f>RTC!$BG$205</c:f>
              <c:strCache>
                <c:ptCount val="1"/>
                <c:pt idx="0">
                  <c:v>Lower fres </c:v>
                </c:pt>
              </c:strCache>
            </c:strRef>
          </c:tx>
          <c:spPr>
            <a:ln w="19080" cap="rnd">
              <a:solidFill>
                <a:srgbClr val="00206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85.071895494482334</c:v>
                </c:pt>
                <c:pt idx="1">
                  <c:v>85.071895494482334</c:v>
                </c:pt>
                <c:pt idx="2">
                  <c:v>85.071895494482334</c:v>
                </c:pt>
                <c:pt idx="3">
                  <c:v>85.071895494482334</c:v>
                </c:pt>
                <c:pt idx="4">
                  <c:v>85.071895494482334</c:v>
                </c:pt>
                <c:pt idx="5">
                  <c:v>85.071895494482334</c:v>
                </c:pt>
                <c:pt idx="6">
                  <c:v>85.071895494482334</c:v>
                </c:pt>
                <c:pt idx="7">
                  <c:v>85.071895494482334</c:v>
                </c:pt>
                <c:pt idx="8">
                  <c:v>85.071895494482334</c:v>
                </c:pt>
                <c:pt idx="9">
                  <c:v>85.071895494482334</c:v>
                </c:pt>
                <c:pt idx="10">
                  <c:v>85.071895494482334</c:v>
                </c:pt>
                <c:pt idx="11">
                  <c:v>85.071895494482334</c:v>
                </c:pt>
                <c:pt idx="12">
                  <c:v>85.071895494482334</c:v>
                </c:pt>
              </c:numCache>
            </c:numRef>
          </c:yVal>
          <c:smooth val="1"/>
          <c:extLst>
            <c:ext xmlns:c16="http://schemas.microsoft.com/office/drawing/2014/chart" uri="{C3380CC4-5D6E-409C-BE32-E72D297353CC}">
              <c16:uniqueId val="{00000001-BC11-491B-9681-8516E04E8E44}"/>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85.071895494482334</c:v>
                </c:pt>
                <c:pt idx="1">
                  <c:v>90.3794202858966</c:v>
                </c:pt>
                <c:pt idx="2">
                  <c:v>95.715550449476737</c:v>
                </c:pt>
                <c:pt idx="3">
                  <c:v>100.52167813387345</c:v>
                </c:pt>
                <c:pt idx="4">
                  <c:v>104.5199567275929</c:v>
                </c:pt>
                <c:pt idx="5">
                  <c:v>107.38597802274474</c:v>
                </c:pt>
                <c:pt idx="6">
                  <c:v>108.48073501066828</c:v>
                </c:pt>
                <c:pt idx="7">
                  <c:v>107.38597802274474</c:v>
                </c:pt>
                <c:pt idx="8">
                  <c:v>104.5199567275929</c:v>
                </c:pt>
                <c:pt idx="9">
                  <c:v>100.52167813387345</c:v>
                </c:pt>
                <c:pt idx="10">
                  <c:v>95.715550449476737</c:v>
                </c:pt>
                <c:pt idx="11">
                  <c:v>90.3794202858966</c:v>
                </c:pt>
                <c:pt idx="12" formatCode="0.00">
                  <c:v>85.071895494482334</c:v>
                </c:pt>
              </c:numCache>
            </c:numRef>
          </c:yVal>
          <c:smooth val="1"/>
          <c:extLst>
            <c:ext xmlns:c16="http://schemas.microsoft.com/office/drawing/2014/chart" uri="{C3380CC4-5D6E-409C-BE32-E72D297353CC}">
              <c16:uniqueId val="{00000002-BC11-491B-9681-8516E04E8E44}"/>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85.071895494482334</c:v>
                </c:pt>
                <c:pt idx="1">
                  <c:v>96.499031332976642</c:v>
                </c:pt>
                <c:pt idx="2">
                  <c:v>112.61281329582202</c:v>
                </c:pt>
                <c:pt idx="3">
                  <c:v>136.30295600670789</c:v>
                </c:pt>
                <c:pt idx="4">
                  <c:v>169.10768602606672</c:v>
                </c:pt>
                <c:pt idx="5">
                  <c:v>198.80408668385192</c:v>
                </c:pt>
                <c:pt idx="6">
                  <c:v>209.49207052165292</c:v>
                </c:pt>
                <c:pt idx="7">
                  <c:v>198.80408668385192</c:v>
                </c:pt>
                <c:pt idx="8">
                  <c:v>169.10768602606672</c:v>
                </c:pt>
                <c:pt idx="9">
                  <c:v>136.30295600670789</c:v>
                </c:pt>
                <c:pt idx="10">
                  <c:v>112.61281329582202</c:v>
                </c:pt>
                <c:pt idx="11">
                  <c:v>96.499031332976642</c:v>
                </c:pt>
                <c:pt idx="12" formatCode="0.00">
                  <c:v>85.071895494482334</c:v>
                </c:pt>
              </c:numCache>
            </c:numRef>
          </c:yVal>
          <c:smooth val="1"/>
          <c:extLst>
            <c:ext xmlns:c16="http://schemas.microsoft.com/office/drawing/2014/chart" uri="{C3380CC4-5D6E-409C-BE32-E72D297353CC}">
              <c16:uniqueId val="{00000003-BC11-491B-9681-8516E04E8E44}"/>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85.071895494482334</c:v>
                </c:pt>
                <c:pt idx="1">
                  <c:v>92.255250939154891</c:v>
                </c:pt>
                <c:pt idx="2">
                  <c:v>100.51056516584286</c:v>
                </c:pt>
                <c:pt idx="3">
                  <c:v>109.6647071786537</c:v>
                </c:pt>
                <c:pt idx="4">
                  <c:v>119.29396947335819</c:v>
                </c:pt>
                <c:pt idx="5">
                  <c:v>127.43083315822061</c:v>
                </c:pt>
                <c:pt idx="6">
                  <c:v>130.71975083013285</c:v>
                </c:pt>
                <c:pt idx="7">
                  <c:v>127.43083315822061</c:v>
                </c:pt>
                <c:pt idx="8">
                  <c:v>119.29396947335819</c:v>
                </c:pt>
                <c:pt idx="9">
                  <c:v>109.6647071786537</c:v>
                </c:pt>
                <c:pt idx="10">
                  <c:v>100.51056516584286</c:v>
                </c:pt>
                <c:pt idx="11">
                  <c:v>92.255250939154891</c:v>
                </c:pt>
                <c:pt idx="12" formatCode="0.00">
                  <c:v>85.071895494482334</c:v>
                </c:pt>
              </c:numCache>
            </c:numRef>
          </c:yVal>
          <c:smooth val="1"/>
          <c:extLst>
            <c:ext xmlns:c16="http://schemas.microsoft.com/office/drawing/2014/chart" uri="{C3380CC4-5D6E-409C-BE32-E72D297353CC}">
              <c16:uniqueId val="{00000004-BC11-491B-9681-8516E04E8E44}"/>
            </c:ext>
          </c:extLst>
        </c:ser>
        <c:dLbls>
          <c:showLegendKey val="0"/>
          <c:showVal val="0"/>
          <c:showCatName val="0"/>
          <c:showSerName val="0"/>
          <c:showPercent val="0"/>
          <c:showBubbleSize val="0"/>
        </c:dLbls>
        <c:axId val="25184922"/>
        <c:axId val="55868069"/>
      </c:scatterChart>
      <c:valAx>
        <c:axId val="25184922"/>
        <c:scaling>
          <c:orientation val="minMax"/>
          <c:max val="3.2"/>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5868069"/>
        <c:crosses val="autoZero"/>
        <c:crossBetween val="midCat"/>
        <c:majorUnit val="0.4"/>
      </c:valAx>
      <c:valAx>
        <c:axId val="55868069"/>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5184922"/>
        <c:crosses val="autoZero"/>
        <c:crossBetween val="midCat"/>
      </c:valAx>
      <c:spPr>
        <a:noFill/>
        <a:ln w="0">
          <a:noFill/>
        </a:ln>
      </c:spPr>
    </c:plotArea>
    <c:legend>
      <c:legendPos val="r"/>
      <c:layout>
        <c:manualLayout>
          <c:xMode val="edge"/>
          <c:yMode val="edge"/>
          <c:x val="0.80184698593479997"/>
          <c:y val="0.16196283010773199"/>
          <c:w val="0.167203804796553"/>
          <c:h val="0.22803864252346001"/>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Output Power on Half Cycle  vs Load </a:t>
            </a:r>
          </a:p>
        </c:rich>
      </c:tx>
      <c:layout>
        <c:manualLayout>
          <c:xMode val="edge"/>
          <c:yMode val="edge"/>
          <c:x val="0.31290479577702102"/>
          <c:y val="4.3659606738529901E-2"/>
        </c:manualLayout>
      </c:layout>
      <c:overlay val="0"/>
      <c:spPr>
        <a:noFill/>
        <a:ln w="0">
          <a:noFill/>
        </a:ln>
      </c:spPr>
    </c:title>
    <c:autoTitleDeleted val="0"/>
    <c:plotArea>
      <c:layout>
        <c:manualLayout>
          <c:layoutTarget val="inner"/>
          <c:xMode val="edge"/>
          <c:yMode val="edge"/>
          <c:x val="0.12537905731721"/>
          <c:y val="0.121499377065164"/>
          <c:w val="0.77821871139231003"/>
          <c:h val="0.73311304913060005"/>
        </c:manualLayout>
      </c:layout>
      <c:scatterChart>
        <c:scatterStyle val="lineMarker"/>
        <c:varyColors val="0"/>
        <c:ser>
          <c:idx val="0"/>
          <c:order val="0"/>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0-4A70-4B33-8F01-74D8A149F846}"/>
            </c:ext>
          </c:extLst>
        </c:ser>
        <c:ser>
          <c:idx val="1"/>
          <c:order val="1"/>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1-4A70-4B33-8F01-74D8A149F846}"/>
            </c:ext>
          </c:extLst>
        </c:ser>
        <c:ser>
          <c:idx val="2"/>
          <c:order val="2"/>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2-4A70-4B33-8F01-74D8A149F846}"/>
            </c:ext>
          </c:extLst>
        </c:ser>
        <c:ser>
          <c:idx val="3"/>
          <c:order val="3"/>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3-4A70-4B33-8F01-74D8A149F846}"/>
            </c:ext>
          </c:extLst>
        </c:ser>
        <c:dLbls>
          <c:showLegendKey val="0"/>
          <c:showVal val="0"/>
          <c:showCatName val="0"/>
          <c:showSerName val="0"/>
          <c:showPercent val="0"/>
          <c:showBubbleSize val="0"/>
        </c:dLbls>
        <c:axId val="65578009"/>
        <c:axId val="65194742"/>
      </c:scatterChart>
      <c:valAx>
        <c:axId val="65578009"/>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5194742"/>
        <c:crosses val="autoZero"/>
        <c:crossBetween val="midCat"/>
      </c:valAx>
      <c:valAx>
        <c:axId val="65194742"/>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Output Power [W]</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5578009"/>
        <c:crosses val="autoZero"/>
        <c:crossBetween val="midCat"/>
      </c:valAx>
      <c:spPr>
        <a:noFill/>
        <a:ln w="0">
          <a:noFill/>
        </a:ln>
      </c:spPr>
    </c:plotArea>
    <c:legend>
      <c:legendPos val="r"/>
      <c:layout>
        <c:manualLayout>
          <c:xMode val="edge"/>
          <c:yMode val="edge"/>
          <c:x val="0.67400784694515903"/>
          <c:y val="0.13638621197560699"/>
          <c:w val="0.13287385049354999"/>
          <c:h val="0.131429154583078"/>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78A3-40E1-A20D-328744320F1E}"/>
            </c:ext>
          </c:extLst>
        </c:ser>
        <c:ser>
          <c:idx val="1"/>
          <c:order val="1"/>
          <c:tx>
            <c:strRef>
              <c:f>RTC!$BG$205</c:f>
              <c:strCache>
                <c:ptCount val="1"/>
                <c:pt idx="0">
                  <c:v>Lower fres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85.071895494482334</c:v>
                </c:pt>
                <c:pt idx="1">
                  <c:v>85.071895494482334</c:v>
                </c:pt>
                <c:pt idx="2">
                  <c:v>85.071895494482334</c:v>
                </c:pt>
                <c:pt idx="3">
                  <c:v>85.071895494482334</c:v>
                </c:pt>
                <c:pt idx="4">
                  <c:v>85.071895494482334</c:v>
                </c:pt>
                <c:pt idx="5">
                  <c:v>85.071895494482334</c:v>
                </c:pt>
                <c:pt idx="6">
                  <c:v>85.071895494482334</c:v>
                </c:pt>
                <c:pt idx="7">
                  <c:v>85.071895494482334</c:v>
                </c:pt>
                <c:pt idx="8">
                  <c:v>85.071895494482334</c:v>
                </c:pt>
                <c:pt idx="9">
                  <c:v>85.071895494482334</c:v>
                </c:pt>
                <c:pt idx="10">
                  <c:v>85.071895494482334</c:v>
                </c:pt>
                <c:pt idx="11">
                  <c:v>85.071895494482334</c:v>
                </c:pt>
                <c:pt idx="12">
                  <c:v>85.071895494482334</c:v>
                </c:pt>
              </c:numCache>
            </c:numRef>
          </c:yVal>
          <c:smooth val="1"/>
          <c:extLst>
            <c:ext xmlns:c16="http://schemas.microsoft.com/office/drawing/2014/chart" uri="{C3380CC4-5D6E-409C-BE32-E72D297353CC}">
              <c16:uniqueId val="{00000001-78A3-40E1-A20D-328744320F1E}"/>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85.071895494482334</c:v>
                </c:pt>
                <c:pt idx="1">
                  <c:v>90.3794202858966</c:v>
                </c:pt>
                <c:pt idx="2">
                  <c:v>95.715550449476737</c:v>
                </c:pt>
                <c:pt idx="3">
                  <c:v>100.52167813387345</c:v>
                </c:pt>
                <c:pt idx="4">
                  <c:v>104.5199567275929</c:v>
                </c:pt>
                <c:pt idx="5">
                  <c:v>107.38597802274474</c:v>
                </c:pt>
                <c:pt idx="6">
                  <c:v>108.48073501066828</c:v>
                </c:pt>
                <c:pt idx="7">
                  <c:v>107.38597802274474</c:v>
                </c:pt>
                <c:pt idx="8">
                  <c:v>104.5199567275929</c:v>
                </c:pt>
                <c:pt idx="9">
                  <c:v>100.52167813387345</c:v>
                </c:pt>
                <c:pt idx="10">
                  <c:v>95.715550449476737</c:v>
                </c:pt>
                <c:pt idx="11">
                  <c:v>90.3794202858966</c:v>
                </c:pt>
                <c:pt idx="12" formatCode="0.00">
                  <c:v>85.071895494482334</c:v>
                </c:pt>
              </c:numCache>
            </c:numRef>
          </c:yVal>
          <c:smooth val="1"/>
          <c:extLst>
            <c:ext xmlns:c16="http://schemas.microsoft.com/office/drawing/2014/chart" uri="{C3380CC4-5D6E-409C-BE32-E72D297353CC}">
              <c16:uniqueId val="{00000002-78A3-40E1-A20D-328744320F1E}"/>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85.071895494482334</c:v>
                </c:pt>
                <c:pt idx="1">
                  <c:v>96.499031332976642</c:v>
                </c:pt>
                <c:pt idx="2">
                  <c:v>112.61281329582202</c:v>
                </c:pt>
                <c:pt idx="3">
                  <c:v>136.30295600670789</c:v>
                </c:pt>
                <c:pt idx="4">
                  <c:v>169.10768602606672</c:v>
                </c:pt>
                <c:pt idx="5">
                  <c:v>198.80408668385192</c:v>
                </c:pt>
                <c:pt idx="6">
                  <c:v>209.49207052165292</c:v>
                </c:pt>
                <c:pt idx="7">
                  <c:v>198.80408668385192</c:v>
                </c:pt>
                <c:pt idx="8">
                  <c:v>169.10768602606672</c:v>
                </c:pt>
                <c:pt idx="9">
                  <c:v>136.30295600670789</c:v>
                </c:pt>
                <c:pt idx="10">
                  <c:v>112.61281329582202</c:v>
                </c:pt>
                <c:pt idx="11">
                  <c:v>96.499031332976642</c:v>
                </c:pt>
                <c:pt idx="12" formatCode="0.00">
                  <c:v>85.071895494482334</c:v>
                </c:pt>
              </c:numCache>
            </c:numRef>
          </c:yVal>
          <c:smooth val="1"/>
          <c:extLst>
            <c:ext xmlns:c16="http://schemas.microsoft.com/office/drawing/2014/chart" uri="{C3380CC4-5D6E-409C-BE32-E72D297353CC}">
              <c16:uniqueId val="{00000003-78A3-40E1-A20D-328744320F1E}"/>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85.071895494482334</c:v>
                </c:pt>
                <c:pt idx="1">
                  <c:v>92.255250939154891</c:v>
                </c:pt>
                <c:pt idx="2">
                  <c:v>100.51056516584286</c:v>
                </c:pt>
                <c:pt idx="3">
                  <c:v>109.6647071786537</c:v>
                </c:pt>
                <c:pt idx="4">
                  <c:v>119.29396947335819</c:v>
                </c:pt>
                <c:pt idx="5">
                  <c:v>127.43083315822061</c:v>
                </c:pt>
                <c:pt idx="6">
                  <c:v>130.71975083013285</c:v>
                </c:pt>
                <c:pt idx="7">
                  <c:v>127.43083315822061</c:v>
                </c:pt>
                <c:pt idx="8">
                  <c:v>119.29396947335819</c:v>
                </c:pt>
                <c:pt idx="9">
                  <c:v>109.6647071786537</c:v>
                </c:pt>
                <c:pt idx="10">
                  <c:v>100.51056516584286</c:v>
                </c:pt>
                <c:pt idx="11">
                  <c:v>92.255250939154891</c:v>
                </c:pt>
                <c:pt idx="12" formatCode="0.00">
                  <c:v>85.071895494482334</c:v>
                </c:pt>
              </c:numCache>
            </c:numRef>
          </c:yVal>
          <c:smooth val="1"/>
          <c:extLst>
            <c:ext xmlns:c16="http://schemas.microsoft.com/office/drawing/2014/chart" uri="{C3380CC4-5D6E-409C-BE32-E72D297353CC}">
              <c16:uniqueId val="{00000004-78A3-40E1-A20D-328744320F1E}"/>
            </c:ext>
          </c:extLst>
        </c:ser>
        <c:dLbls>
          <c:showLegendKey val="0"/>
          <c:showVal val="0"/>
          <c:showCatName val="0"/>
          <c:showSerName val="0"/>
          <c:showPercent val="0"/>
          <c:showBubbleSize val="0"/>
        </c:dLbls>
        <c:axId val="34968827"/>
        <c:axId val="41481985"/>
      </c:scatterChart>
      <c:scatterChart>
        <c:scatterStyle val="lineMarker"/>
        <c:varyColors val="0"/>
        <c:ser>
          <c:idx val="5"/>
          <c:order val="5"/>
          <c:tx>
            <c:strRef>
              <c:f>CC!$B$15</c:f>
              <c:strCache>
                <c:ptCount val="1"/>
                <c:pt idx="0">
                  <c:v>Iout.inst</c:v>
                </c:pt>
              </c:strCache>
            </c:strRef>
          </c:tx>
          <c:spPr>
            <a:ln w="19080" cap="rnd">
              <a:solidFill>
                <a:srgbClr val="0D3A4E"/>
              </a:solidFill>
              <a:prstDash val="sysDot"/>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CC!$C$4:$AM$4</c:f>
              <c:numCache>
                <c:formatCode>General</c:formatCode>
                <c:ptCount val="37"/>
                <c:pt idx="0">
                  <c:v>0</c:v>
                </c:pt>
                <c:pt idx="1">
                  <c:v>0.10134169850289655</c:v>
                </c:pt>
                <c:pt idx="2">
                  <c:v>0.2026833970057931</c:v>
                </c:pt>
                <c:pt idx="3">
                  <c:v>0.30402509550868967</c:v>
                </c:pt>
                <c:pt idx="4">
                  <c:v>0.40536679401158621</c:v>
                </c:pt>
                <c:pt idx="5">
                  <c:v>0.5067084925144828</c:v>
                </c:pt>
                <c:pt idx="6">
                  <c:v>0.60805019101737934</c:v>
                </c:pt>
                <c:pt idx="7">
                  <c:v>0.70939188952027588</c:v>
                </c:pt>
                <c:pt idx="8">
                  <c:v>0.78539816339744828</c:v>
                </c:pt>
                <c:pt idx="9">
                  <c:v>0.81073358802317241</c:v>
                </c:pt>
                <c:pt idx="10">
                  <c:v>0.91207528652606895</c:v>
                </c:pt>
                <c:pt idx="11">
                  <c:v>1.0134169850289656</c:v>
                </c:pt>
                <c:pt idx="12">
                  <c:v>1.0471975511965976</c:v>
                </c:pt>
                <c:pt idx="13">
                  <c:v>1.1147586835318619</c:v>
                </c:pt>
                <c:pt idx="14">
                  <c:v>1.2161003820347587</c:v>
                </c:pt>
                <c:pt idx="15">
                  <c:v>1.3174420805376552</c:v>
                </c:pt>
                <c:pt idx="16">
                  <c:v>1.4187837790405518</c:v>
                </c:pt>
                <c:pt idx="17">
                  <c:v>1.5201254775434481</c:v>
                </c:pt>
                <c:pt idx="18">
                  <c:v>1.5707963267948966</c:v>
                </c:pt>
                <c:pt idx="19">
                  <c:v>1.6214671760463448</c:v>
                </c:pt>
                <c:pt idx="20">
                  <c:v>1.7228088745492416</c:v>
                </c:pt>
                <c:pt idx="21">
                  <c:v>1.8241505730521379</c:v>
                </c:pt>
                <c:pt idx="22">
                  <c:v>1.9254922715550344</c:v>
                </c:pt>
                <c:pt idx="23">
                  <c:v>2.0268339700579312</c:v>
                </c:pt>
                <c:pt idx="24">
                  <c:v>2.0943951023931953</c:v>
                </c:pt>
                <c:pt idx="25">
                  <c:v>2.1281756685608277</c:v>
                </c:pt>
                <c:pt idx="26">
                  <c:v>2.2295173670637238</c:v>
                </c:pt>
                <c:pt idx="27">
                  <c:v>2.3308590655666204</c:v>
                </c:pt>
                <c:pt idx="28">
                  <c:v>2.3561944901923448</c:v>
                </c:pt>
                <c:pt idx="29">
                  <c:v>2.4322007640695174</c:v>
                </c:pt>
                <c:pt idx="30">
                  <c:v>2.5335424625724139</c:v>
                </c:pt>
                <c:pt idx="31">
                  <c:v>2.6348841610753104</c:v>
                </c:pt>
                <c:pt idx="32">
                  <c:v>2.736225859578207</c:v>
                </c:pt>
                <c:pt idx="33">
                  <c:v>2.8375675580811035</c:v>
                </c:pt>
                <c:pt idx="34">
                  <c:v>2.938909256584</c:v>
                </c:pt>
                <c:pt idx="35">
                  <c:v>3.0402509550868961</c:v>
                </c:pt>
                <c:pt idx="36">
                  <c:v>3.1415926535897931</c:v>
                </c:pt>
              </c:numCache>
            </c:numRef>
          </c:xVal>
          <c:yVal>
            <c:numRef>
              <c:f>CC!$C$15:$AM$15</c:f>
              <c:numCache>
                <c:formatCode>General</c:formatCode>
                <c:ptCount val="37"/>
                <c:pt idx="0">
                  <c:v>0</c:v>
                </c:pt>
                <c:pt idx="1">
                  <c:v>0.53836254505939463</c:v>
                </c:pt>
                <c:pt idx="2">
                  <c:v>2.1314095543879343</c:v>
                </c:pt>
                <c:pt idx="3">
                  <c:v>4.7139214962486324</c:v>
                </c:pt>
                <c:pt idx="4">
                  <c:v>8.1801700283094423</c:v>
                </c:pt>
                <c:pt idx="5">
                  <c:v>12.388246528400886</c:v>
                </c:pt>
                <c:pt idx="6">
                  <c:v>17.16587185018123</c:v>
                </c:pt>
                <c:pt idx="7">
                  <c:v>22.317449451629631</c:v>
                </c:pt>
                <c:pt idx="8">
                  <c:v>26.299999999999997</c:v>
                </c:pt>
                <c:pt idx="9">
                  <c:v>27.632073140458136</c:v>
                </c:pt>
                <c:pt idx="10">
                  <c:v>32.892161598404343</c:v>
                </c:pt>
                <c:pt idx="11">
                  <c:v>37.882366185965779</c:v>
                </c:pt>
                <c:pt idx="12">
                  <c:v>39.449999999999996</c:v>
                </c:pt>
                <c:pt idx="13">
                  <c:v>42.398387341003527</c:v>
                </c:pt>
                <c:pt idx="14">
                  <c:v>46.255338626820404</c:v>
                </c:pt>
                <c:pt idx="15">
                  <c:v>49.295316004602512</c:v>
                </c:pt>
                <c:pt idx="16">
                  <c:v>51.393862443321289</c:v>
                </c:pt>
                <c:pt idx="17">
                  <c:v>52.465063205206846</c:v>
                </c:pt>
                <c:pt idx="18">
                  <c:v>52.6</c:v>
                </c:pt>
                <c:pt idx="19">
                  <c:v>52.465063205206846</c:v>
                </c:pt>
                <c:pt idx="20">
                  <c:v>51.393862443321289</c:v>
                </c:pt>
                <c:pt idx="21">
                  <c:v>49.295316004602512</c:v>
                </c:pt>
                <c:pt idx="22">
                  <c:v>46.255338626820404</c:v>
                </c:pt>
                <c:pt idx="23">
                  <c:v>42.398387341003527</c:v>
                </c:pt>
                <c:pt idx="24">
                  <c:v>39.450000000000003</c:v>
                </c:pt>
                <c:pt idx="25">
                  <c:v>37.882366185965779</c:v>
                </c:pt>
                <c:pt idx="26">
                  <c:v>32.892161598404371</c:v>
                </c:pt>
                <c:pt idx="27">
                  <c:v>27.632073140458161</c:v>
                </c:pt>
                <c:pt idx="28">
                  <c:v>26.300000000000004</c:v>
                </c:pt>
                <c:pt idx="29">
                  <c:v>22.317449451629635</c:v>
                </c:pt>
                <c:pt idx="30">
                  <c:v>17.16587185018123</c:v>
                </c:pt>
                <c:pt idx="31">
                  <c:v>12.388246528400886</c:v>
                </c:pt>
                <c:pt idx="32">
                  <c:v>8.1801700283094441</c:v>
                </c:pt>
                <c:pt idx="33">
                  <c:v>4.7139214962486351</c:v>
                </c:pt>
                <c:pt idx="34">
                  <c:v>2.1314095543879361</c:v>
                </c:pt>
                <c:pt idx="35">
                  <c:v>0.53836254505940062</c:v>
                </c:pt>
                <c:pt idx="36">
                  <c:v>7.8952007543317891E-31</c:v>
                </c:pt>
              </c:numCache>
            </c:numRef>
          </c:yVal>
          <c:smooth val="1"/>
          <c:extLst>
            <c:ext xmlns:c16="http://schemas.microsoft.com/office/drawing/2014/chart" uri="{C3380CC4-5D6E-409C-BE32-E72D297353CC}">
              <c16:uniqueId val="{00000005-78A3-40E1-A20D-328744320F1E}"/>
            </c:ext>
          </c:extLst>
        </c:ser>
        <c:dLbls>
          <c:showLegendKey val="0"/>
          <c:showVal val="0"/>
          <c:showCatName val="0"/>
          <c:showSerName val="0"/>
          <c:showPercent val="0"/>
          <c:showBubbleSize val="0"/>
        </c:dLbls>
        <c:axId val="57858797"/>
        <c:axId val="77102432"/>
      </c:scatterChart>
      <c:valAx>
        <c:axId val="34968827"/>
        <c:scaling>
          <c:orientation val="minMax"/>
          <c:max val="3.14"/>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1481985"/>
        <c:crosses val="autoZero"/>
        <c:crossBetween val="midCat"/>
        <c:majorUnit val="0.4"/>
      </c:valAx>
      <c:valAx>
        <c:axId val="41481985"/>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968827"/>
        <c:crosses val="autoZero"/>
        <c:crossBetween val="midCat"/>
      </c:valAx>
      <c:valAx>
        <c:axId val="57858797"/>
        <c:scaling>
          <c:orientation val="minMax"/>
        </c:scaling>
        <c:delete val="1"/>
        <c:axPos val="b"/>
        <c:numFmt formatCode="General" sourceLinked="1"/>
        <c:majorTickMark val="out"/>
        <c:minorTickMark val="none"/>
        <c:tickLblPos val="nextTo"/>
        <c:crossAx val="77102432"/>
        <c:crosses val="autoZero"/>
        <c:crossBetween val="midCat"/>
      </c:valAx>
      <c:valAx>
        <c:axId val="77102432"/>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7858797"/>
        <c:crosses val="max"/>
        <c:crossBetween val="midCat"/>
      </c:valAx>
      <c:spPr>
        <a:noFill/>
        <a:ln w="0">
          <a:noFill/>
        </a:ln>
      </c:spPr>
    </c:plotArea>
    <c:legend>
      <c:legendPos val="r"/>
      <c:layout>
        <c:manualLayout>
          <c:xMode val="edge"/>
          <c:yMode val="edge"/>
          <c:x val="0.80184698593479997"/>
          <c:y val="0.16196283010773199"/>
          <c:w val="0.167203804796553"/>
          <c:h val="0.25312318408085599"/>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image" Target="../media/image9.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6" Type="http://schemas.openxmlformats.org/officeDocument/2006/relationships/image" Target="../media/image2.png"/><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5" Type="http://schemas.openxmlformats.org/officeDocument/2006/relationships/chart" Target="../charts/chart2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chart" Target="../charts/chart28.xml"/></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30.xml"/></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539640</xdr:colOff>
      <xdr:row>2</xdr:row>
      <xdr:rowOff>139680</xdr:rowOff>
    </xdr:from>
    <xdr:to>
      <xdr:col>9</xdr:col>
      <xdr:colOff>59400</xdr:colOff>
      <xdr:row>6</xdr:row>
      <xdr:rowOff>135000</xdr:rowOff>
    </xdr:to>
    <xdr:pic>
      <xdr:nvPicPr>
        <xdr:cNvPr id="2" name="Picture 7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0408320" y="558720"/>
          <a:ext cx="1075320" cy="833760"/>
        </a:xfrm>
        <a:prstGeom prst="rect">
          <a:avLst/>
        </a:prstGeom>
        <a:ln w="0">
          <a:noFill/>
        </a:ln>
      </xdr:spPr>
    </xdr:pic>
    <xdr:clientData/>
  </xdr:twoCellAnchor>
  <xdr:twoCellAnchor editAs="oneCell">
    <xdr:from>
      <xdr:col>12</xdr:col>
      <xdr:colOff>514440</xdr:colOff>
      <xdr:row>39</xdr:row>
      <xdr:rowOff>174240</xdr:rowOff>
    </xdr:from>
    <xdr:to>
      <xdr:col>13</xdr:col>
      <xdr:colOff>516960</xdr:colOff>
      <xdr:row>43</xdr:row>
      <xdr:rowOff>20160</xdr:rowOff>
    </xdr:to>
    <xdr:pic>
      <xdr:nvPicPr>
        <xdr:cNvPr id="3" name="Picture 75">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xdr:blipFill>
      <xdr:spPr>
        <a:xfrm>
          <a:off x="14272200" y="8213400"/>
          <a:ext cx="780480" cy="684000"/>
        </a:xfrm>
        <a:prstGeom prst="rect">
          <a:avLst/>
        </a:prstGeom>
        <a:ln w="0">
          <a:noFill/>
        </a:ln>
      </xdr:spPr>
    </xdr:pic>
    <xdr:clientData/>
  </xdr:twoCellAnchor>
  <xdr:twoCellAnchor editAs="oneCell">
    <xdr:from>
      <xdr:col>1</xdr:col>
      <xdr:colOff>120600</xdr:colOff>
      <xdr:row>62</xdr:row>
      <xdr:rowOff>44280</xdr:rowOff>
    </xdr:from>
    <xdr:to>
      <xdr:col>4</xdr:col>
      <xdr:colOff>401760</xdr:colOff>
      <xdr:row>73</xdr:row>
      <xdr:rowOff>38160</xdr:rowOff>
    </xdr:to>
    <xdr:pic>
      <xdr:nvPicPr>
        <xdr:cNvPr id="4" name="Picture 76">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a:stretch/>
      </xdr:blipFill>
      <xdr:spPr>
        <a:xfrm>
          <a:off x="898560" y="12788640"/>
          <a:ext cx="6204240" cy="2298960"/>
        </a:xfrm>
        <a:prstGeom prst="rect">
          <a:avLst/>
        </a:prstGeom>
        <a:ln w="0">
          <a:noFill/>
        </a:ln>
      </xdr:spPr>
    </xdr:pic>
    <xdr:clientData/>
  </xdr:twoCellAnchor>
  <xdr:twoCellAnchor editAs="oneCell">
    <xdr:from>
      <xdr:col>5</xdr:col>
      <xdr:colOff>38160</xdr:colOff>
      <xdr:row>61</xdr:row>
      <xdr:rowOff>120960</xdr:rowOff>
    </xdr:from>
    <xdr:to>
      <xdr:col>12</xdr:col>
      <xdr:colOff>340200</xdr:colOff>
      <xdr:row>72</xdr:row>
      <xdr:rowOff>173160</xdr:rowOff>
    </xdr:to>
    <xdr:pic>
      <xdr:nvPicPr>
        <xdr:cNvPr id="5" name="Picture 77">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a:stretch/>
      </xdr:blipFill>
      <xdr:spPr>
        <a:xfrm>
          <a:off x="7517160" y="12655800"/>
          <a:ext cx="6580800" cy="23572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600120</xdr:colOff>
      <xdr:row>20</xdr:row>
      <xdr:rowOff>133200</xdr:rowOff>
    </xdr:from>
    <xdr:to>
      <xdr:col>4</xdr:col>
      <xdr:colOff>599400</xdr:colOff>
      <xdr:row>35</xdr:row>
      <xdr:rowOff>46800</xdr:rowOff>
    </xdr:to>
    <xdr:graphicFrame macro="">
      <xdr:nvGraphicFramePr>
        <xdr:cNvPr id="4" name="Chart 1">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314280</xdr:colOff>
      <xdr:row>7</xdr:row>
      <xdr:rowOff>1080</xdr:rowOff>
    </xdr:from>
    <xdr:to>
      <xdr:col>17</xdr:col>
      <xdr:colOff>369000</xdr:colOff>
      <xdr:row>40</xdr:row>
      <xdr:rowOff>51480</xdr:rowOff>
    </xdr:to>
    <xdr:graphicFrame macro="">
      <xdr:nvGraphicFramePr>
        <xdr:cNvPr id="5" name="Chart 1">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314280</xdr:colOff>
      <xdr:row>40</xdr:row>
      <xdr:rowOff>50265</xdr:rowOff>
    </xdr:from>
    <xdr:to>
      <xdr:col>17</xdr:col>
      <xdr:colOff>369000</xdr:colOff>
      <xdr:row>70</xdr:row>
      <xdr:rowOff>83385</xdr:rowOff>
    </xdr:to>
    <xdr:graphicFrame macro="">
      <xdr:nvGraphicFramePr>
        <xdr:cNvPr id="6" name="Chart 2">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381600</xdr:colOff>
      <xdr:row>40</xdr:row>
      <xdr:rowOff>81000</xdr:rowOff>
    </xdr:from>
    <xdr:to>
      <xdr:col>27</xdr:col>
      <xdr:colOff>436320</xdr:colOff>
      <xdr:row>70</xdr:row>
      <xdr:rowOff>114120</xdr:rowOff>
    </xdr:to>
    <xdr:graphicFrame macro="">
      <xdr:nvGraphicFramePr>
        <xdr:cNvPr id="7" name="Chart 3">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314280</xdr:colOff>
      <xdr:row>70</xdr:row>
      <xdr:rowOff>148320</xdr:rowOff>
    </xdr:from>
    <xdr:to>
      <xdr:col>17</xdr:col>
      <xdr:colOff>369000</xdr:colOff>
      <xdr:row>100</xdr:row>
      <xdr:rowOff>164160</xdr:rowOff>
    </xdr:to>
    <xdr:graphicFrame macro="">
      <xdr:nvGraphicFramePr>
        <xdr:cNvPr id="8" name="Chart 4">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381600</xdr:colOff>
      <xdr:row>70</xdr:row>
      <xdr:rowOff>162000</xdr:rowOff>
    </xdr:from>
    <xdr:to>
      <xdr:col>27</xdr:col>
      <xdr:colOff>436320</xdr:colOff>
      <xdr:row>101</xdr:row>
      <xdr:rowOff>4680</xdr:rowOff>
    </xdr:to>
    <xdr:graphicFrame macro="">
      <xdr:nvGraphicFramePr>
        <xdr:cNvPr id="9" name="Chart 5">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27</xdr:col>
      <xdr:colOff>444240</xdr:colOff>
      <xdr:row>7</xdr:row>
      <xdr:rowOff>1080</xdr:rowOff>
    </xdr:from>
    <xdr:to>
      <xdr:col>37</xdr:col>
      <xdr:colOff>498960</xdr:colOff>
      <xdr:row>40</xdr:row>
      <xdr:rowOff>51480</xdr:rowOff>
    </xdr:to>
    <xdr:graphicFrame macro="">
      <xdr:nvGraphicFramePr>
        <xdr:cNvPr id="10" name="Chart 6">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381600</xdr:colOff>
      <xdr:row>7</xdr:row>
      <xdr:rowOff>1080</xdr:rowOff>
    </xdr:from>
    <xdr:to>
      <xdr:col>27</xdr:col>
      <xdr:colOff>436320</xdr:colOff>
      <xdr:row>40</xdr:row>
      <xdr:rowOff>51480</xdr:rowOff>
    </xdr:to>
    <xdr:graphicFrame macro="">
      <xdr:nvGraphicFramePr>
        <xdr:cNvPr id="11" name="Chart 7">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750240</xdr:colOff>
      <xdr:row>49</xdr:row>
      <xdr:rowOff>47160</xdr:rowOff>
    </xdr:from>
    <xdr:to>
      <xdr:col>6</xdr:col>
      <xdr:colOff>2104200</xdr:colOff>
      <xdr:row>56</xdr:row>
      <xdr:rowOff>151920</xdr:rowOff>
    </xdr:to>
    <xdr:pic>
      <xdr:nvPicPr>
        <xdr:cNvPr id="12" name="Picture 1">
          <a:extLst>
            <a:ext uri="{FF2B5EF4-FFF2-40B4-BE49-F238E27FC236}">
              <a16:creationId xmlns:a16="http://schemas.microsoft.com/office/drawing/2014/main" id="{00000000-0008-0000-0400-00000C000000}"/>
            </a:ext>
          </a:extLst>
        </xdr:cNvPr>
        <xdr:cNvPicPr/>
      </xdr:nvPicPr>
      <xdr:blipFill>
        <a:blip xmlns:r="http://schemas.openxmlformats.org/officeDocument/2006/relationships" r:embed="rId1"/>
        <a:stretch/>
      </xdr:blipFill>
      <xdr:spPr>
        <a:xfrm>
          <a:off x="12319920" y="7324200"/>
          <a:ext cx="1353960" cy="1467000"/>
        </a:xfrm>
        <a:prstGeom prst="rect">
          <a:avLst/>
        </a:prstGeom>
        <a:ln w="0">
          <a:noFill/>
        </a:ln>
      </xdr:spPr>
    </xdr:pic>
    <xdr:clientData/>
  </xdr:twoCellAnchor>
  <xdr:twoCellAnchor editAs="oneCell">
    <xdr:from>
      <xdr:col>1</xdr:col>
      <xdr:colOff>1114560</xdr:colOff>
      <xdr:row>104</xdr:row>
      <xdr:rowOff>171360</xdr:rowOff>
    </xdr:from>
    <xdr:to>
      <xdr:col>1</xdr:col>
      <xdr:colOff>2876760</xdr:colOff>
      <xdr:row>118</xdr:row>
      <xdr:rowOff>24120</xdr:rowOff>
    </xdr:to>
    <xdr:pic>
      <xdr:nvPicPr>
        <xdr:cNvPr id="13" name="Picture 2">
          <a:extLst>
            <a:ext uri="{FF2B5EF4-FFF2-40B4-BE49-F238E27FC236}">
              <a16:creationId xmlns:a16="http://schemas.microsoft.com/office/drawing/2014/main" id="{00000000-0008-0000-0400-00000D000000}"/>
            </a:ext>
          </a:extLst>
        </xdr:cNvPr>
        <xdr:cNvPicPr/>
      </xdr:nvPicPr>
      <xdr:blipFill>
        <a:blip xmlns:r="http://schemas.openxmlformats.org/officeDocument/2006/relationships" r:embed="rId2"/>
        <a:stretch/>
      </xdr:blipFill>
      <xdr:spPr>
        <a:xfrm>
          <a:off x="1892520" y="18106920"/>
          <a:ext cx="1762200" cy="2386440"/>
        </a:xfrm>
        <a:prstGeom prst="rect">
          <a:avLst/>
        </a:prstGeom>
        <a:ln w="0">
          <a:noFill/>
        </a:ln>
      </xdr:spPr>
    </xdr:pic>
    <xdr:clientData/>
  </xdr:twoCellAnchor>
  <xdr:twoCellAnchor editAs="oneCell">
    <xdr:from>
      <xdr:col>2</xdr:col>
      <xdr:colOff>733320</xdr:colOff>
      <xdr:row>104</xdr:row>
      <xdr:rowOff>56160</xdr:rowOff>
    </xdr:from>
    <xdr:to>
      <xdr:col>4</xdr:col>
      <xdr:colOff>303840</xdr:colOff>
      <xdr:row>118</xdr:row>
      <xdr:rowOff>115560</xdr:rowOff>
    </xdr:to>
    <xdr:pic>
      <xdr:nvPicPr>
        <xdr:cNvPr id="14" name="Picture 3">
          <a:extLst>
            <a:ext uri="{FF2B5EF4-FFF2-40B4-BE49-F238E27FC236}">
              <a16:creationId xmlns:a16="http://schemas.microsoft.com/office/drawing/2014/main" id="{00000000-0008-0000-0400-00000E000000}"/>
            </a:ext>
          </a:extLst>
        </xdr:cNvPr>
        <xdr:cNvPicPr/>
      </xdr:nvPicPr>
      <xdr:blipFill>
        <a:blip xmlns:r="http://schemas.openxmlformats.org/officeDocument/2006/relationships" r:embed="rId3"/>
        <a:stretch/>
      </xdr:blipFill>
      <xdr:spPr>
        <a:xfrm>
          <a:off x="6634440" y="17991720"/>
          <a:ext cx="2838240" cy="259308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317520</xdr:colOff>
      <xdr:row>114</xdr:row>
      <xdr:rowOff>111240</xdr:rowOff>
    </xdr:from>
    <xdr:to>
      <xdr:col>4</xdr:col>
      <xdr:colOff>46800</xdr:colOff>
      <xdr:row>129</xdr:row>
      <xdr:rowOff>47880</xdr:rowOff>
    </xdr:to>
    <xdr:pic>
      <xdr:nvPicPr>
        <xdr:cNvPr id="15" name="Picture 1">
          <a:extLst>
            <a:ext uri="{FF2B5EF4-FFF2-40B4-BE49-F238E27FC236}">
              <a16:creationId xmlns:a16="http://schemas.microsoft.com/office/drawing/2014/main" id="{00000000-0008-0000-0500-00000F000000}"/>
            </a:ext>
          </a:extLst>
        </xdr:cNvPr>
        <xdr:cNvPicPr/>
      </xdr:nvPicPr>
      <xdr:blipFill>
        <a:blip xmlns:r="http://schemas.openxmlformats.org/officeDocument/2006/relationships" r:embed="rId1"/>
        <a:stretch/>
      </xdr:blipFill>
      <xdr:spPr>
        <a:xfrm>
          <a:off x="1095480" y="18694440"/>
          <a:ext cx="8120160" cy="307980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563040</xdr:colOff>
      <xdr:row>33</xdr:row>
      <xdr:rowOff>48240</xdr:rowOff>
    </xdr:from>
    <xdr:to>
      <xdr:col>13</xdr:col>
      <xdr:colOff>358200</xdr:colOff>
      <xdr:row>64</xdr:row>
      <xdr:rowOff>105840</xdr:rowOff>
    </xdr:to>
    <xdr:graphicFrame macro="">
      <xdr:nvGraphicFramePr>
        <xdr:cNvPr id="16" name="Chart 1">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450000</xdr:colOff>
      <xdr:row>65</xdr:row>
      <xdr:rowOff>7200</xdr:rowOff>
    </xdr:from>
    <xdr:to>
      <xdr:col>20</xdr:col>
      <xdr:colOff>402120</xdr:colOff>
      <xdr:row>88</xdr:row>
      <xdr:rowOff>8640</xdr:rowOff>
    </xdr:to>
    <xdr:graphicFrame macro="">
      <xdr:nvGraphicFramePr>
        <xdr:cNvPr id="17" name="Chart 2">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563040</xdr:colOff>
      <xdr:row>88</xdr:row>
      <xdr:rowOff>88920</xdr:rowOff>
    </xdr:from>
    <xdr:to>
      <xdr:col>13</xdr:col>
      <xdr:colOff>358200</xdr:colOff>
      <xdr:row>112</xdr:row>
      <xdr:rowOff>49680</xdr:rowOff>
    </xdr:to>
    <xdr:graphicFrame macro="">
      <xdr:nvGraphicFramePr>
        <xdr:cNvPr id="18" name="Chart 3">
          <a:extLst>
            <a:ext uri="{FF2B5EF4-FFF2-40B4-BE49-F238E27FC236}">
              <a16:creationId xmlns:a16="http://schemas.microsoft.com/office/drawing/2014/main" id="{00000000-0008-0000-06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444600</xdr:colOff>
      <xdr:row>88</xdr:row>
      <xdr:rowOff>89280</xdr:rowOff>
    </xdr:from>
    <xdr:to>
      <xdr:col>20</xdr:col>
      <xdr:colOff>396720</xdr:colOff>
      <xdr:row>112</xdr:row>
      <xdr:rowOff>49680</xdr:rowOff>
    </xdr:to>
    <xdr:graphicFrame macro="">
      <xdr:nvGraphicFramePr>
        <xdr:cNvPr id="19" name="Chart 4">
          <a:extLst>
            <a:ext uri="{FF2B5EF4-FFF2-40B4-BE49-F238E27FC236}">
              <a16:creationId xmlns:a16="http://schemas.microsoft.com/office/drawing/2014/main" id="{00000000-0008-0000-06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563040</xdr:colOff>
      <xdr:row>65</xdr:row>
      <xdr:rowOff>7200</xdr:rowOff>
    </xdr:from>
    <xdr:to>
      <xdr:col>13</xdr:col>
      <xdr:colOff>358200</xdr:colOff>
      <xdr:row>88</xdr:row>
      <xdr:rowOff>8640</xdr:rowOff>
    </xdr:to>
    <xdr:graphicFrame macro="">
      <xdr:nvGraphicFramePr>
        <xdr:cNvPr id="20" name="Chart 5">
          <a:extLst>
            <a:ext uri="{FF2B5EF4-FFF2-40B4-BE49-F238E27FC236}">
              <a16:creationId xmlns:a16="http://schemas.microsoft.com/office/drawing/2014/main" id="{00000000-0008-0000-06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444600</xdr:colOff>
      <xdr:row>33</xdr:row>
      <xdr:rowOff>48240</xdr:rowOff>
    </xdr:from>
    <xdr:to>
      <xdr:col>20</xdr:col>
      <xdr:colOff>396720</xdr:colOff>
      <xdr:row>64</xdr:row>
      <xdr:rowOff>105840</xdr:rowOff>
    </xdr:to>
    <xdr:graphicFrame macro="">
      <xdr:nvGraphicFramePr>
        <xdr:cNvPr id="21" name="Chart 6">
          <a:extLst>
            <a:ext uri="{FF2B5EF4-FFF2-40B4-BE49-F238E27FC236}">
              <a16:creationId xmlns:a16="http://schemas.microsoft.com/office/drawing/2014/main" id="{00000000-0008-0000-06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744120</xdr:colOff>
      <xdr:row>13</xdr:row>
      <xdr:rowOff>79200</xdr:rowOff>
    </xdr:from>
    <xdr:to>
      <xdr:col>10</xdr:col>
      <xdr:colOff>496440</xdr:colOff>
      <xdr:row>26</xdr:row>
      <xdr:rowOff>74160</xdr:rowOff>
    </xdr:to>
    <xdr:pic>
      <xdr:nvPicPr>
        <xdr:cNvPr id="22" name="Picture 78">
          <a:extLst>
            <a:ext uri="{FF2B5EF4-FFF2-40B4-BE49-F238E27FC236}">
              <a16:creationId xmlns:a16="http://schemas.microsoft.com/office/drawing/2014/main" id="{00000000-0008-0000-0600-000016000000}"/>
            </a:ext>
          </a:extLst>
        </xdr:cNvPr>
        <xdr:cNvPicPr/>
      </xdr:nvPicPr>
      <xdr:blipFill>
        <a:blip xmlns:r="http://schemas.openxmlformats.org/officeDocument/2006/relationships" r:embed="rId7"/>
        <a:stretch/>
      </xdr:blipFill>
      <xdr:spPr>
        <a:xfrm>
          <a:off x="14124960" y="1117440"/>
          <a:ext cx="4286880" cy="196668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126360</xdr:colOff>
      <xdr:row>50</xdr:row>
      <xdr:rowOff>122400</xdr:rowOff>
    </xdr:from>
    <xdr:to>
      <xdr:col>23</xdr:col>
      <xdr:colOff>14760</xdr:colOff>
      <xdr:row>78</xdr:row>
      <xdr:rowOff>167400</xdr:rowOff>
    </xdr:to>
    <xdr:pic>
      <xdr:nvPicPr>
        <xdr:cNvPr id="23" name="Picture 74">
          <a:extLst>
            <a:ext uri="{FF2B5EF4-FFF2-40B4-BE49-F238E27FC236}">
              <a16:creationId xmlns:a16="http://schemas.microsoft.com/office/drawing/2014/main" id="{00000000-0008-0000-0700-000017000000}"/>
            </a:ext>
          </a:extLst>
        </xdr:cNvPr>
        <xdr:cNvPicPr/>
      </xdr:nvPicPr>
      <xdr:blipFill>
        <a:blip xmlns:r="http://schemas.openxmlformats.org/officeDocument/2006/relationships" r:embed="rId1"/>
        <a:stretch/>
      </xdr:blipFill>
      <xdr:spPr>
        <a:xfrm>
          <a:off x="11850840" y="8961480"/>
          <a:ext cx="11556720" cy="4883760"/>
        </a:xfrm>
        <a:prstGeom prst="rect">
          <a:avLst/>
        </a:prstGeom>
        <a:ln w="0">
          <a:noFill/>
        </a:ln>
      </xdr:spPr>
    </xdr:pic>
    <xdr:clientData/>
  </xdr:twoCellAnchor>
  <xdr:twoCellAnchor editAs="oneCell">
    <xdr:from>
      <xdr:col>8</xdr:col>
      <xdr:colOff>27720</xdr:colOff>
      <xdr:row>7</xdr:row>
      <xdr:rowOff>94320</xdr:rowOff>
    </xdr:from>
    <xdr:to>
      <xdr:col>22</xdr:col>
      <xdr:colOff>532080</xdr:colOff>
      <xdr:row>44</xdr:row>
      <xdr:rowOff>96120</xdr:rowOff>
    </xdr:to>
    <xdr:pic>
      <xdr:nvPicPr>
        <xdr:cNvPr id="24" name="Picture 1">
          <a:extLst>
            <a:ext uri="{FF2B5EF4-FFF2-40B4-BE49-F238E27FC236}">
              <a16:creationId xmlns:a16="http://schemas.microsoft.com/office/drawing/2014/main" id="{00000000-0008-0000-0700-000018000000}"/>
            </a:ext>
          </a:extLst>
        </xdr:cNvPr>
        <xdr:cNvPicPr/>
      </xdr:nvPicPr>
      <xdr:blipFill>
        <a:blip xmlns:r="http://schemas.openxmlformats.org/officeDocument/2006/relationships" r:embed="rId2"/>
        <a:stretch/>
      </xdr:blipFill>
      <xdr:spPr>
        <a:xfrm>
          <a:off x="11752200" y="1465920"/>
          <a:ext cx="11394720" cy="636444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1082160</xdr:colOff>
      <xdr:row>196</xdr:row>
      <xdr:rowOff>32400</xdr:rowOff>
    </xdr:from>
    <xdr:to>
      <xdr:col>10</xdr:col>
      <xdr:colOff>507240</xdr:colOff>
      <xdr:row>227</xdr:row>
      <xdr:rowOff>131040</xdr:rowOff>
    </xdr:to>
    <xdr:graphicFrame macro="">
      <xdr:nvGraphicFramePr>
        <xdr:cNvPr id="25" name="Chart 1">
          <a:extLst>
            <a:ext uri="{FF2B5EF4-FFF2-40B4-BE49-F238E27FC236}">
              <a16:creationId xmlns:a16="http://schemas.microsoft.com/office/drawing/2014/main" id="{00000000-0008-0000-08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1099800</xdr:colOff>
      <xdr:row>170</xdr:row>
      <xdr:rowOff>163440</xdr:rowOff>
    </xdr:from>
    <xdr:to>
      <xdr:col>10</xdr:col>
      <xdr:colOff>518760</xdr:colOff>
      <xdr:row>195</xdr:row>
      <xdr:rowOff>77400</xdr:rowOff>
    </xdr:to>
    <xdr:graphicFrame macro="">
      <xdr:nvGraphicFramePr>
        <xdr:cNvPr id="26" name="Chart 2">
          <a:extLst>
            <a:ext uri="{FF2B5EF4-FFF2-40B4-BE49-F238E27FC236}">
              <a16:creationId xmlns:a16="http://schemas.microsoft.com/office/drawing/2014/main" id="{00000000-0008-0000-08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115560</xdr:colOff>
      <xdr:row>170</xdr:row>
      <xdr:rowOff>173160</xdr:rowOff>
    </xdr:from>
    <xdr:to>
      <xdr:col>21</xdr:col>
      <xdr:colOff>65520</xdr:colOff>
      <xdr:row>195</xdr:row>
      <xdr:rowOff>88920</xdr:rowOff>
    </xdr:to>
    <xdr:graphicFrame macro="">
      <xdr:nvGraphicFramePr>
        <xdr:cNvPr id="27" name="Chart 3">
          <a:extLst>
            <a:ext uri="{FF2B5EF4-FFF2-40B4-BE49-F238E27FC236}">
              <a16:creationId xmlns:a16="http://schemas.microsoft.com/office/drawing/2014/main" id="{00000000-0008-0000-08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1125000</xdr:colOff>
      <xdr:row>145</xdr:row>
      <xdr:rowOff>91080</xdr:rowOff>
    </xdr:from>
    <xdr:to>
      <xdr:col>10</xdr:col>
      <xdr:colOff>543960</xdr:colOff>
      <xdr:row>170</xdr:row>
      <xdr:rowOff>5040</xdr:rowOff>
    </xdr:to>
    <xdr:graphicFrame macro="">
      <xdr:nvGraphicFramePr>
        <xdr:cNvPr id="28" name="Chart 4">
          <a:extLst>
            <a:ext uri="{FF2B5EF4-FFF2-40B4-BE49-F238E27FC236}">
              <a16:creationId xmlns:a16="http://schemas.microsoft.com/office/drawing/2014/main" id="{00000000-0008-0000-08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98280</xdr:colOff>
      <xdr:row>145</xdr:row>
      <xdr:rowOff>105120</xdr:rowOff>
    </xdr:from>
    <xdr:to>
      <xdr:col>21</xdr:col>
      <xdr:colOff>52560</xdr:colOff>
      <xdr:row>170</xdr:row>
      <xdr:rowOff>19080</xdr:rowOff>
    </xdr:to>
    <xdr:graphicFrame macro="">
      <xdr:nvGraphicFramePr>
        <xdr:cNvPr id="29" name="Chart 5">
          <a:extLst>
            <a:ext uri="{FF2B5EF4-FFF2-40B4-BE49-F238E27FC236}">
              <a16:creationId xmlns:a16="http://schemas.microsoft.com/office/drawing/2014/main" id="{00000000-0008-0000-08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75</xdr:col>
      <xdr:colOff>82080</xdr:colOff>
      <xdr:row>145</xdr:row>
      <xdr:rowOff>10440</xdr:rowOff>
    </xdr:from>
    <xdr:to>
      <xdr:col>82</xdr:col>
      <xdr:colOff>365400</xdr:colOff>
      <xdr:row>159</xdr:row>
      <xdr:rowOff>138240</xdr:rowOff>
    </xdr:to>
    <xdr:graphicFrame macro="">
      <xdr:nvGraphicFramePr>
        <xdr:cNvPr id="30" name="Chart 6">
          <a:extLst>
            <a:ext uri="{FF2B5EF4-FFF2-40B4-BE49-F238E27FC236}">
              <a16:creationId xmlns:a16="http://schemas.microsoft.com/office/drawing/2014/main" id="{00000000-0008-0000-08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230400</xdr:colOff>
      <xdr:row>195</xdr:row>
      <xdr:rowOff>124560</xdr:rowOff>
    </xdr:from>
    <xdr:to>
      <xdr:col>31</xdr:col>
      <xdr:colOff>186840</xdr:colOff>
      <xdr:row>227</xdr:row>
      <xdr:rowOff>37080</xdr:rowOff>
    </xdr:to>
    <xdr:graphicFrame macro="">
      <xdr:nvGraphicFramePr>
        <xdr:cNvPr id="31" name="Chart 7">
          <a:extLst>
            <a:ext uri="{FF2B5EF4-FFF2-40B4-BE49-F238E27FC236}">
              <a16:creationId xmlns:a16="http://schemas.microsoft.com/office/drawing/2014/main" id="{00000000-0008-0000-08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332640</xdr:colOff>
      <xdr:row>145</xdr:row>
      <xdr:rowOff>106920</xdr:rowOff>
    </xdr:from>
    <xdr:to>
      <xdr:col>31</xdr:col>
      <xdr:colOff>283680</xdr:colOff>
      <xdr:row>170</xdr:row>
      <xdr:rowOff>17640</xdr:rowOff>
    </xdr:to>
    <xdr:graphicFrame macro="">
      <xdr:nvGraphicFramePr>
        <xdr:cNvPr id="32" name="Chart 8">
          <a:extLst>
            <a:ext uri="{FF2B5EF4-FFF2-40B4-BE49-F238E27FC236}">
              <a16:creationId xmlns:a16="http://schemas.microsoft.com/office/drawing/2014/main" id="{00000000-0008-0000-08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333360</xdr:colOff>
      <xdr:row>170</xdr:row>
      <xdr:rowOff>171360</xdr:rowOff>
    </xdr:from>
    <xdr:to>
      <xdr:col>31</xdr:col>
      <xdr:colOff>287640</xdr:colOff>
      <xdr:row>195</xdr:row>
      <xdr:rowOff>82080</xdr:rowOff>
    </xdr:to>
    <xdr:graphicFrame macro="">
      <xdr:nvGraphicFramePr>
        <xdr:cNvPr id="33" name="Chart 9">
          <a:extLst>
            <a:ext uri="{FF2B5EF4-FFF2-40B4-BE49-F238E27FC236}">
              <a16:creationId xmlns:a16="http://schemas.microsoft.com/office/drawing/2014/main" id="{00000000-0008-0000-08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0</xdr:colOff>
      <xdr:row>196</xdr:row>
      <xdr:rowOff>0</xdr:rowOff>
    </xdr:from>
    <xdr:to>
      <xdr:col>20</xdr:col>
      <xdr:colOff>568080</xdr:colOff>
      <xdr:row>227</xdr:row>
      <xdr:rowOff>101880</xdr:rowOff>
    </xdr:to>
    <xdr:graphicFrame macro="">
      <xdr:nvGraphicFramePr>
        <xdr:cNvPr id="34" name="Chart 10">
          <a:extLst>
            <a:ext uri="{FF2B5EF4-FFF2-40B4-BE49-F238E27FC236}">
              <a16:creationId xmlns:a16="http://schemas.microsoft.com/office/drawing/2014/main" id="{00000000-0008-0000-08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31</xdr:col>
      <xdr:colOff>447840</xdr:colOff>
      <xdr:row>145</xdr:row>
      <xdr:rowOff>114480</xdr:rowOff>
    </xdr:from>
    <xdr:to>
      <xdr:col>41</xdr:col>
      <xdr:colOff>389520</xdr:colOff>
      <xdr:row>170</xdr:row>
      <xdr:rowOff>28440</xdr:rowOff>
    </xdr:to>
    <xdr:graphicFrame macro="">
      <xdr:nvGraphicFramePr>
        <xdr:cNvPr id="35" name="Chart 11">
          <a:extLst>
            <a:ext uri="{FF2B5EF4-FFF2-40B4-BE49-F238E27FC236}">
              <a16:creationId xmlns:a16="http://schemas.microsoft.com/office/drawing/2014/main" id="{00000000-0008-0000-08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31</xdr:col>
      <xdr:colOff>483480</xdr:colOff>
      <xdr:row>170</xdr:row>
      <xdr:rowOff>168480</xdr:rowOff>
    </xdr:from>
    <xdr:to>
      <xdr:col>41</xdr:col>
      <xdr:colOff>425160</xdr:colOff>
      <xdr:row>195</xdr:row>
      <xdr:rowOff>82440</xdr:rowOff>
    </xdr:to>
    <xdr:graphicFrame macro="">
      <xdr:nvGraphicFramePr>
        <xdr:cNvPr id="36" name="Chart 12">
          <a:extLst>
            <a:ext uri="{FF2B5EF4-FFF2-40B4-BE49-F238E27FC236}">
              <a16:creationId xmlns:a16="http://schemas.microsoft.com/office/drawing/2014/main" id="{00000000-0008-0000-0800-00002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41</xdr:col>
      <xdr:colOff>556920</xdr:colOff>
      <xdr:row>145</xdr:row>
      <xdr:rowOff>109800</xdr:rowOff>
    </xdr:from>
    <xdr:to>
      <xdr:col>51</xdr:col>
      <xdr:colOff>507960</xdr:colOff>
      <xdr:row>170</xdr:row>
      <xdr:rowOff>23760</xdr:rowOff>
    </xdr:to>
    <xdr:graphicFrame macro="">
      <xdr:nvGraphicFramePr>
        <xdr:cNvPr id="37" name="Chart 13">
          <a:extLst>
            <a:ext uri="{FF2B5EF4-FFF2-40B4-BE49-F238E27FC236}">
              <a16:creationId xmlns:a16="http://schemas.microsoft.com/office/drawing/2014/main" id="{00000000-0008-0000-08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41</xdr:col>
      <xdr:colOff>564120</xdr:colOff>
      <xdr:row>171</xdr:row>
      <xdr:rowOff>25560</xdr:rowOff>
    </xdr:from>
    <xdr:to>
      <xdr:col>51</xdr:col>
      <xdr:colOff>518760</xdr:colOff>
      <xdr:row>195</xdr:row>
      <xdr:rowOff>68400</xdr:rowOff>
    </xdr:to>
    <xdr:graphicFrame macro="">
      <xdr:nvGraphicFramePr>
        <xdr:cNvPr id="38" name="Chart 14">
          <a:extLst>
            <a:ext uri="{FF2B5EF4-FFF2-40B4-BE49-F238E27FC236}">
              <a16:creationId xmlns:a16="http://schemas.microsoft.com/office/drawing/2014/main" id="{00000000-0008-0000-0800-00002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1066680</xdr:colOff>
      <xdr:row>228</xdr:row>
      <xdr:rowOff>0</xdr:rowOff>
    </xdr:from>
    <xdr:to>
      <xdr:col>10</xdr:col>
      <xdr:colOff>491760</xdr:colOff>
      <xdr:row>259</xdr:row>
      <xdr:rowOff>149400</xdr:rowOff>
    </xdr:to>
    <xdr:graphicFrame macro="">
      <xdr:nvGraphicFramePr>
        <xdr:cNvPr id="39" name="Chart 15">
          <a:extLst>
            <a:ext uri="{FF2B5EF4-FFF2-40B4-BE49-F238E27FC236}">
              <a16:creationId xmlns:a16="http://schemas.microsoft.com/office/drawing/2014/main" id="{00000000-0008-0000-0800-00002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0</xdr:colOff>
      <xdr:row>0</xdr:row>
      <xdr:rowOff>0</xdr:rowOff>
    </xdr:from>
    <xdr:to>
      <xdr:col>5</xdr:col>
      <xdr:colOff>180360</xdr:colOff>
      <xdr:row>28</xdr:row>
      <xdr:rowOff>151560</xdr:rowOff>
    </xdr:to>
    <xdr:pic>
      <xdr:nvPicPr>
        <xdr:cNvPr id="40" name="Picture 27">
          <a:extLst>
            <a:ext uri="{FF2B5EF4-FFF2-40B4-BE49-F238E27FC236}">
              <a16:creationId xmlns:a16="http://schemas.microsoft.com/office/drawing/2014/main" id="{00000000-0008-0000-0800-000028000000}"/>
            </a:ext>
          </a:extLst>
        </xdr:cNvPr>
        <xdr:cNvPicPr/>
      </xdr:nvPicPr>
      <xdr:blipFill>
        <a:blip xmlns:r="http://schemas.openxmlformats.org/officeDocument/2006/relationships" r:embed="rId16"/>
        <a:stretch/>
      </xdr:blipFill>
      <xdr:spPr>
        <a:xfrm>
          <a:off x="0" y="0"/>
          <a:ext cx="7259400" cy="601884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414720</xdr:colOff>
      <xdr:row>27</xdr:row>
      <xdr:rowOff>67320</xdr:rowOff>
    </xdr:from>
    <xdr:to>
      <xdr:col>18</xdr:col>
      <xdr:colOff>376200</xdr:colOff>
      <xdr:row>57</xdr:row>
      <xdr:rowOff>3240</xdr:rowOff>
    </xdr:to>
    <xdr:graphicFrame macro="">
      <xdr:nvGraphicFramePr>
        <xdr:cNvPr id="41" name="Chart 1">
          <a:extLst>
            <a:ext uri="{FF2B5EF4-FFF2-40B4-BE49-F238E27FC236}">
              <a16:creationId xmlns:a16="http://schemas.microsoft.com/office/drawing/2014/main" id="{00000000-0008-0000-09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5</xdr:col>
      <xdr:colOff>567000</xdr:colOff>
      <xdr:row>28</xdr:row>
      <xdr:rowOff>151560</xdr:rowOff>
    </xdr:to>
    <xdr:pic>
      <xdr:nvPicPr>
        <xdr:cNvPr id="42" name="Picture 72">
          <a:extLst>
            <a:ext uri="{FF2B5EF4-FFF2-40B4-BE49-F238E27FC236}">
              <a16:creationId xmlns:a16="http://schemas.microsoft.com/office/drawing/2014/main" id="{00000000-0008-0000-0900-00002A000000}"/>
            </a:ext>
          </a:extLst>
        </xdr:cNvPr>
        <xdr:cNvPicPr/>
      </xdr:nvPicPr>
      <xdr:blipFill>
        <a:blip xmlns:r="http://schemas.openxmlformats.org/officeDocument/2006/relationships" r:embed="rId2"/>
        <a:stretch/>
      </xdr:blipFill>
      <xdr:spPr>
        <a:xfrm>
          <a:off x="0" y="0"/>
          <a:ext cx="7168320" cy="601884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551880</xdr:colOff>
      <xdr:row>27</xdr:row>
      <xdr:rowOff>56520</xdr:rowOff>
    </xdr:to>
    <xdr:pic>
      <xdr:nvPicPr>
        <xdr:cNvPr id="43" name="Picture 4">
          <a:extLst>
            <a:ext uri="{FF2B5EF4-FFF2-40B4-BE49-F238E27FC236}">
              <a16:creationId xmlns:a16="http://schemas.microsoft.com/office/drawing/2014/main" id="{00000000-0008-0000-0A00-00002B000000}"/>
            </a:ext>
          </a:extLst>
        </xdr:cNvPr>
        <xdr:cNvPicPr/>
      </xdr:nvPicPr>
      <xdr:blipFill>
        <a:blip xmlns:r="http://schemas.openxmlformats.org/officeDocument/2006/relationships" r:embed="rId1"/>
        <a:stretch/>
      </xdr:blipFill>
      <xdr:spPr>
        <a:xfrm>
          <a:off x="0" y="0"/>
          <a:ext cx="7142040" cy="582876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4"/>
  <sheetViews>
    <sheetView zoomScaleNormal="100" workbookViewId="0"/>
  </sheetViews>
  <sheetFormatPr defaultColWidth="8.5" defaultRowHeight="16.5"/>
  <cols>
    <col min="2" max="2" width="26" customWidth="1"/>
    <col min="3" max="3" width="10" customWidth="1"/>
    <col min="4" max="4" width="26" customWidth="1"/>
    <col min="5" max="5" width="46" customWidth="1"/>
    <col min="6" max="6" width="86" customWidth="1"/>
  </cols>
  <sheetData>
    <row r="1" spans="1:6" ht="15" customHeight="1">
      <c r="A1" s="4"/>
      <c r="B1" s="4"/>
      <c r="C1" s="4"/>
      <c r="D1" s="4"/>
      <c r="E1" s="4"/>
      <c r="F1" s="4"/>
    </row>
    <row r="2" spans="1:6" ht="15.75" customHeight="1">
      <c r="A2" s="4"/>
      <c r="B2" s="5" t="s">
        <v>0</v>
      </c>
      <c r="C2" s="4"/>
      <c r="D2" s="4"/>
      <c r="E2" s="4"/>
      <c r="F2" s="4"/>
    </row>
    <row r="3" spans="1:6" ht="15" customHeight="1">
      <c r="A3" s="4"/>
      <c r="B3" s="4" t="s">
        <v>1</v>
      </c>
      <c r="C3" s="4"/>
      <c r="D3" s="4"/>
      <c r="E3" s="4"/>
      <c r="F3" s="4"/>
    </row>
    <row r="4" spans="1:6" ht="15" customHeight="1">
      <c r="A4" s="4"/>
      <c r="B4" s="4"/>
      <c r="C4" s="4"/>
      <c r="D4" s="4"/>
      <c r="E4" s="4"/>
      <c r="F4" s="4"/>
    </row>
    <row r="5" spans="1:6" ht="15" customHeight="1">
      <c r="A5" s="4"/>
      <c r="B5" s="6" t="s">
        <v>2</v>
      </c>
      <c r="C5" s="6" t="s">
        <v>3</v>
      </c>
      <c r="D5" s="6" t="s">
        <v>4</v>
      </c>
      <c r="E5" s="6" t="s">
        <v>5</v>
      </c>
      <c r="F5" s="6" t="s">
        <v>6</v>
      </c>
    </row>
    <row r="6" spans="1:6" ht="64.5" customHeight="1">
      <c r="A6" s="4"/>
      <c r="B6" s="7" t="s">
        <v>7</v>
      </c>
      <c r="C6" s="7" t="s">
        <v>8</v>
      </c>
      <c r="D6" s="8" t="s">
        <v>9</v>
      </c>
      <c r="E6" s="8" t="s">
        <v>10</v>
      </c>
      <c r="F6" s="8" t="s">
        <v>11</v>
      </c>
    </row>
    <row r="7" spans="1:6" ht="15" customHeight="1">
      <c r="A7" s="4"/>
      <c r="B7" s="7" t="s">
        <v>7</v>
      </c>
      <c r="C7" s="7" t="s">
        <v>12</v>
      </c>
      <c r="D7" s="8" t="s">
        <v>13</v>
      </c>
      <c r="E7" s="8" t="s">
        <v>14</v>
      </c>
      <c r="F7" s="8" t="s">
        <v>15</v>
      </c>
    </row>
    <row r="8" spans="1:6" ht="26.25" customHeight="1">
      <c r="A8" s="4"/>
      <c r="B8" s="7" t="s">
        <v>7</v>
      </c>
      <c r="C8" s="7" t="s">
        <v>16</v>
      </c>
      <c r="D8" s="8" t="s">
        <v>17</v>
      </c>
      <c r="E8" s="8" t="s">
        <v>18</v>
      </c>
      <c r="F8" s="8" t="s">
        <v>19</v>
      </c>
    </row>
    <row r="9" spans="1:6" ht="51.75" customHeight="1">
      <c r="A9" s="4"/>
      <c r="B9" s="7" t="s">
        <v>20</v>
      </c>
      <c r="C9" s="7" t="s">
        <v>21</v>
      </c>
      <c r="D9" s="8" t="s">
        <v>22</v>
      </c>
      <c r="E9" s="8" t="s">
        <v>23</v>
      </c>
      <c r="F9" s="8" t="s">
        <v>24</v>
      </c>
    </row>
    <row r="10" spans="1:6" ht="15" customHeight="1">
      <c r="A10" s="4"/>
      <c r="B10" s="7" t="s">
        <v>20</v>
      </c>
      <c r="C10" s="7" t="s">
        <v>25</v>
      </c>
      <c r="D10" s="8" t="s">
        <v>26</v>
      </c>
      <c r="E10" s="8" t="s">
        <v>27</v>
      </c>
      <c r="F10" s="8" t="s">
        <v>28</v>
      </c>
    </row>
    <row r="11" spans="1:6" ht="64.5" customHeight="1">
      <c r="A11" s="4"/>
      <c r="B11" s="7" t="s">
        <v>20</v>
      </c>
      <c r="C11" s="7" t="s">
        <v>29</v>
      </c>
      <c r="D11" s="8" t="s">
        <v>30</v>
      </c>
      <c r="E11" s="8" t="s">
        <v>31</v>
      </c>
      <c r="F11" s="8" t="s">
        <v>32</v>
      </c>
    </row>
    <row r="12" spans="1:6" ht="64.5" customHeight="1">
      <c r="A12" s="4"/>
      <c r="B12" s="7" t="s">
        <v>20</v>
      </c>
      <c r="C12" s="7" t="s">
        <v>33</v>
      </c>
      <c r="D12" s="8" t="s">
        <v>34</v>
      </c>
      <c r="E12" s="8" t="s">
        <v>35</v>
      </c>
      <c r="F12" s="8" t="s">
        <v>32</v>
      </c>
    </row>
    <row r="13" spans="1:6" ht="77.25" customHeight="1">
      <c r="A13" s="4"/>
      <c r="B13" s="7" t="s">
        <v>20</v>
      </c>
      <c r="C13" s="7" t="s">
        <v>36</v>
      </c>
      <c r="D13" s="8" t="s">
        <v>37</v>
      </c>
      <c r="E13" s="8" t="s">
        <v>38</v>
      </c>
      <c r="F13" s="8" t="s">
        <v>32</v>
      </c>
    </row>
    <row r="14" spans="1:6" ht="77.25" customHeight="1">
      <c r="A14" s="4"/>
      <c r="B14" s="7" t="s">
        <v>20</v>
      </c>
      <c r="C14" s="7" t="s">
        <v>8</v>
      </c>
      <c r="D14" s="8" t="s">
        <v>39</v>
      </c>
      <c r="E14" s="8" t="s">
        <v>40</v>
      </c>
      <c r="F14" s="8" t="s">
        <v>32</v>
      </c>
    </row>
    <row r="15" spans="1:6" ht="64.5" customHeight="1">
      <c r="A15" s="4"/>
      <c r="B15" s="7" t="s">
        <v>20</v>
      </c>
      <c r="C15" s="7" t="s">
        <v>41</v>
      </c>
      <c r="D15" s="8" t="s">
        <v>42</v>
      </c>
      <c r="E15" s="8" t="s">
        <v>43</v>
      </c>
      <c r="F15" s="8" t="s">
        <v>44</v>
      </c>
    </row>
    <row r="16" spans="1:6" ht="51.75" customHeight="1">
      <c r="A16" s="4"/>
      <c r="B16" s="7" t="s">
        <v>20</v>
      </c>
      <c r="C16" s="7" t="s">
        <v>45</v>
      </c>
      <c r="D16" s="8" t="s">
        <v>46</v>
      </c>
      <c r="E16" s="8" t="s">
        <v>47</v>
      </c>
      <c r="F16" s="8" t="s">
        <v>48</v>
      </c>
    </row>
    <row r="17" spans="1:6" ht="26.25" customHeight="1">
      <c r="A17" s="4"/>
      <c r="B17" s="7" t="s">
        <v>49</v>
      </c>
      <c r="C17" s="7" t="s">
        <v>50</v>
      </c>
      <c r="D17" s="8" t="s">
        <v>51</v>
      </c>
      <c r="E17" s="8" t="s">
        <v>52</v>
      </c>
      <c r="F17" s="8" t="s">
        <v>53</v>
      </c>
    </row>
    <row r="18" spans="1:6" ht="26.25" customHeight="1">
      <c r="A18" s="4"/>
      <c r="B18" s="7" t="s">
        <v>49</v>
      </c>
      <c r="C18" s="7" t="s">
        <v>54</v>
      </c>
      <c r="D18" s="8" t="s">
        <v>55</v>
      </c>
      <c r="E18" s="8" t="s">
        <v>56</v>
      </c>
      <c r="F18" s="8" t="s">
        <v>57</v>
      </c>
    </row>
    <row r="19" spans="1:6" ht="51.75" customHeight="1">
      <c r="A19" s="4"/>
      <c r="B19" s="7" t="s">
        <v>58</v>
      </c>
      <c r="C19" s="7" t="s">
        <v>36</v>
      </c>
      <c r="D19" s="8" t="s">
        <v>59</v>
      </c>
      <c r="E19" s="8" t="s">
        <v>60</v>
      </c>
      <c r="F19" s="8" t="s">
        <v>61</v>
      </c>
    </row>
    <row r="20" spans="1:6" ht="15" customHeight="1">
      <c r="A20" s="4"/>
      <c r="B20" s="7" t="s">
        <v>58</v>
      </c>
      <c r="C20" s="7" t="s">
        <v>62</v>
      </c>
      <c r="D20" s="8" t="s">
        <v>63</v>
      </c>
      <c r="E20" s="8" t="s">
        <v>64</v>
      </c>
      <c r="F20" s="8" t="s">
        <v>65</v>
      </c>
    </row>
    <row r="21" spans="1:6" ht="39" customHeight="1">
      <c r="A21" s="4"/>
      <c r="B21" s="7" t="s">
        <v>66</v>
      </c>
      <c r="C21" s="7" t="s">
        <v>67</v>
      </c>
      <c r="D21" s="8" t="s">
        <v>68</v>
      </c>
      <c r="E21" s="8" t="s">
        <v>69</v>
      </c>
      <c r="F21" s="8" t="s">
        <v>70</v>
      </c>
    </row>
    <row r="22" spans="1:6" ht="39" customHeight="1">
      <c r="A22" s="4"/>
      <c r="B22" s="7" t="s">
        <v>66</v>
      </c>
      <c r="C22" s="7" t="s">
        <v>71</v>
      </c>
      <c r="D22" s="8" t="s">
        <v>72</v>
      </c>
      <c r="E22" s="8" t="s">
        <v>73</v>
      </c>
      <c r="F22" s="8" t="s">
        <v>70</v>
      </c>
    </row>
    <row r="23" spans="1:6" ht="39" customHeight="1">
      <c r="A23" s="4"/>
      <c r="B23" s="7" t="s">
        <v>66</v>
      </c>
      <c r="C23" s="7" t="s">
        <v>74</v>
      </c>
      <c r="D23" s="8" t="s">
        <v>75</v>
      </c>
      <c r="E23" s="8" t="s">
        <v>76</v>
      </c>
      <c r="F23" s="8" t="s">
        <v>70</v>
      </c>
    </row>
    <row r="24" spans="1:6" ht="26.25" customHeight="1">
      <c r="A24" s="4"/>
      <c r="B24" s="7" t="s">
        <v>66</v>
      </c>
      <c r="C24" s="7" t="s">
        <v>77</v>
      </c>
      <c r="D24" s="8" t="s">
        <v>78</v>
      </c>
      <c r="E24" s="8" t="s">
        <v>78</v>
      </c>
      <c r="F24" s="8" t="s">
        <v>79</v>
      </c>
    </row>
    <row r="25" spans="1:6" ht="26.25" customHeight="1">
      <c r="A25" s="4"/>
      <c r="B25" s="7" t="s">
        <v>66</v>
      </c>
      <c r="C25" s="7" t="s">
        <v>80</v>
      </c>
      <c r="D25" s="8" t="s">
        <v>81</v>
      </c>
      <c r="E25" s="8" t="s">
        <v>82</v>
      </c>
      <c r="F25" s="8" t="s">
        <v>79</v>
      </c>
    </row>
    <row r="26" spans="1:6" ht="26.25" customHeight="1">
      <c r="A26" s="4"/>
      <c r="B26" s="7" t="s">
        <v>66</v>
      </c>
      <c r="C26" s="7" t="s">
        <v>83</v>
      </c>
      <c r="D26" s="8" t="s">
        <v>84</v>
      </c>
      <c r="E26" s="8" t="s">
        <v>85</v>
      </c>
      <c r="F26" s="8" t="s">
        <v>79</v>
      </c>
    </row>
    <row r="27" spans="1:6" ht="39" customHeight="1">
      <c r="A27" s="4"/>
      <c r="B27" s="7" t="s">
        <v>66</v>
      </c>
      <c r="C27" s="7" t="s">
        <v>86</v>
      </c>
      <c r="D27" s="8" t="s">
        <v>87</v>
      </c>
      <c r="E27" s="8" t="s">
        <v>88</v>
      </c>
      <c r="F27" s="8" t="s">
        <v>89</v>
      </c>
    </row>
    <row r="28" spans="1:6" ht="39" customHeight="1">
      <c r="A28" s="4"/>
      <c r="B28" s="7" t="s">
        <v>66</v>
      </c>
      <c r="C28" s="7" t="s">
        <v>90</v>
      </c>
      <c r="D28" s="8" t="s">
        <v>17</v>
      </c>
      <c r="E28" s="8" t="s">
        <v>91</v>
      </c>
      <c r="F28" s="8" t="s">
        <v>89</v>
      </c>
    </row>
    <row r="29" spans="1:6" ht="39" customHeight="1">
      <c r="A29" s="4"/>
      <c r="B29" s="7" t="s">
        <v>66</v>
      </c>
      <c r="C29" s="7" t="s">
        <v>92</v>
      </c>
      <c r="D29" s="8" t="s">
        <v>17</v>
      </c>
      <c r="E29" s="8" t="s">
        <v>93</v>
      </c>
      <c r="F29" s="8" t="s">
        <v>89</v>
      </c>
    </row>
    <row r="30" spans="1:6" ht="26.25" customHeight="1">
      <c r="A30" s="4"/>
      <c r="B30" s="7" t="s">
        <v>94</v>
      </c>
      <c r="C30" s="7" t="s">
        <v>95</v>
      </c>
      <c r="D30" s="8" t="s">
        <v>96</v>
      </c>
      <c r="E30" s="8" t="s">
        <v>97</v>
      </c>
      <c r="F30" s="8" t="s">
        <v>98</v>
      </c>
    </row>
    <row r="31" spans="1:6" ht="26.25" customHeight="1">
      <c r="A31" s="4"/>
      <c r="B31" s="7" t="s">
        <v>94</v>
      </c>
      <c r="C31" s="7" t="s">
        <v>99</v>
      </c>
      <c r="D31" s="8" t="s">
        <v>100</v>
      </c>
      <c r="E31" s="8" t="s">
        <v>101</v>
      </c>
      <c r="F31" s="8" t="s">
        <v>102</v>
      </c>
    </row>
    <row r="32" spans="1:6" ht="26.25" customHeight="1">
      <c r="A32" s="4"/>
      <c r="B32" s="7" t="s">
        <v>94</v>
      </c>
      <c r="C32" s="7" t="s">
        <v>103</v>
      </c>
      <c r="D32" s="8" t="s">
        <v>104</v>
      </c>
      <c r="E32" s="8" t="s">
        <v>105</v>
      </c>
      <c r="F32" s="8" t="s">
        <v>106</v>
      </c>
    </row>
    <row r="33" spans="1:6" ht="15" customHeight="1">
      <c r="A33" s="4"/>
      <c r="B33" s="7" t="s">
        <v>94</v>
      </c>
      <c r="C33" s="7" t="s">
        <v>107</v>
      </c>
      <c r="D33" s="8" t="s">
        <v>108</v>
      </c>
      <c r="E33" s="8" t="s">
        <v>109</v>
      </c>
      <c r="F33" s="8" t="s">
        <v>110</v>
      </c>
    </row>
    <row r="34" spans="1:6" ht="39" customHeight="1">
      <c r="A34" s="4"/>
      <c r="B34" s="7" t="s">
        <v>111</v>
      </c>
      <c r="C34" s="7" t="s">
        <v>112</v>
      </c>
      <c r="D34" s="8" t="s">
        <v>113</v>
      </c>
      <c r="E34" s="8" t="s">
        <v>114</v>
      </c>
      <c r="F34" s="8" t="s">
        <v>115</v>
      </c>
    </row>
    <row r="35" spans="1:6" ht="26.25" customHeight="1">
      <c r="A35" s="4"/>
      <c r="B35" s="7" t="s">
        <v>116</v>
      </c>
      <c r="C35" s="7" t="s">
        <v>117</v>
      </c>
      <c r="D35" s="8" t="s">
        <v>118</v>
      </c>
      <c r="E35" s="8" t="s">
        <v>119</v>
      </c>
      <c r="F35" s="8" t="s">
        <v>120</v>
      </c>
    </row>
    <row r="36" spans="1:6" ht="15" customHeight="1">
      <c r="A36" s="4"/>
      <c r="B36" s="4"/>
      <c r="C36" s="4"/>
      <c r="D36" s="4"/>
      <c r="E36" s="4"/>
      <c r="F36" s="4"/>
    </row>
    <row r="37" spans="1:6" ht="15" customHeight="1">
      <c r="A37" s="4"/>
      <c r="B37" s="9" t="s">
        <v>121</v>
      </c>
      <c r="C37" s="4"/>
      <c r="D37" s="4"/>
      <c r="E37" s="4"/>
      <c r="F37" s="4"/>
    </row>
    <row r="38" spans="1:6" ht="128.25" customHeight="1">
      <c r="A38" s="4"/>
      <c r="B38" s="8" t="s">
        <v>122</v>
      </c>
      <c r="C38" s="4"/>
      <c r="D38" s="4"/>
      <c r="E38" s="4"/>
      <c r="F38" s="4"/>
    </row>
    <row r="39" spans="1:6" ht="15" customHeight="1">
      <c r="A39" s="4"/>
      <c r="B39" s="4"/>
      <c r="C39" s="4"/>
      <c r="D39" s="4"/>
      <c r="E39" s="4"/>
      <c r="F39" s="4"/>
    </row>
    <row r="40" spans="1:6" ht="77.25" customHeight="1">
      <c r="A40" s="4"/>
      <c r="B40" s="8" t="s">
        <v>123</v>
      </c>
      <c r="C40" s="4"/>
      <c r="D40" s="4"/>
      <c r="E40" s="4"/>
      <c r="F40" s="4"/>
    </row>
    <row r="41" spans="1:6" ht="15" customHeight="1">
      <c r="A41" s="4"/>
      <c r="B41" s="4"/>
      <c r="C41" s="4"/>
      <c r="D41" s="4"/>
      <c r="E41" s="4"/>
      <c r="F41" s="4"/>
    </row>
    <row r="42" spans="1:6" ht="77.25" customHeight="1">
      <c r="A42" s="4"/>
      <c r="B42" s="8" t="s">
        <v>124</v>
      </c>
      <c r="C42" s="4"/>
      <c r="D42" s="4"/>
      <c r="E42" s="4"/>
      <c r="F42" s="4"/>
    </row>
    <row r="43" spans="1:6" ht="15" customHeight="1">
      <c r="A43" s="4"/>
      <c r="B43" s="4"/>
      <c r="C43" s="4"/>
      <c r="D43" s="4"/>
      <c r="E43" s="4"/>
      <c r="F43" s="4"/>
    </row>
    <row r="44" spans="1:6" ht="39" customHeight="1">
      <c r="A44" s="4"/>
      <c r="B44" s="8" t="s">
        <v>125</v>
      </c>
      <c r="C44" s="4"/>
      <c r="D44" s="4"/>
      <c r="E44" s="4"/>
      <c r="F44" s="4"/>
    </row>
    <row r="45" spans="1:6" ht="15" customHeight="1">
      <c r="A45" s="4"/>
      <c r="B45" s="4"/>
      <c r="C45" s="4"/>
      <c r="D45" s="4"/>
      <c r="E45" s="4"/>
      <c r="F45" s="4"/>
    </row>
    <row r="46" spans="1:6" ht="51.75" customHeight="1">
      <c r="A46" s="4"/>
      <c r="B46" s="8" t="s">
        <v>126</v>
      </c>
      <c r="C46" s="4"/>
      <c r="D46" s="4"/>
      <c r="E46" s="4"/>
      <c r="F46" s="4"/>
    </row>
    <row r="47" spans="1:6" ht="15" customHeight="1">
      <c r="A47" s="4"/>
      <c r="B47" s="4"/>
      <c r="C47" s="4"/>
      <c r="D47" s="4"/>
      <c r="E47" s="4"/>
      <c r="F47" s="4"/>
    </row>
    <row r="48" spans="1:6" ht="77.25" customHeight="1">
      <c r="A48" s="4"/>
      <c r="B48" s="8" t="s">
        <v>127</v>
      </c>
      <c r="C48" s="4"/>
      <c r="D48" s="4"/>
      <c r="E48" s="4"/>
      <c r="F48" s="4"/>
    </row>
    <row r="49" spans="1:6" ht="15" customHeight="1">
      <c r="A49" s="4"/>
      <c r="B49" s="4"/>
      <c r="C49" s="4"/>
      <c r="D49" s="4"/>
      <c r="E49" s="4"/>
      <c r="F49" s="4"/>
    </row>
    <row r="50" spans="1:6" ht="77.25" customHeight="1">
      <c r="A50" s="4"/>
      <c r="B50" s="8" t="s">
        <v>128</v>
      </c>
      <c r="C50" s="4"/>
      <c r="D50" s="4"/>
      <c r="E50" s="4"/>
      <c r="F50" s="4"/>
    </row>
    <row r="51" spans="1:6" ht="30" customHeight="1">
      <c r="A51" s="4"/>
      <c r="B51" s="8" t="s">
        <v>938</v>
      </c>
    </row>
    <row r="52" spans="1:6" ht="90" customHeight="1">
      <c r="A52" s="4"/>
      <c r="B52" s="7" t="s">
        <v>49</v>
      </c>
      <c r="C52" s="7" t="s">
        <v>939</v>
      </c>
      <c r="D52" s="8" t="s">
        <v>940</v>
      </c>
      <c r="E52" s="8" t="s">
        <v>941</v>
      </c>
      <c r="F52" s="8" t="s">
        <v>942</v>
      </c>
    </row>
    <row r="53" spans="1:6" ht="90" customHeight="1">
      <c r="A53" s="4"/>
      <c r="B53" s="7" t="s">
        <v>49</v>
      </c>
      <c r="C53" s="7" t="s">
        <v>943</v>
      </c>
      <c r="D53" s="8" t="s">
        <v>944</v>
      </c>
      <c r="E53" s="8" t="s">
        <v>945</v>
      </c>
      <c r="F53" s="8" t="s">
        <v>946</v>
      </c>
    </row>
    <row r="54" spans="1:6" ht="90" customHeight="1">
      <c r="A54" s="4"/>
      <c r="B54" s="7" t="s">
        <v>49</v>
      </c>
      <c r="C54" s="7" t="s">
        <v>947</v>
      </c>
      <c r="D54" s="8" t="s">
        <v>948</v>
      </c>
      <c r="E54" s="8" t="s">
        <v>949</v>
      </c>
      <c r="F54" s="8" t="s">
        <v>950</v>
      </c>
    </row>
    <row r="55" spans="1:6" ht="90" customHeight="1">
      <c r="A55" s="4"/>
      <c r="B55" s="7" t="s">
        <v>49</v>
      </c>
      <c r="C55" s="7" t="s">
        <v>951</v>
      </c>
      <c r="D55" s="8" t="s">
        <v>952</v>
      </c>
      <c r="E55" s="8" t="s">
        <v>953</v>
      </c>
      <c r="F55" s="8" t="s">
        <v>954</v>
      </c>
    </row>
    <row r="56" spans="1:6" ht="90" customHeight="1">
      <c r="A56" s="4"/>
      <c r="B56" s="7" t="s">
        <v>49</v>
      </c>
      <c r="C56" s="7" t="s">
        <v>955</v>
      </c>
      <c r="D56" s="8" t="s">
        <v>956</v>
      </c>
      <c r="E56" s="8" t="s">
        <v>957</v>
      </c>
      <c r="F56" s="8" t="s">
        <v>958</v>
      </c>
    </row>
    <row r="57" spans="1:6" ht="75" customHeight="1">
      <c r="A57" s="4"/>
      <c r="B57" s="7" t="s">
        <v>49</v>
      </c>
      <c r="C57" s="7" t="s">
        <v>967</v>
      </c>
      <c r="D57" s="8" t="s">
        <v>968</v>
      </c>
      <c r="E57" s="8" t="s">
        <v>969</v>
      </c>
      <c r="F57" s="8" t="s">
        <v>970</v>
      </c>
    </row>
    <row r="58" spans="1:6" ht="75" customHeight="1">
      <c r="A58" s="4"/>
      <c r="B58" s="7" t="s">
        <v>980</v>
      </c>
      <c r="C58" s="7" t="s">
        <v>981</v>
      </c>
      <c r="D58" s="8" t="s">
        <v>982</v>
      </c>
      <c r="E58" s="8" t="s">
        <v>983</v>
      </c>
      <c r="F58" s="8" t="s">
        <v>984</v>
      </c>
    </row>
    <row r="59" spans="1:6" ht="75" customHeight="1">
      <c r="A59" s="4"/>
      <c r="B59" s="7" t="s">
        <v>980</v>
      </c>
      <c r="C59" s="7" t="s">
        <v>985</v>
      </c>
      <c r="D59" s="8" t="s">
        <v>986</v>
      </c>
      <c r="E59" s="8" t="s">
        <v>987</v>
      </c>
      <c r="F59" s="8" t="s">
        <v>988</v>
      </c>
    </row>
    <row r="60" spans="1:6" ht="75" customHeight="1">
      <c r="A60" s="4"/>
      <c r="B60" s="7" t="s">
        <v>94</v>
      </c>
      <c r="C60" s="7" t="s">
        <v>107</v>
      </c>
      <c r="D60" s="8" t="s">
        <v>989</v>
      </c>
      <c r="E60" s="8" t="s">
        <v>990</v>
      </c>
      <c r="F60" s="8" t="s">
        <v>991</v>
      </c>
    </row>
    <row r="61" spans="1:6" ht="75" customHeight="1">
      <c r="A61" s="4"/>
      <c r="B61" s="7" t="s">
        <v>49</v>
      </c>
      <c r="C61" s="7" t="s">
        <v>992</v>
      </c>
      <c r="D61" s="8" t="s">
        <v>993</v>
      </c>
      <c r="E61" s="8" t="s">
        <v>994</v>
      </c>
      <c r="F61" s="8" t="s">
        <v>995</v>
      </c>
    </row>
    <row r="62" spans="1:6" ht="90" customHeight="1">
      <c r="A62" s="4"/>
      <c r="B62" s="7" t="s">
        <v>998</v>
      </c>
      <c r="C62" s="7" t="s">
        <v>999</v>
      </c>
      <c r="D62" s="8" t="s">
        <v>1103</v>
      </c>
      <c r="E62" s="8" t="s">
        <v>1104</v>
      </c>
      <c r="F62" s="8" t="s">
        <v>1105</v>
      </c>
    </row>
    <row r="63" spans="1:6" ht="90" customHeight="1">
      <c r="A63" s="4"/>
      <c r="B63" s="7" t="s">
        <v>94</v>
      </c>
      <c r="C63" s="7" t="s">
        <v>1106</v>
      </c>
      <c r="D63" s="8" t="s">
        <v>1107</v>
      </c>
      <c r="E63" s="8" t="s">
        <v>1108</v>
      </c>
      <c r="F63" s="8" t="s">
        <v>1109</v>
      </c>
    </row>
    <row r="64" spans="1:6" ht="90" customHeight="1">
      <c r="A64" s="4"/>
      <c r="B64" s="7" t="s">
        <v>94</v>
      </c>
      <c r="C64" s="7" t="s">
        <v>1000</v>
      </c>
      <c r="D64" s="8" t="s">
        <v>1110</v>
      </c>
      <c r="E64" s="8" t="s">
        <v>1111</v>
      </c>
      <c r="F64" s="8" t="s">
        <v>1112</v>
      </c>
    </row>
    <row r="65" spans="1:6" ht="90" customHeight="1">
      <c r="A65" s="4"/>
      <c r="B65" s="7" t="s">
        <v>7</v>
      </c>
      <c r="C65" s="7" t="s">
        <v>1001</v>
      </c>
      <c r="D65" s="8" t="s">
        <v>1113</v>
      </c>
      <c r="E65" s="8" t="s">
        <v>1114</v>
      </c>
      <c r="F65" s="8" t="s">
        <v>1115</v>
      </c>
    </row>
    <row r="66" spans="1:6" ht="75" customHeight="1">
      <c r="A66" s="4"/>
      <c r="B66" s="7" t="s">
        <v>49</v>
      </c>
      <c r="C66" s="7" t="s">
        <v>1002</v>
      </c>
      <c r="D66" s="8" t="s">
        <v>1116</v>
      </c>
      <c r="E66" s="8" t="s">
        <v>1117</v>
      </c>
      <c r="F66" s="8" t="s">
        <v>1118</v>
      </c>
    </row>
    <row r="67" spans="1:6" ht="90" customHeight="1">
      <c r="A67" s="4"/>
      <c r="B67" s="7" t="s">
        <v>94</v>
      </c>
      <c r="C67" s="7" t="s">
        <v>1119</v>
      </c>
      <c r="D67" s="8" t="s">
        <v>1120</v>
      </c>
      <c r="E67" s="8" t="s">
        <v>1121</v>
      </c>
      <c r="F67" s="8" t="s">
        <v>1122</v>
      </c>
    </row>
    <row r="68" spans="1:6" ht="90" customHeight="1">
      <c r="A68" s="4"/>
      <c r="B68" s="7" t="s">
        <v>94</v>
      </c>
      <c r="C68" s="7" t="s">
        <v>1003</v>
      </c>
      <c r="D68" s="8" t="s">
        <v>1123</v>
      </c>
      <c r="E68" s="8" t="s">
        <v>1004</v>
      </c>
      <c r="F68" s="8" t="s">
        <v>1124</v>
      </c>
    </row>
    <row r="69" spans="1:6" ht="90" customHeight="1">
      <c r="A69" s="4"/>
      <c r="B69" s="7" t="s">
        <v>111</v>
      </c>
      <c r="C69" s="7" t="s">
        <v>1005</v>
      </c>
      <c r="D69" s="8" t="s">
        <v>1125</v>
      </c>
      <c r="E69" s="8" t="s">
        <v>1006</v>
      </c>
      <c r="F69" s="8" t="s">
        <v>1126</v>
      </c>
    </row>
    <row r="70" spans="1:6" ht="90" customHeight="1">
      <c r="A70" s="4"/>
      <c r="B70" s="7" t="s">
        <v>49</v>
      </c>
      <c r="C70" s="7" t="s">
        <v>1007</v>
      </c>
      <c r="D70" s="8" t="s">
        <v>1127</v>
      </c>
      <c r="E70" s="8" t="s">
        <v>1128</v>
      </c>
      <c r="F70" s="8" t="s">
        <v>1129</v>
      </c>
    </row>
    <row r="71" spans="1:6" ht="90" customHeight="1">
      <c r="A71" s="4"/>
      <c r="B71" s="7" t="s">
        <v>49</v>
      </c>
      <c r="C71" s="7" t="s">
        <v>1130</v>
      </c>
      <c r="D71" s="8" t="s">
        <v>1131</v>
      </c>
      <c r="E71" s="8" t="s">
        <v>1132</v>
      </c>
      <c r="F71" s="8" t="s">
        <v>1133</v>
      </c>
    </row>
    <row r="72" spans="1:6" ht="90" customHeight="1">
      <c r="A72" s="4"/>
      <c r="B72" s="7" t="s">
        <v>66</v>
      </c>
      <c r="C72" s="7" t="s">
        <v>1008</v>
      </c>
      <c r="D72" s="8" t="s">
        <v>1134</v>
      </c>
      <c r="E72" s="8" t="s">
        <v>1135</v>
      </c>
      <c r="F72" s="8" t="s">
        <v>1136</v>
      </c>
    </row>
    <row r="73" spans="1:6" ht="90" customHeight="1">
      <c r="A73" s="4"/>
      <c r="B73" s="7" t="s">
        <v>980</v>
      </c>
      <c r="C73" s="7" t="s">
        <v>1009</v>
      </c>
      <c r="D73" s="8" t="s">
        <v>1137</v>
      </c>
      <c r="E73" s="8" t="s">
        <v>1010</v>
      </c>
      <c r="F73" s="8" t="s">
        <v>1138</v>
      </c>
    </row>
    <row r="74" spans="1:6" ht="90" customHeight="1">
      <c r="A74" s="4"/>
      <c r="B74" s="7" t="s">
        <v>980</v>
      </c>
      <c r="C74" s="7" t="s">
        <v>1011</v>
      </c>
      <c r="D74" s="8" t="s">
        <v>1139</v>
      </c>
      <c r="E74" s="8" t="s">
        <v>1012</v>
      </c>
      <c r="F74" s="8" t="s">
        <v>1140</v>
      </c>
    </row>
    <row r="75" spans="1:6" ht="90" customHeight="1">
      <c r="A75" s="4"/>
      <c r="B75" s="7" t="s">
        <v>7</v>
      </c>
      <c r="C75" s="7" t="s">
        <v>1013</v>
      </c>
      <c r="D75" s="8" t="s">
        <v>1141</v>
      </c>
      <c r="E75" s="8" t="s">
        <v>1014</v>
      </c>
      <c r="F75" s="8" t="s">
        <v>1142</v>
      </c>
    </row>
    <row r="76" spans="1:6" ht="228">
      <c r="B76" s="7" t="s">
        <v>20</v>
      </c>
      <c r="C76" s="7" t="s">
        <v>1029</v>
      </c>
      <c r="D76" s="8" t="s">
        <v>1143</v>
      </c>
      <c r="E76" s="8" t="s">
        <v>1144</v>
      </c>
    </row>
    <row r="77" spans="1:6" ht="156.75">
      <c r="B77" s="7" t="s">
        <v>94</v>
      </c>
      <c r="C77" s="7" t="s">
        <v>1030</v>
      </c>
      <c r="D77" s="8" t="s">
        <v>1145</v>
      </c>
      <c r="E77" s="8" t="s">
        <v>1146</v>
      </c>
    </row>
    <row r="78" spans="1:6" ht="156.75">
      <c r="B78" s="7" t="s">
        <v>111</v>
      </c>
      <c r="C78" s="7" t="s">
        <v>1031</v>
      </c>
      <c r="D78" s="8" t="s">
        <v>1147</v>
      </c>
      <c r="E78" s="8" t="s">
        <v>1148</v>
      </c>
    </row>
    <row r="79" spans="1:6" ht="199.5">
      <c r="B79" s="7" t="s">
        <v>1035</v>
      </c>
      <c r="C79" s="7" t="s">
        <v>1036</v>
      </c>
      <c r="D79" s="8" t="s">
        <v>1149</v>
      </c>
      <c r="E79" s="8" t="s">
        <v>1150</v>
      </c>
    </row>
    <row r="80" spans="1:6" ht="270.75">
      <c r="B80" s="7" t="s">
        <v>111</v>
      </c>
      <c r="C80" s="7" t="s">
        <v>1070</v>
      </c>
      <c r="D80" s="8" t="s">
        <v>1151</v>
      </c>
      <c r="E80" s="8" t="s">
        <v>1152</v>
      </c>
    </row>
    <row r="81" spans="2:6" ht="171">
      <c r="B81" s="7" t="s">
        <v>111</v>
      </c>
      <c r="C81" s="7" t="s">
        <v>1153</v>
      </c>
      <c r="D81" s="8" t="s">
        <v>1154</v>
      </c>
      <c r="E81" s="8" t="s">
        <v>1155</v>
      </c>
      <c r="F81" s="8" t="s">
        <v>1156</v>
      </c>
    </row>
    <row r="82" spans="2:6" ht="156.75">
      <c r="B82" s="7" t="s">
        <v>111</v>
      </c>
      <c r="C82" s="7" t="s">
        <v>1157</v>
      </c>
      <c r="D82" s="8" t="s">
        <v>1158</v>
      </c>
      <c r="E82" s="8" t="s">
        <v>1159</v>
      </c>
      <c r="F82" s="8" t="s">
        <v>1160</v>
      </c>
    </row>
    <row r="83" spans="2:6" ht="156.75">
      <c r="B83" s="7" t="s">
        <v>111</v>
      </c>
      <c r="C83" s="7" t="s">
        <v>1161</v>
      </c>
      <c r="D83" s="8" t="s">
        <v>1162</v>
      </c>
      <c r="E83" s="8" t="s">
        <v>1163</v>
      </c>
      <c r="F83" s="8" t="s">
        <v>1164</v>
      </c>
    </row>
    <row r="84" spans="2:6" ht="171">
      <c r="B84" s="7" t="s">
        <v>111</v>
      </c>
      <c r="C84" s="7" t="s">
        <v>1165</v>
      </c>
      <c r="D84" s="8" t="s">
        <v>1166</v>
      </c>
      <c r="E84" s="8" t="s">
        <v>1167</v>
      </c>
      <c r="F84" s="8" t="s">
        <v>1168</v>
      </c>
    </row>
    <row r="85" spans="2:6" ht="171">
      <c r="B85" s="7" t="s">
        <v>116</v>
      </c>
      <c r="C85" s="7" t="s">
        <v>1169</v>
      </c>
      <c r="D85" s="8" t="s">
        <v>1170</v>
      </c>
      <c r="E85" s="8" t="s">
        <v>1171</v>
      </c>
      <c r="F85" s="8" t="s">
        <v>1172</v>
      </c>
    </row>
    <row r="86" spans="2:6" ht="228">
      <c r="B86" s="7" t="s">
        <v>66</v>
      </c>
      <c r="C86" s="7" t="s">
        <v>1173</v>
      </c>
      <c r="D86" s="8" t="s">
        <v>1174</v>
      </c>
      <c r="E86" s="8" t="s">
        <v>1175</v>
      </c>
      <c r="F86" s="8" t="s">
        <v>1176</v>
      </c>
    </row>
    <row r="87" spans="2:6" ht="199.5">
      <c r="B87" s="7" t="s">
        <v>111</v>
      </c>
      <c r="C87" s="7" t="s">
        <v>1189</v>
      </c>
      <c r="D87" s="8" t="s">
        <v>1190</v>
      </c>
      <c r="E87" s="8" t="s">
        <v>1191</v>
      </c>
      <c r="F87" s="8" t="s">
        <v>1192</v>
      </c>
    </row>
    <row r="88" spans="2:6" ht="199.5">
      <c r="B88" s="7" t="s">
        <v>111</v>
      </c>
      <c r="C88" s="7" t="s">
        <v>1196</v>
      </c>
      <c r="D88" s="8" t="s">
        <v>1197</v>
      </c>
      <c r="E88" s="8" t="s">
        <v>1198</v>
      </c>
      <c r="F88" s="8" t="s">
        <v>1199</v>
      </c>
    </row>
    <row r="89" spans="2:6" ht="114">
      <c r="B89" s="7" t="s">
        <v>111</v>
      </c>
      <c r="C89" s="7" t="s">
        <v>1203</v>
      </c>
      <c r="D89" s="8" t="s">
        <v>1204</v>
      </c>
      <c r="E89" s="8" t="s">
        <v>1205</v>
      </c>
      <c r="F89" s="8" t="s">
        <v>1206</v>
      </c>
    </row>
    <row r="90" spans="2:6" ht="185.25">
      <c r="B90" s="7" t="s">
        <v>94</v>
      </c>
      <c r="C90" s="7" t="s">
        <v>1207</v>
      </c>
      <c r="D90" s="8" t="s">
        <v>1208</v>
      </c>
      <c r="E90" s="8" t="s">
        <v>1209</v>
      </c>
      <c r="F90" s="8" t="s">
        <v>1210</v>
      </c>
    </row>
    <row r="91" spans="2:6" ht="128.25">
      <c r="B91" s="7" t="s">
        <v>111</v>
      </c>
      <c r="C91" s="7" t="s">
        <v>1212</v>
      </c>
      <c r="D91" s="8" t="s">
        <v>1213</v>
      </c>
      <c r="E91" s="8" t="s">
        <v>1214</v>
      </c>
      <c r="F91" s="8" t="s">
        <v>1215</v>
      </c>
    </row>
    <row r="92" spans="2:6" ht="42.75">
      <c r="B92" s="7" t="s">
        <v>111</v>
      </c>
      <c r="C92" s="7" t="s">
        <v>1220</v>
      </c>
      <c r="D92" s="8" t="s">
        <v>1221</v>
      </c>
      <c r="E92" s="8" t="s">
        <v>1222</v>
      </c>
      <c r="F92" s="8" t="s">
        <v>1223</v>
      </c>
    </row>
    <row r="93" spans="2:6" ht="99.75">
      <c r="B93" s="7" t="s">
        <v>111</v>
      </c>
      <c r="C93" s="7" t="s">
        <v>1224</v>
      </c>
      <c r="D93" s="8" t="s">
        <v>1225</v>
      </c>
      <c r="E93" s="8" t="s">
        <v>1226</v>
      </c>
      <c r="F93" s="8" t="s">
        <v>1227</v>
      </c>
    </row>
    <row r="94" spans="2:6" ht="114">
      <c r="B94" s="7" t="s">
        <v>20</v>
      </c>
      <c r="C94" s="7" t="s">
        <v>1228</v>
      </c>
      <c r="D94" s="8" t="s">
        <v>1229</v>
      </c>
      <c r="E94" s="8" t="s">
        <v>1230</v>
      </c>
      <c r="F94" s="8" t="s">
        <v>1231</v>
      </c>
    </row>
  </sheetData>
  <phoneticPr fontId="35"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B3:X115"/>
  <sheetViews>
    <sheetView zoomScale="115" zoomScaleNormal="115" workbookViewId="0">
      <selection activeCell="K32" sqref="K32"/>
    </sheetView>
  </sheetViews>
  <sheetFormatPr defaultColWidth="8.75" defaultRowHeight="16.5"/>
  <cols>
    <col min="1" max="1" width="8.75" style="10"/>
    <col min="2" max="2" width="45" style="10" customWidth="1"/>
    <col min="3" max="3" width="12.875" style="10" customWidth="1"/>
    <col min="4" max="5" width="8.75" style="10"/>
    <col min="6" max="6" width="18.125" style="10" customWidth="1"/>
    <col min="7" max="16384" width="8.75" style="10"/>
  </cols>
  <sheetData>
    <row r="3" spans="2:10" ht="16.5" customHeight="1">
      <c r="H3" s="11"/>
      <c r="I3" s="12"/>
      <c r="J3" s="13"/>
    </row>
    <row r="4" spans="2:10" ht="16.5" customHeight="1">
      <c r="H4" s="14"/>
      <c r="J4" s="15"/>
    </row>
    <row r="5" spans="2:10" ht="16.5" customHeight="1">
      <c r="H5" s="14"/>
      <c r="J5" s="15"/>
    </row>
    <row r="6" spans="2:10" ht="16.5" customHeight="1">
      <c r="H6" s="14"/>
      <c r="J6" s="15"/>
    </row>
    <row r="7" spans="2:10" ht="16.5" customHeight="1">
      <c r="H7" s="14"/>
      <c r="J7" s="15"/>
    </row>
    <row r="8" spans="2:10" ht="16.5" customHeight="1">
      <c r="H8" s="16"/>
      <c r="I8" s="17" t="s">
        <v>129</v>
      </c>
      <c r="J8" s="18"/>
    </row>
    <row r="10" spans="2:10" ht="16.5" customHeight="1">
      <c r="B10" s="19" t="s">
        <v>130</v>
      </c>
    </row>
    <row r="11" spans="2:10" ht="4.5" customHeight="1"/>
    <row r="12" spans="2:10" ht="16.5" customHeight="1">
      <c r="B12" s="20" t="s">
        <v>131</v>
      </c>
      <c r="C12" s="20" t="s">
        <v>132</v>
      </c>
      <c r="D12" s="20" t="s">
        <v>133</v>
      </c>
      <c r="E12" s="20" t="s">
        <v>134</v>
      </c>
      <c r="H12" s="21"/>
      <c r="I12" s="21"/>
    </row>
    <row r="13" spans="2:10" ht="16.5" customHeight="1">
      <c r="B13" s="1" t="s">
        <v>135</v>
      </c>
      <c r="C13" s="1" t="s">
        <v>136</v>
      </c>
      <c r="D13" s="2">
        <v>90</v>
      </c>
      <c r="E13" s="1" t="s">
        <v>137</v>
      </c>
    </row>
    <row r="14" spans="2:10" ht="16.5" customHeight="1">
      <c r="B14" s="1" t="s">
        <v>138</v>
      </c>
      <c r="C14" s="1" t="s">
        <v>139</v>
      </c>
      <c r="D14" s="2">
        <v>264</v>
      </c>
      <c r="E14" s="1" t="s">
        <v>137</v>
      </c>
    </row>
    <row r="15" spans="2:10" ht="16.5" customHeight="1">
      <c r="B15" s="1" t="str">
        <f>IF(D13&gt;(190/SQRT(2)),"Select high mains configuration (1 = FB, 2 = HB)",IF(AND(D13&lt;=(190/SQRT(2)),D14*SQRT(2)&gt;245),"Selected configuration: universal mains range","Select low mains configuration (1 = FB, 2 = HB)"))</f>
        <v>Selected configuration: universal mains range</v>
      </c>
      <c r="C15" s="1" t="s">
        <v>1015</v>
      </c>
      <c r="D15" s="2">
        <v>1</v>
      </c>
      <c r="E15" s="1" t="str">
        <f>"-"</f>
        <v>-</v>
      </c>
    </row>
    <row r="16" spans="2:10" ht="16.5" customHeight="1">
      <c r="B16" s="1" t="s">
        <v>140</v>
      </c>
      <c r="C16" s="1" t="s">
        <v>141</v>
      </c>
      <c r="D16" s="2">
        <v>50</v>
      </c>
      <c r="E16" s="1" t="s">
        <v>142</v>
      </c>
    </row>
    <row r="17" spans="2:10" ht="16.5" customHeight="1">
      <c r="B17" s="1" t="s">
        <v>143</v>
      </c>
      <c r="C17" s="1" t="s">
        <v>144</v>
      </c>
      <c r="D17" s="2">
        <v>47</v>
      </c>
      <c r="E17" s="1" t="s">
        <v>142</v>
      </c>
    </row>
    <row r="18" spans="2:10" ht="16.5" customHeight="1">
      <c r="B18" s="22"/>
      <c r="C18" s="23"/>
      <c r="D18" s="23"/>
      <c r="E18" s="23"/>
    </row>
    <row r="19" spans="2:10" ht="16.5" customHeight="1">
      <c r="B19" s="20" t="s">
        <v>131</v>
      </c>
      <c r="C19" s="20" t="s">
        <v>132</v>
      </c>
      <c r="D19" s="20" t="s">
        <v>133</v>
      </c>
      <c r="E19" s="20" t="s">
        <v>134</v>
      </c>
      <c r="F19" s="20" t="s">
        <v>145</v>
      </c>
    </row>
    <row r="20" spans="2:10" ht="16.5" customHeight="1">
      <c r="B20" s="1" t="s">
        <v>146</v>
      </c>
      <c r="C20" s="1" t="s">
        <v>147</v>
      </c>
      <c r="D20" s="24">
        <f>MIN(2*D13,245/SQRT(2))</f>
        <v>173.24116139070412</v>
      </c>
      <c r="E20" s="1" t="s">
        <v>137</v>
      </c>
      <c r="F20" s="2">
        <f>D20</f>
        <v>173.24116139070412</v>
      </c>
    </row>
    <row r="21" spans="2:10" ht="16.5" customHeight="1">
      <c r="B21" s="22"/>
      <c r="C21" s="23"/>
      <c r="D21" s="23"/>
      <c r="E21" s="23"/>
    </row>
    <row r="22" spans="2:10" ht="16.5" customHeight="1">
      <c r="B22" s="20" t="s">
        <v>131</v>
      </c>
      <c r="C22" s="20" t="s">
        <v>132</v>
      </c>
      <c r="D22" s="20" t="s">
        <v>133</v>
      </c>
      <c r="E22" s="20" t="s">
        <v>134</v>
      </c>
      <c r="J22" s="10" t="s">
        <v>936</v>
      </c>
    </row>
    <row r="23" spans="2:10" ht="16.5" customHeight="1">
      <c r="B23" s="1" t="s">
        <v>1037</v>
      </c>
      <c r="C23" s="1" t="s">
        <v>149</v>
      </c>
      <c r="D23" s="2">
        <v>25</v>
      </c>
      <c r="E23" s="1" t="s">
        <v>150</v>
      </c>
      <c r="F23" s="1" t="s">
        <v>1177</v>
      </c>
      <c r="G23" s="2">
        <f>'CompensationNet&amp;Check'!D38</f>
        <v>25.176818181818181</v>
      </c>
    </row>
    <row r="24" spans="2:10" ht="16.5" customHeight="1">
      <c r="B24" s="24" t="s">
        <v>151</v>
      </c>
      <c r="C24" s="24" t="s">
        <v>152</v>
      </c>
      <c r="D24" s="2">
        <v>19</v>
      </c>
      <c r="E24" s="24" t="s">
        <v>150</v>
      </c>
    </row>
    <row r="25" spans="2:10" ht="16.5" customHeight="1">
      <c r="B25" s="1" t="s">
        <v>153</v>
      </c>
      <c r="C25" s="1" t="s">
        <v>154</v>
      </c>
      <c r="D25" s="2">
        <v>5</v>
      </c>
      <c r="E25" s="1" t="s">
        <v>155</v>
      </c>
    </row>
    <row r="26" spans="2:10" ht="16.5" customHeight="1">
      <c r="B26" s="24" t="s">
        <v>156</v>
      </c>
      <c r="C26" s="24" t="s">
        <v>157</v>
      </c>
      <c r="D26" s="2">
        <v>12</v>
      </c>
      <c r="E26" s="24" t="s">
        <v>158</v>
      </c>
    </row>
    <row r="27" spans="2:10" ht="16.5" customHeight="1">
      <c r="B27" s="1" t="s">
        <v>159</v>
      </c>
      <c r="C27" s="1" t="s">
        <v>160</v>
      </c>
      <c r="D27" s="2">
        <v>657.5</v>
      </c>
      <c r="E27" s="1" t="s">
        <v>161</v>
      </c>
    </row>
    <row r="28" spans="2:10" ht="16.5" customHeight="1">
      <c r="B28" s="1" t="s">
        <v>162</v>
      </c>
      <c r="C28" s="1" t="s">
        <v>163</v>
      </c>
      <c r="D28" s="2">
        <v>98</v>
      </c>
      <c r="E28" s="1" t="s">
        <v>155</v>
      </c>
    </row>
    <row r="29" spans="2:10" ht="16.5" customHeight="1">
      <c r="B29" s="1" t="s">
        <v>164</v>
      </c>
      <c r="C29" s="1" t="s">
        <v>165</v>
      </c>
      <c r="D29" s="2">
        <v>25</v>
      </c>
      <c r="E29" s="1" t="s">
        <v>166</v>
      </c>
    </row>
    <row r="30" spans="2:10" ht="16.5" customHeight="1">
      <c r="B30" s="25"/>
      <c r="C30" s="25"/>
      <c r="D30" s="25"/>
      <c r="E30" s="25"/>
    </row>
    <row r="31" spans="2:10" ht="16.5" customHeight="1">
      <c r="B31" s="20" t="s">
        <v>167</v>
      </c>
      <c r="C31" s="20" t="s">
        <v>132</v>
      </c>
      <c r="D31" s="20" t="s">
        <v>133</v>
      </c>
      <c r="E31" s="20" t="s">
        <v>134</v>
      </c>
    </row>
    <row r="32" spans="2:10" ht="16.5" customHeight="1">
      <c r="B32" s="1" t="s">
        <v>168</v>
      </c>
      <c r="C32" s="1" t="s">
        <v>169</v>
      </c>
      <c r="D32" s="24">
        <f>OutCap_Sel_DB!V4</f>
        <v>50</v>
      </c>
      <c r="E32" s="1" t="s">
        <v>150</v>
      </c>
      <c r="F32" s="10" t="str">
        <f>IF(D32="","No solution found, increase max height","")</f>
        <v/>
      </c>
    </row>
    <row r="33" spans="2:5" ht="16.5" customHeight="1">
      <c r="B33" s="1" t="s">
        <v>170</v>
      </c>
      <c r="C33" s="1" t="s">
        <v>171</v>
      </c>
      <c r="D33" s="24">
        <f>OutCap_Sel_DB!W4</f>
        <v>4700</v>
      </c>
      <c r="E33" s="1" t="s">
        <v>172</v>
      </c>
    </row>
    <row r="34" spans="2:5" ht="16.5" customHeight="1">
      <c r="B34" s="1" t="s">
        <v>173</v>
      </c>
      <c r="C34" s="1" t="s">
        <v>174</v>
      </c>
      <c r="D34" s="24">
        <f>OutCap_Sel_DB!Z4</f>
        <v>8.4656884623348583E-2</v>
      </c>
      <c r="E34" s="26" t="s">
        <v>175</v>
      </c>
    </row>
    <row r="35" spans="2:5" ht="16.5" customHeight="1">
      <c r="B35" s="1" t="s">
        <v>176</v>
      </c>
      <c r="C35" s="1" t="s">
        <v>177</v>
      </c>
      <c r="D35" s="24">
        <f>OutCap_Sel_DB!X4</f>
        <v>30</v>
      </c>
      <c r="E35" s="1" t="s">
        <v>166</v>
      </c>
    </row>
    <row r="36" spans="2:5" ht="16.5" customHeight="1">
      <c r="B36" s="1" t="s">
        <v>178</v>
      </c>
      <c r="C36" s="1" t="s">
        <v>165</v>
      </c>
      <c r="D36" s="24">
        <f>OutCap_Sel_DB!Y4</f>
        <v>25</v>
      </c>
      <c r="E36" s="1" t="s">
        <v>166</v>
      </c>
    </row>
    <row r="37" spans="2:5" ht="16.5" customHeight="1">
      <c r="B37" s="1" t="s">
        <v>179</v>
      </c>
      <c r="C37" s="1" t="s">
        <v>180</v>
      </c>
      <c r="D37" s="24">
        <f>OutCap_Sel_DB!AA4</f>
        <v>16</v>
      </c>
      <c r="E37" s="1" t="s">
        <v>181</v>
      </c>
    </row>
    <row r="38" spans="2:5" ht="18" customHeight="1">
      <c r="B38" s="1" t="s">
        <v>182</v>
      </c>
      <c r="C38" s="1" t="s">
        <v>183</v>
      </c>
      <c r="D38" s="27">
        <f>OutCap_Sel_DB!U4</f>
        <v>282.74333882308139</v>
      </c>
      <c r="E38" s="1" t="s">
        <v>184</v>
      </c>
    </row>
    <row r="39" spans="2:5" ht="16.5" customHeight="1">
      <c r="B39" s="25"/>
      <c r="C39" s="25"/>
      <c r="D39" s="25"/>
      <c r="E39" s="25"/>
    </row>
    <row r="40" spans="2:5" ht="16.5" customHeight="1">
      <c r="B40" s="20" t="s">
        <v>131</v>
      </c>
      <c r="C40" s="20" t="s">
        <v>132</v>
      </c>
      <c r="D40" s="20" t="s">
        <v>133</v>
      </c>
      <c r="E40" s="20" t="s">
        <v>134</v>
      </c>
    </row>
    <row r="41" spans="2:5" ht="16.5" customHeight="1">
      <c r="B41" s="1" t="s">
        <v>185</v>
      </c>
      <c r="C41" s="1" t="s">
        <v>186</v>
      </c>
      <c r="D41" s="2">
        <v>150</v>
      </c>
      <c r="E41" s="1" t="s">
        <v>187</v>
      </c>
    </row>
    <row r="42" spans="2:5" ht="16.5" customHeight="1">
      <c r="B42" s="1" t="s">
        <v>188</v>
      </c>
      <c r="C42" s="1" t="s">
        <v>189</v>
      </c>
      <c r="D42" s="2">
        <v>50</v>
      </c>
      <c r="E42" s="1" t="s">
        <v>187</v>
      </c>
    </row>
    <row r="43" spans="2:5" ht="16.5" customHeight="1">
      <c r="B43" s="1" t="s">
        <v>190</v>
      </c>
      <c r="C43" s="1" t="s">
        <v>191</v>
      </c>
      <c r="D43" s="1">
        <f>1.5*D41</f>
        <v>225</v>
      </c>
      <c r="E43" s="1" t="s">
        <v>187</v>
      </c>
    </row>
    <row r="44" spans="2:5" ht="16.5" customHeight="1">
      <c r="B44" s="25"/>
      <c r="C44" s="25"/>
      <c r="D44" s="25"/>
      <c r="E44" s="25"/>
    </row>
    <row r="45" spans="2:5" ht="16.5" customHeight="1">
      <c r="B45" s="20" t="s">
        <v>131</v>
      </c>
      <c r="C45" s="20" t="s">
        <v>132</v>
      </c>
      <c r="D45" s="20" t="s">
        <v>133</v>
      </c>
      <c r="E45" s="20" t="s">
        <v>134</v>
      </c>
    </row>
    <row r="46" spans="2:5" ht="16.5" customHeight="1">
      <c r="B46" s="1" t="s">
        <v>192</v>
      </c>
      <c r="C46" s="1" t="s">
        <v>193</v>
      </c>
      <c r="D46" s="2">
        <v>800</v>
      </c>
      <c r="E46" s="1" t="s">
        <v>194</v>
      </c>
    </row>
    <row r="47" spans="2:5" ht="16.5" customHeight="1">
      <c r="B47" s="1" t="s">
        <v>195</v>
      </c>
      <c r="C47" s="1" t="s">
        <v>196</v>
      </c>
      <c r="D47" s="2">
        <v>220</v>
      </c>
      <c r="E47" s="1" t="s">
        <v>197</v>
      </c>
    </row>
    <row r="48" spans="2:5" ht="16.5" customHeight="1">
      <c r="B48" s="1" t="s">
        <v>198</v>
      </c>
      <c r="C48" s="1" t="s">
        <v>199</v>
      </c>
      <c r="D48" s="2">
        <v>2</v>
      </c>
      <c r="E48" s="1" t="s">
        <v>200</v>
      </c>
    </row>
    <row r="49" spans="2:13" ht="16.5" customHeight="1">
      <c r="B49" s="1" t="s">
        <v>201</v>
      </c>
      <c r="C49" s="1" t="s">
        <v>202</v>
      </c>
      <c r="D49" s="2">
        <v>0.15</v>
      </c>
      <c r="E49" s="26" t="s">
        <v>175</v>
      </c>
    </row>
    <row r="51" spans="2:13" ht="16.5" customHeight="1">
      <c r="B51" s="20" t="s">
        <v>131</v>
      </c>
      <c r="C51" s="20" t="s">
        <v>132</v>
      </c>
      <c r="D51" s="20" t="s">
        <v>133</v>
      </c>
      <c r="E51" s="20" t="s">
        <v>134</v>
      </c>
    </row>
    <row r="52" spans="2:13" ht="16.5" customHeight="1">
      <c r="B52" s="1" t="s">
        <v>203</v>
      </c>
      <c r="C52" s="1" t="s">
        <v>204</v>
      </c>
      <c r="D52" s="2">
        <v>0.08</v>
      </c>
      <c r="E52" s="1" t="s">
        <v>150</v>
      </c>
    </row>
    <row r="53" spans="2:13" ht="16.5" customHeight="1">
      <c r="B53" s="24" t="s">
        <v>205</v>
      </c>
      <c r="C53" s="24" t="s">
        <v>206</v>
      </c>
      <c r="D53" s="2">
        <v>0.04</v>
      </c>
      <c r="E53" s="24" t="s">
        <v>175</v>
      </c>
    </row>
    <row r="55" spans="2:13" ht="18.75" customHeight="1">
      <c r="B55" s="19" t="s">
        <v>207</v>
      </c>
    </row>
    <row r="56" spans="2:13" ht="3" customHeight="1">
      <c r="B56" s="19"/>
    </row>
    <row r="57" spans="2:13" ht="16.5" customHeight="1">
      <c r="B57" s="20" t="s">
        <v>131</v>
      </c>
      <c r="C57" s="20" t="s">
        <v>132</v>
      </c>
      <c r="D57" s="20" t="s">
        <v>133</v>
      </c>
      <c r="E57" s="20" t="s">
        <v>134</v>
      </c>
    </row>
    <row r="58" spans="2:13" ht="16.5" customHeight="1">
      <c r="B58" s="1" t="s">
        <v>208</v>
      </c>
      <c r="C58" s="1" t="s">
        <v>209</v>
      </c>
      <c r="D58" s="2">
        <v>0</v>
      </c>
      <c r="E58" s="1" t="s">
        <v>150</v>
      </c>
    </row>
    <row r="59" spans="2:13" ht="16.5" customHeight="1">
      <c r="B59" s="1" t="s">
        <v>210</v>
      </c>
      <c r="C59" s="1" t="s">
        <v>1016</v>
      </c>
      <c r="D59" s="2">
        <v>1</v>
      </c>
      <c r="E59" s="1" t="str">
        <f>"-"</f>
        <v>-</v>
      </c>
    </row>
    <row r="61" spans="2:13" ht="18.75" customHeight="1">
      <c r="B61" s="28" t="s">
        <v>211</v>
      </c>
      <c r="C61" s="29"/>
      <c r="D61" s="29"/>
      <c r="E61" s="30"/>
      <c r="F61" s="28" t="s">
        <v>212</v>
      </c>
      <c r="G61" s="29"/>
      <c r="H61" s="29"/>
      <c r="I61" s="29"/>
      <c r="J61" s="29"/>
      <c r="K61" s="29"/>
      <c r="L61" s="29"/>
      <c r="M61" s="30"/>
    </row>
    <row r="62" spans="2:13" ht="16.5" customHeight="1">
      <c r="B62" s="14"/>
      <c r="E62" s="15"/>
      <c r="F62" s="14"/>
      <c r="M62" s="15"/>
    </row>
    <row r="63" spans="2:13" ht="16.5" customHeight="1">
      <c r="B63" s="14"/>
      <c r="E63" s="15"/>
      <c r="F63" s="14"/>
      <c r="M63" s="15"/>
    </row>
    <row r="64" spans="2:13" ht="16.5" customHeight="1">
      <c r="B64" s="14"/>
      <c r="E64" s="15"/>
      <c r="F64" s="14"/>
      <c r="M64" s="15"/>
    </row>
    <row r="65" spans="2:24" ht="16.5" customHeight="1">
      <c r="B65" s="14"/>
      <c r="E65" s="15"/>
      <c r="F65" s="14"/>
      <c r="M65" s="15"/>
    </row>
    <row r="66" spans="2:24" ht="16.5" customHeight="1">
      <c r="B66" s="14"/>
      <c r="E66" s="15"/>
      <c r="F66" s="14"/>
      <c r="M66" s="15"/>
    </row>
    <row r="67" spans="2:24" ht="16.5" customHeight="1">
      <c r="B67" s="14"/>
      <c r="E67" s="15"/>
      <c r="F67" s="14"/>
      <c r="M67" s="15"/>
    </row>
    <row r="68" spans="2:24" ht="16.5" customHeight="1">
      <c r="B68" s="14"/>
      <c r="E68" s="15"/>
      <c r="F68" s="14"/>
      <c r="M68" s="15"/>
    </row>
    <row r="69" spans="2:24" ht="16.5" customHeight="1">
      <c r="B69" s="14"/>
      <c r="E69" s="15"/>
      <c r="F69" s="14"/>
      <c r="M69" s="15"/>
    </row>
    <row r="70" spans="2:24" ht="16.5" customHeight="1">
      <c r="B70" s="14"/>
      <c r="E70" s="15"/>
      <c r="F70" s="14"/>
      <c r="M70" s="15"/>
    </row>
    <row r="71" spans="2:24" ht="16.5" customHeight="1">
      <c r="B71" s="14"/>
      <c r="E71" s="15"/>
      <c r="F71" s="14"/>
      <c r="M71" s="15"/>
    </row>
    <row r="72" spans="2:24" ht="16.5" customHeight="1">
      <c r="B72" s="14"/>
      <c r="E72" s="15"/>
      <c r="F72" s="14"/>
      <c r="M72" s="15"/>
    </row>
    <row r="73" spans="2:24" ht="16.5" customHeight="1">
      <c r="B73" s="14"/>
      <c r="E73" s="15"/>
      <c r="F73" s="14"/>
      <c r="M73" s="15"/>
    </row>
    <row r="74" spans="2:24" ht="16.5" customHeight="1">
      <c r="B74" s="16"/>
      <c r="C74" s="17"/>
      <c r="D74" s="17"/>
      <c r="E74" s="18"/>
      <c r="F74" s="16"/>
      <c r="G74" s="17"/>
      <c r="H74" s="17"/>
      <c r="I74" s="17"/>
      <c r="J74" s="17"/>
      <c r="K74" s="17"/>
      <c r="L74" s="17"/>
      <c r="M74" s="18"/>
    </row>
    <row r="75" spans="2:24" ht="17.25" customHeight="1"/>
    <row r="76" spans="2:24" ht="16.5" customHeight="1">
      <c r="B76" s="31" t="s">
        <v>213</v>
      </c>
      <c r="C76" s="32"/>
      <c r="D76" s="32"/>
      <c r="E76" s="32"/>
      <c r="F76" s="33"/>
      <c r="G76" s="33"/>
      <c r="H76" s="33"/>
      <c r="I76" s="33"/>
      <c r="J76" s="33"/>
      <c r="K76" s="33"/>
      <c r="L76" s="33"/>
      <c r="M76" s="33"/>
      <c r="N76" s="33"/>
      <c r="O76" s="33"/>
      <c r="P76" s="33"/>
      <c r="Q76" s="33"/>
      <c r="R76" s="33"/>
      <c r="S76" s="33"/>
      <c r="T76" s="33"/>
      <c r="U76" s="33"/>
      <c r="V76" s="33"/>
      <c r="W76" s="33"/>
      <c r="X76" s="34"/>
    </row>
    <row r="77" spans="2:24" ht="16.5" customHeight="1">
      <c r="B77" s="35" t="s">
        <v>131</v>
      </c>
      <c r="C77" s="36" t="s">
        <v>132</v>
      </c>
      <c r="D77" s="36" t="s">
        <v>133</v>
      </c>
      <c r="E77" s="36" t="s">
        <v>134</v>
      </c>
      <c r="H77" s="21"/>
      <c r="I77" s="21"/>
      <c r="X77" s="37"/>
    </row>
    <row r="78" spans="2:24" ht="16.5" customHeight="1">
      <c r="B78" s="38" t="s">
        <v>214</v>
      </c>
      <c r="C78" s="39" t="s">
        <v>136</v>
      </c>
      <c r="D78" s="39">
        <f>'Design Spec'!D13</f>
        <v>90</v>
      </c>
      <c r="E78" s="39" t="s">
        <v>137</v>
      </c>
      <c r="X78" s="37"/>
    </row>
    <row r="79" spans="2:24" ht="16.5" customHeight="1">
      <c r="B79" s="38" t="s">
        <v>138</v>
      </c>
      <c r="C79" s="39" t="s">
        <v>139</v>
      </c>
      <c r="D79" s="39">
        <f>IF(D80=0,'Design Spec'!D14,IF(D80=1,'Design Spec'!D14*2,IF(D80=2,'Design Spec'!D14,IF(D80=3,'Design Spec'!D14*2,'Design Spec'!D14))))</f>
        <v>264</v>
      </c>
      <c r="E79" s="39" t="s">
        <v>137</v>
      </c>
      <c r="X79" s="37"/>
    </row>
    <row r="80" spans="2:24" ht="16.5" customHeight="1">
      <c r="B80" s="38" t="str">
        <f>IF(D78&gt;(190/SQRT(2)),"Select high mains configuration (1 = FB, 2 = HB)",IF(AND(D78&lt;=(190/SQRT(2)),D79*SQRT(2)&gt;245),"Universal range configuration","Select low mains configuration (1 = FB, 2 = HB)"))</f>
        <v>Universal range configuration</v>
      </c>
      <c r="C80" s="39"/>
      <c r="D80" s="39">
        <f>IF(D78&lt;=(190/SQRT(2)),IF('Design Spec'!D14*SQRT(2)&gt;245,0,'Design Spec'!D15),'Design Spec'!D15+2)</f>
        <v>0</v>
      </c>
      <c r="E80" s="39"/>
      <c r="X80" s="37"/>
    </row>
    <row r="81" spans="2:24" ht="16.5" customHeight="1">
      <c r="B81" s="40" t="s">
        <v>215</v>
      </c>
      <c r="C81" s="21" t="s">
        <v>216</v>
      </c>
      <c r="D81" s="21">
        <f>2*235/SQRT(2)</f>
        <v>332.34018715767729</v>
      </c>
      <c r="E81" s="21" t="s">
        <v>137</v>
      </c>
      <c r="I81" s="10">
        <v>0</v>
      </c>
      <c r="J81" s="10" t="s">
        <v>217</v>
      </c>
      <c r="X81" s="37"/>
    </row>
    <row r="82" spans="2:24" ht="16.5" customHeight="1">
      <c r="B82" s="35" t="s">
        <v>131</v>
      </c>
      <c r="C82" s="36" t="s">
        <v>132</v>
      </c>
      <c r="D82" s="36" t="s">
        <v>133</v>
      </c>
      <c r="E82" s="36" t="s">
        <v>134</v>
      </c>
      <c r="I82" s="10">
        <v>1</v>
      </c>
      <c r="J82" s="10" t="s">
        <v>218</v>
      </c>
      <c r="X82" s="37"/>
    </row>
    <row r="83" spans="2:24" ht="16.5" customHeight="1">
      <c r="B83" s="38" t="s">
        <v>146</v>
      </c>
      <c r="C83" s="39" t="s">
        <v>147</v>
      </c>
      <c r="D83" s="39">
        <f>IF(D80=0,'Design Spec'!F20,IF(D80=1,'Design Spec'!F20*2,IF(D80=2,'Design Spec'!F20,IF(D80=3,'Design Spec'!F20*2,'Design Spec'!F20))))</f>
        <v>173.24116139070412</v>
      </c>
      <c r="E83" s="39" t="s">
        <v>137</v>
      </c>
      <c r="I83" s="10">
        <v>2</v>
      </c>
      <c r="J83" s="10" t="s">
        <v>219</v>
      </c>
      <c r="X83" s="37"/>
    </row>
    <row r="84" spans="2:24" ht="16.5" customHeight="1">
      <c r="B84" s="40"/>
      <c r="I84" s="10">
        <v>3</v>
      </c>
      <c r="J84" s="10" t="s">
        <v>220</v>
      </c>
      <c r="X84" s="37"/>
    </row>
    <row r="85" spans="2:24" ht="16.5" customHeight="1">
      <c r="B85" s="35" t="s">
        <v>131</v>
      </c>
      <c r="C85" s="36" t="s">
        <v>132</v>
      </c>
      <c r="D85" s="36" t="s">
        <v>133</v>
      </c>
      <c r="E85" s="36" t="s">
        <v>134</v>
      </c>
      <c r="I85" s="10">
        <v>4</v>
      </c>
      <c r="J85" s="10" t="s">
        <v>221</v>
      </c>
      <c r="X85" s="37"/>
    </row>
    <row r="86" spans="2:24" ht="16.5" customHeight="1">
      <c r="B86" s="38" t="s">
        <v>222</v>
      </c>
      <c r="C86" s="39" t="s">
        <v>223</v>
      </c>
      <c r="D86" s="39">
        <v>225</v>
      </c>
      <c r="E86" s="39" t="s">
        <v>137</v>
      </c>
      <c r="X86" s="37"/>
    </row>
    <row r="87" spans="2:24" ht="16.5" customHeight="1">
      <c r="B87" s="38" t="s">
        <v>224</v>
      </c>
      <c r="C87" s="39" t="s">
        <v>225</v>
      </c>
      <c r="D87" s="39">
        <f>IF(D80=0,D86,IF(D80=1,D86,IF(D80=2,D86/2,IF(D80=3,D86*2,D86))))</f>
        <v>225</v>
      </c>
      <c r="E87" s="39" t="s">
        <v>137</v>
      </c>
      <c r="X87" s="37"/>
    </row>
    <row r="88" spans="2:24" ht="16.5" customHeight="1">
      <c r="B88" s="38" t="s">
        <v>226</v>
      </c>
      <c r="C88" s="39"/>
      <c r="D88" s="41">
        <v>5</v>
      </c>
      <c r="E88" s="39" t="s">
        <v>155</v>
      </c>
      <c r="X88" s="37"/>
    </row>
    <row r="89" spans="2:24" ht="16.5" customHeight="1">
      <c r="B89" s="38" t="s">
        <v>227</v>
      </c>
      <c r="C89" s="39" t="s">
        <v>228</v>
      </c>
      <c r="D89" s="39">
        <f>D87*(1-D88/100)</f>
        <v>213.75</v>
      </c>
      <c r="E89" s="39" t="s">
        <v>137</v>
      </c>
      <c r="X89" s="37"/>
    </row>
    <row r="90" spans="2:24" ht="16.5" customHeight="1">
      <c r="B90" s="38" t="s">
        <v>140</v>
      </c>
      <c r="C90" s="39" t="s">
        <v>141</v>
      </c>
      <c r="D90" s="39">
        <f>'Design Spec'!D16</f>
        <v>50</v>
      </c>
      <c r="E90" s="39" t="s">
        <v>142</v>
      </c>
      <c r="X90" s="37"/>
    </row>
    <row r="91" spans="2:24" ht="16.5" customHeight="1">
      <c r="B91" s="38" t="s">
        <v>143</v>
      </c>
      <c r="C91" s="39" t="s">
        <v>144</v>
      </c>
      <c r="D91" s="39">
        <f>'Design Spec'!D17</f>
        <v>47</v>
      </c>
      <c r="E91" s="39" t="s">
        <v>142</v>
      </c>
      <c r="X91" s="37"/>
    </row>
    <row r="92" spans="2:24" ht="16.5" customHeight="1">
      <c r="B92" s="38" t="s">
        <v>229</v>
      </c>
      <c r="C92" s="39" t="s">
        <v>165</v>
      </c>
      <c r="D92" s="39">
        <f>D29</f>
        <v>25</v>
      </c>
      <c r="E92" s="39" t="s">
        <v>166</v>
      </c>
      <c r="X92" s="37"/>
    </row>
    <row r="93" spans="2:24" ht="16.5" customHeight="1">
      <c r="B93" s="40"/>
      <c r="C93" s="21"/>
      <c r="D93" s="21"/>
      <c r="E93" s="21"/>
      <c r="X93" s="37"/>
    </row>
    <row r="94" spans="2:24" ht="16.5" customHeight="1">
      <c r="B94" s="35" t="s">
        <v>131</v>
      </c>
      <c r="C94" s="36" t="s">
        <v>132</v>
      </c>
      <c r="D94" s="36" t="s">
        <v>133</v>
      </c>
      <c r="E94" s="36" t="s">
        <v>134</v>
      </c>
      <c r="X94" s="37"/>
    </row>
    <row r="95" spans="2:24" ht="16.5" customHeight="1">
      <c r="B95" s="38" t="s">
        <v>148</v>
      </c>
      <c r="C95" s="39" t="s">
        <v>149</v>
      </c>
      <c r="D95" s="39">
        <f>'Design Spec'!D23</f>
        <v>25</v>
      </c>
      <c r="E95" s="39" t="s">
        <v>150</v>
      </c>
      <c r="X95" s="37"/>
    </row>
    <row r="96" spans="2:24" ht="16.5" customHeight="1">
      <c r="B96" s="38" t="str">
        <f>'Design Spec'!B24</f>
        <v>Minimum admitted voltage (for hold up req)</v>
      </c>
      <c r="C96" s="39" t="str">
        <f>'Design Spec'!C24</f>
        <v>Vo_min_adm</v>
      </c>
      <c r="D96" s="39">
        <f>'Design Spec'!D24</f>
        <v>19</v>
      </c>
      <c r="E96" s="39" t="str">
        <f>'Design Spec'!E24</f>
        <v>V</v>
      </c>
      <c r="X96" s="37"/>
    </row>
    <row r="97" spans="2:24" ht="16.5" customHeight="1">
      <c r="B97" s="38" t="s">
        <v>230</v>
      </c>
      <c r="C97" s="39" t="s">
        <v>154</v>
      </c>
      <c r="D97" s="39">
        <f>'Design Spec'!D25</f>
        <v>5</v>
      </c>
      <c r="E97" s="39" t="s">
        <v>155</v>
      </c>
      <c r="X97" s="37"/>
    </row>
    <row r="98" spans="2:24" ht="16.5" customHeight="1">
      <c r="B98" s="38" t="s">
        <v>159</v>
      </c>
      <c r="C98" s="39" t="s">
        <v>160</v>
      </c>
      <c r="D98" s="39">
        <f>'Design Spec'!D27</f>
        <v>657.5</v>
      </c>
      <c r="E98" s="39" t="s">
        <v>161</v>
      </c>
      <c r="X98" s="37"/>
    </row>
    <row r="99" spans="2:24" ht="16.5" customHeight="1">
      <c r="B99" s="38" t="s">
        <v>162</v>
      </c>
      <c r="C99" s="42" t="s">
        <v>163</v>
      </c>
      <c r="D99" s="39">
        <f>'Design Spec'!D28</f>
        <v>98</v>
      </c>
      <c r="E99" s="39" t="s">
        <v>155</v>
      </c>
      <c r="X99" s="37"/>
    </row>
    <row r="100" spans="2:24" ht="16.5" customHeight="1">
      <c r="B100" s="38"/>
      <c r="C100" s="42"/>
      <c r="D100" s="39"/>
      <c r="E100" s="39"/>
      <c r="X100" s="37"/>
    </row>
    <row r="101" spans="2:24" ht="16.5" customHeight="1">
      <c r="B101" s="43"/>
      <c r="C101" s="44"/>
      <c r="D101" s="45"/>
      <c r="E101" s="45"/>
      <c r="X101" s="37"/>
    </row>
    <row r="102" spans="2:24" ht="16.5" customHeight="1">
      <c r="B102" s="38" t="s">
        <v>185</v>
      </c>
      <c r="C102" s="39" t="s">
        <v>186</v>
      </c>
      <c r="D102" s="39">
        <f>'Design Spec'!D41</f>
        <v>150</v>
      </c>
      <c r="E102" s="39" t="s">
        <v>187</v>
      </c>
      <c r="X102" s="37"/>
    </row>
    <row r="103" spans="2:24" ht="16.5" customHeight="1">
      <c r="B103" s="38" t="s">
        <v>188</v>
      </c>
      <c r="C103" s="39" t="s">
        <v>189</v>
      </c>
      <c r="D103" s="39">
        <f>'Design Spec'!D42</f>
        <v>50</v>
      </c>
      <c r="E103" s="39" t="s">
        <v>187</v>
      </c>
    </row>
    <row r="104" spans="2:24" ht="16.5" customHeight="1">
      <c r="B104" s="38" t="s">
        <v>231</v>
      </c>
      <c r="C104" s="39" t="s">
        <v>191</v>
      </c>
      <c r="D104" s="39">
        <f>'Design Spec'!D43</f>
        <v>225</v>
      </c>
      <c r="E104" s="39" t="s">
        <v>187</v>
      </c>
      <c r="X104" s="37"/>
    </row>
    <row r="105" spans="2:24" ht="16.5" customHeight="1">
      <c r="B105" s="43"/>
      <c r="C105" s="45"/>
      <c r="D105" s="45"/>
      <c r="E105" s="45"/>
      <c r="X105" s="37"/>
    </row>
    <row r="106" spans="2:24" ht="16.5" customHeight="1">
      <c r="B106" s="38" t="s">
        <v>208</v>
      </c>
      <c r="C106" s="39" t="s">
        <v>209</v>
      </c>
      <c r="D106" s="39">
        <f>'Design Spec'!D58</f>
        <v>0</v>
      </c>
      <c r="E106" s="39" t="s">
        <v>150</v>
      </c>
      <c r="X106" s="37"/>
    </row>
    <row r="107" spans="2:24" ht="16.5" customHeight="1">
      <c r="B107" s="38" t="s">
        <v>210</v>
      </c>
      <c r="C107" s="39"/>
      <c r="D107" s="39">
        <f>'Design Spec'!D59</f>
        <v>1</v>
      </c>
      <c r="E107" s="39"/>
      <c r="X107" s="37"/>
    </row>
    <row r="108" spans="2:24" ht="16.5" customHeight="1">
      <c r="B108" s="38" t="s">
        <v>203</v>
      </c>
      <c r="C108" s="39" t="s">
        <v>204</v>
      </c>
      <c r="D108" s="39">
        <f>'Design Spec'!D52</f>
        <v>0.08</v>
      </c>
      <c r="E108" s="39" t="s">
        <v>150</v>
      </c>
      <c r="X108" s="37"/>
    </row>
    <row r="109" spans="2:24" ht="16.5" customHeight="1">
      <c r="B109" s="38" t="str">
        <f>'Design Spec'!B53</f>
        <v>Dynamic Resistance (1 diode)</v>
      </c>
      <c r="C109" s="39" t="str">
        <f>'Design Spec'!C53</f>
        <v>Rd</v>
      </c>
      <c r="D109" s="39">
        <f>'Design Spec'!D53</f>
        <v>0.04</v>
      </c>
      <c r="E109" s="39" t="str">
        <f>'Design Spec'!E53</f>
        <v>Ω</v>
      </c>
      <c r="X109" s="37"/>
    </row>
    <row r="110" spans="2:24" ht="16.5" customHeight="1">
      <c r="B110" s="43"/>
      <c r="C110" s="45"/>
      <c r="D110" s="45"/>
      <c r="E110" s="45"/>
      <c r="X110" s="37"/>
    </row>
    <row r="111" spans="2:24" ht="16.5" customHeight="1">
      <c r="B111" s="38" t="s">
        <v>232</v>
      </c>
      <c r="C111" s="39" t="s">
        <v>193</v>
      </c>
      <c r="D111" s="39">
        <f>'Design Spec'!D46</f>
        <v>800</v>
      </c>
      <c r="E111" s="39" t="s">
        <v>194</v>
      </c>
      <c r="X111" s="37"/>
    </row>
    <row r="112" spans="2:24" ht="16.5" customHeight="1">
      <c r="B112" s="38" t="s">
        <v>195</v>
      </c>
      <c r="C112" s="39" t="s">
        <v>196</v>
      </c>
      <c r="D112" s="39">
        <f>'Design Spec'!D47</f>
        <v>220</v>
      </c>
      <c r="E112" s="39" t="s">
        <v>197</v>
      </c>
      <c r="X112" s="37"/>
    </row>
    <row r="113" spans="2:24" ht="16.5" customHeight="1">
      <c r="B113" s="38" t="s">
        <v>233</v>
      </c>
      <c r="C113" s="39" t="s">
        <v>199</v>
      </c>
      <c r="D113" s="39">
        <f>'Design Spec'!D48</f>
        <v>2</v>
      </c>
      <c r="E113" s="39" t="s">
        <v>200</v>
      </c>
      <c r="X113" s="37"/>
    </row>
    <row r="114" spans="2:24" ht="16.5" customHeight="1">
      <c r="B114" s="38" t="s">
        <v>201</v>
      </c>
      <c r="C114" s="39" t="s">
        <v>202</v>
      </c>
      <c r="D114" s="39">
        <f>'Design Spec'!D49</f>
        <v>0.15</v>
      </c>
      <c r="E114" s="42" t="s">
        <v>175</v>
      </c>
      <c r="X114" s="37"/>
    </row>
    <row r="115" spans="2:24" ht="17.25" customHeight="1">
      <c r="B115" s="46"/>
      <c r="C115" s="47"/>
      <c r="D115" s="47"/>
      <c r="E115" s="47"/>
      <c r="F115" s="47"/>
      <c r="G115" s="47"/>
      <c r="H115" s="47"/>
      <c r="I115" s="47"/>
      <c r="J115" s="47"/>
      <c r="K115" s="47"/>
      <c r="L115" s="47"/>
      <c r="M115" s="47"/>
      <c r="N115" s="47"/>
      <c r="O115" s="47"/>
      <c r="P115" s="47"/>
      <c r="Q115" s="47"/>
      <c r="R115" s="47"/>
      <c r="S115" s="47"/>
      <c r="T115" s="47"/>
      <c r="U115" s="47"/>
      <c r="V115" s="47"/>
      <c r="W115" s="47"/>
      <c r="X115" s="48"/>
    </row>
  </sheetData>
  <phoneticPr fontId="35" type="noConversion"/>
  <conditionalFormatting sqref="C15:E15">
    <cfRule type="expression" dxfId="16" priority="2">
      <formula>IF($B$15="Selected configuration: universal mains range", 1,0)</formula>
    </cfRule>
  </conditionalFormatting>
  <conditionalFormatting sqref="D15">
    <cfRule type="cellIs" dxfId="15" priority="4" operator="notBetween">
      <formula>1</formula>
      <formula>2</formula>
    </cfRule>
  </conditionalFormatting>
  <conditionalFormatting sqref="D59">
    <cfRule type="cellIs" dxfId="14" priority="3" operator="notBetween">
      <formula>1</formula>
      <formula>2</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B4:E20"/>
  <sheetViews>
    <sheetView zoomScaleNormal="100" workbookViewId="0">
      <selection activeCell="M35" sqref="M35"/>
    </sheetView>
  </sheetViews>
  <sheetFormatPr defaultColWidth="8.75" defaultRowHeight="16.5"/>
  <cols>
    <col min="1" max="1" width="8.75" style="10"/>
    <col min="2" max="2" width="37.625" style="10" customWidth="1"/>
    <col min="3" max="3" width="9.875" style="10" customWidth="1"/>
    <col min="4" max="4" width="8.375" style="10" customWidth="1"/>
    <col min="5" max="16384" width="8.75" style="10"/>
  </cols>
  <sheetData>
    <row r="4" spans="2:5" ht="18.75" customHeight="1">
      <c r="B4" s="19" t="s">
        <v>234</v>
      </c>
    </row>
    <row r="5" spans="2:5" ht="6" customHeight="1"/>
    <row r="6" spans="2:5" ht="16.5" customHeight="1">
      <c r="B6" s="20" t="s">
        <v>131</v>
      </c>
      <c r="C6" s="20" t="s">
        <v>132</v>
      </c>
      <c r="D6" s="20" t="s">
        <v>133</v>
      </c>
      <c r="E6" s="20" t="s">
        <v>134</v>
      </c>
    </row>
    <row r="7" spans="2:5" ht="16.5" customHeight="1">
      <c r="B7" s="1" t="s">
        <v>235</v>
      </c>
      <c r="C7" s="1" t="s">
        <v>236</v>
      </c>
      <c r="D7" s="49">
        <f>'Design Spec'!D98/'Design Spec'!D95</f>
        <v>26.3</v>
      </c>
      <c r="E7" s="1" t="s">
        <v>237</v>
      </c>
    </row>
    <row r="8" spans="2:5" ht="16.5" customHeight="1">
      <c r="B8" s="1" t="s">
        <v>238</v>
      </c>
      <c r="C8" s="1" t="s">
        <v>239</v>
      </c>
      <c r="D8" s="49">
        <f>'Design Spec'!D95/('Design Spec'!D95+'Design Spec'!D106*'Design Spec'!D107)*100</f>
        <v>100</v>
      </c>
      <c r="E8" s="1" t="s">
        <v>155</v>
      </c>
    </row>
    <row r="9" spans="2:5" ht="16.5" customHeight="1">
      <c r="B9" s="1" t="s">
        <v>240</v>
      </c>
      <c r="C9" s="1" t="s">
        <v>241</v>
      </c>
      <c r="D9" s="49">
        <f>'Design Spec'!D98/'Preliminary Calculation'!D8*100</f>
        <v>657.5</v>
      </c>
      <c r="E9" s="1" t="s">
        <v>161</v>
      </c>
    </row>
    <row r="10" spans="2:5" ht="16.5" customHeight="1">
      <c r="B10" s="1" t="s">
        <v>242</v>
      </c>
      <c r="C10" s="1" t="s">
        <v>243</v>
      </c>
      <c r="D10" s="49">
        <f>'Design Spec'!D98/('Preliminary Calculation'!D8/100*'Design Spec'!D99/100)</f>
        <v>670.91836734693879</v>
      </c>
      <c r="E10" s="1" t="s">
        <v>161</v>
      </c>
    </row>
    <row r="11" spans="2:5" ht="16.5" customHeight="1">
      <c r="B11" s="1" t="s">
        <v>244</v>
      </c>
      <c r="C11" s="1" t="s">
        <v>245</v>
      </c>
      <c r="D11" s="49">
        <f>D10/'Design Spec'!D78</f>
        <v>7.454648526077098</v>
      </c>
      <c r="E11" s="1" t="s">
        <v>237</v>
      </c>
    </row>
    <row r="12" spans="2:5" ht="16.5" customHeight="1">
      <c r="B12" s="1" t="s">
        <v>246</v>
      </c>
      <c r="C12" s="1" t="s">
        <v>247</v>
      </c>
      <c r="D12" s="50">
        <f>('Design Spec'!D98)*((1-'Preliminary Calculation'!D8/100)/('Preliminary Calculation'!D8/100))</f>
        <v>0</v>
      </c>
      <c r="E12" s="1" t="s">
        <v>161</v>
      </c>
    </row>
    <row r="13" spans="2:5" ht="16.5" customHeight="1">
      <c r="B13" s="1" t="s">
        <v>248</v>
      </c>
      <c r="C13" s="1" t="s">
        <v>249</v>
      </c>
      <c r="D13" s="51">
        <f>(D9)*((1-('Design Spec'!D99/100))/('Design Spec'!D99/100))</f>
        <v>13.418367346938789</v>
      </c>
      <c r="E13" s="1" t="s">
        <v>161</v>
      </c>
    </row>
    <row r="14" spans="2:5" ht="16.5" customHeight="1">
      <c r="B14" s="1" t="s">
        <v>250</v>
      </c>
      <c r="C14" s="1" t="s">
        <v>251</v>
      </c>
      <c r="D14" s="52">
        <f>2*((D11*SQRT(2))*2/PI()*'Design Spec'!D108)+2*('Design Spec'!D109*(D11^2))</f>
        <v>5.5195894436664732</v>
      </c>
      <c r="E14" s="1" t="s">
        <v>161</v>
      </c>
    </row>
    <row r="15" spans="2:5" ht="16.5" customHeight="1">
      <c r="B15" s="1" t="s">
        <v>252</v>
      </c>
      <c r="C15" s="1" t="s">
        <v>253</v>
      </c>
      <c r="D15" s="53">
        <f>'Design Spec'!D114*D11^2</f>
        <v>8.3357676971015167</v>
      </c>
      <c r="E15" s="1" t="s">
        <v>161</v>
      </c>
    </row>
    <row r="16" spans="2:5" ht="16.5" customHeight="1">
      <c r="B16" s="54" t="s">
        <v>254</v>
      </c>
      <c r="C16" s="54" t="s">
        <v>255</v>
      </c>
      <c r="D16" s="55">
        <f>D15+D14+D13+D12</f>
        <v>27.273724487706779</v>
      </c>
      <c r="E16" s="54" t="s">
        <v>161</v>
      </c>
    </row>
    <row r="17" spans="2:5" ht="16.5" customHeight="1">
      <c r="B17" s="54" t="s">
        <v>256</v>
      </c>
      <c r="C17" s="54" t="s">
        <v>257</v>
      </c>
      <c r="D17" s="55">
        <f>D9/(D9+D13)*100</f>
        <v>98</v>
      </c>
      <c r="E17" s="54" t="s">
        <v>155</v>
      </c>
    </row>
    <row r="18" spans="2:5" ht="16.5" customHeight="1">
      <c r="B18" s="1" t="s">
        <v>258</v>
      </c>
      <c r="C18" s="1" t="s">
        <v>259</v>
      </c>
      <c r="D18" s="49">
        <f>D10/(D10+(D15+D14))*100</f>
        <v>97.976651754397636</v>
      </c>
      <c r="E18" s="1" t="s">
        <v>155</v>
      </c>
    </row>
    <row r="19" spans="2:5" ht="16.5" customHeight="1">
      <c r="B19" s="1" t="s">
        <v>260</v>
      </c>
      <c r="C19" s="1" t="s">
        <v>261</v>
      </c>
      <c r="D19" s="49">
        <f>D17*D8/100*D18/100</f>
        <v>96.017118719309693</v>
      </c>
      <c r="E19" s="1" t="s">
        <v>155</v>
      </c>
    </row>
    <row r="20" spans="2:5" ht="16.5" customHeight="1">
      <c r="B20" s="1" t="s">
        <v>262</v>
      </c>
      <c r="C20" s="1" t="s">
        <v>263</v>
      </c>
      <c r="D20" s="49">
        <f>'Design Spec'!D98/D19*100</f>
        <v>684.77372448770666</v>
      </c>
      <c r="E20" s="1" t="s">
        <v>161</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B4:G68"/>
  <sheetViews>
    <sheetView tabSelected="1" topLeftCell="K4" zoomScale="130" zoomScaleNormal="130" workbookViewId="0">
      <selection activeCell="X5" sqref="X5"/>
    </sheetView>
  </sheetViews>
  <sheetFormatPr defaultColWidth="8.75" defaultRowHeight="14.25"/>
  <cols>
    <col min="1" max="1" width="8.75" style="22"/>
    <col min="2" max="2" width="42.375" style="22" customWidth="1"/>
    <col min="3" max="3" width="24.125" style="22" customWidth="1"/>
    <col min="4" max="4" width="11.875" style="22" customWidth="1"/>
    <col min="5" max="5" width="12.625" style="22" customWidth="1"/>
    <col min="6" max="6" width="18.625" style="22" customWidth="1"/>
    <col min="7" max="7" width="14.375" style="22" customWidth="1"/>
    <col min="8" max="16384" width="8.75" style="22"/>
  </cols>
  <sheetData>
    <row r="4" spans="2:7" ht="18" customHeight="1">
      <c r="B4" s="19" t="s">
        <v>264</v>
      </c>
    </row>
    <row r="6" spans="2:7" ht="18" customHeight="1">
      <c r="B6" s="19" t="s">
        <v>265</v>
      </c>
      <c r="C6" s="23"/>
    </row>
    <row r="7" spans="2:7" ht="5.25" customHeight="1">
      <c r="B7" s="23"/>
      <c r="C7" s="23"/>
    </row>
    <row r="8" spans="2:7" ht="15.75" customHeight="1">
      <c r="B8" s="20" t="s">
        <v>131</v>
      </c>
      <c r="C8" s="20" t="s">
        <v>132</v>
      </c>
      <c r="D8" s="20" t="s">
        <v>133</v>
      </c>
      <c r="E8" s="20" t="s">
        <v>134</v>
      </c>
      <c r="F8" s="20" t="s">
        <v>266</v>
      </c>
    </row>
    <row r="9" spans="2:7" ht="14.25" customHeight="1">
      <c r="B9" s="1" t="s">
        <v>267</v>
      </c>
      <c r="C9" s="1" t="s">
        <v>268</v>
      </c>
      <c r="D9" s="3">
        <f>(SQRT(2)*'Design Spec'!D89)/(2*('Design Spec'!D95+'Design Spec'!D107*'Design Spec'!D106))</f>
        <v>6.045762979144981</v>
      </c>
      <c r="E9" s="1" t="str">
        <f t="shared" ref="E9:E14" si="0">"-"</f>
        <v>-</v>
      </c>
      <c r="F9" s="2">
        <v>7.4527000000000001</v>
      </c>
      <c r="G9" s="56"/>
    </row>
    <row r="10" spans="2:7" ht="14.25" customHeight="1">
      <c r="B10" s="1" t="s">
        <v>269</v>
      </c>
      <c r="C10" s="1" t="s">
        <v>270</v>
      </c>
      <c r="D10" s="3">
        <f>2*IF(F9,F9,D9)*(('Design Spec'!D95+'Design Spec'!D107*'Design Spec'!D106))/(SQRT(2)*'Design Spec'!D83)</f>
        <v>1.5209591836734695</v>
      </c>
      <c r="E10" s="1" t="str">
        <f t="shared" si="0"/>
        <v>-</v>
      </c>
      <c r="F10" s="1"/>
    </row>
    <row r="11" spans="2:7" ht="14.25" customHeight="1">
      <c r="B11" s="1" t="s">
        <v>271</v>
      </c>
      <c r="C11" s="1" t="s">
        <v>272</v>
      </c>
      <c r="D11" s="3">
        <f>2*IF(F9,F9,D9)*(('Design Spec'!D95+'Design Spec'!D107*'Design Spec'!D106))/(SQRT(2)*'Design Spec'!D79)</f>
        <v>0.99807854321003453</v>
      </c>
      <c r="E11" s="1" t="str">
        <f t="shared" si="0"/>
        <v>-</v>
      </c>
      <c r="F11" s="1"/>
    </row>
    <row r="12" spans="2:7" ht="14.25" customHeight="1">
      <c r="B12" s="1" t="s">
        <v>273</v>
      </c>
      <c r="C12" s="1" t="s">
        <v>274</v>
      </c>
      <c r="D12" s="3">
        <f>1/(2*IF(F9,F9,D9)*(('Design Spec'!D95+'Design Spec'!D107*'Design Spec'!D106))/(SQRT(2)*'Design Spec'!D81))-1</f>
        <v>0.26128785540810706</v>
      </c>
      <c r="E12" s="1" t="str">
        <f t="shared" si="0"/>
        <v>-</v>
      </c>
      <c r="F12" s="1"/>
    </row>
    <row r="13" spans="2:7" ht="14.25" customHeight="1">
      <c r="B13" s="1" t="s">
        <v>275</v>
      </c>
      <c r="C13" s="1" t="s">
        <v>276</v>
      </c>
      <c r="D13" s="3">
        <f>D12/(1-('Design Spec'!D102/'Design Spec'!D104)^2)</f>
        <v>0.47031813973459269</v>
      </c>
      <c r="E13" s="1" t="str">
        <f t="shared" si="0"/>
        <v>-</v>
      </c>
      <c r="F13" s="1"/>
    </row>
    <row r="14" spans="2:7" ht="13.5" customHeight="1">
      <c r="B14" s="1" t="s">
        <v>277</v>
      </c>
      <c r="C14" s="1" t="s">
        <v>278</v>
      </c>
      <c r="D14" s="3">
        <f>D12/(1-(((PI()^2)/8)*('Design Spec'!D102/'Design Spec'!D104)^2))</f>
        <v>0.57846894903565171</v>
      </c>
      <c r="E14" s="1" t="str">
        <f t="shared" si="0"/>
        <v>-</v>
      </c>
      <c r="F14" s="1"/>
    </row>
    <row r="15" spans="2:7" ht="13.5" customHeight="1">
      <c r="B15" s="1" t="s">
        <v>279</v>
      </c>
      <c r="C15" s="1" t="s">
        <v>280</v>
      </c>
      <c r="D15" s="3">
        <f>(('Design Spec'!$D$103/'Design Spec'!$D$102)^2)/(1-('Design Spec'!$D$103/'Design Spec'!$D$102)^2)</f>
        <v>0.125</v>
      </c>
      <c r="E15" s="1" t="s">
        <v>181</v>
      </c>
      <c r="F15" s="1"/>
    </row>
    <row r="16" spans="2:7" ht="14.25" hidden="1" customHeight="1">
      <c r="B16" s="57" t="s">
        <v>281</v>
      </c>
      <c r="C16" s="57" t="s">
        <v>282</v>
      </c>
      <c r="D16" s="58">
        <f>MAX(D12,D13,D14,D15)</f>
        <v>0.57846894903565171</v>
      </c>
      <c r="E16" s="57" t="str">
        <f>"-"</f>
        <v>-</v>
      </c>
      <c r="F16" s="59" t="s">
        <v>283</v>
      </c>
    </row>
    <row r="17" spans="2:6" ht="14.25" customHeight="1">
      <c r="B17" s="1" t="s">
        <v>284</v>
      </c>
      <c r="C17" s="1" t="s">
        <v>285</v>
      </c>
      <c r="D17" s="3">
        <f>((IF(F9,F9,D9))^2)*(4/((PI())^2))*(((('Design Spec'!D95+'Design Spec'!D107*'Design Spec'!D106))^2)/('Preliminary Calculation'!D10))</f>
        <v>20.969972499083834</v>
      </c>
      <c r="E17" s="1" t="s">
        <v>175</v>
      </c>
      <c r="F17" s="1"/>
    </row>
    <row r="18" spans="2:6" ht="14.25" customHeight="1">
      <c r="B18" s="1" t="s">
        <v>286</v>
      </c>
      <c r="C18" s="1" t="s">
        <v>287</v>
      </c>
      <c r="D18" s="3">
        <f>IF(D10&gt;1,(D16/D10)*SQRT((1/D16)+((D10^2)/((D10^2)-1))),NA())</f>
        <v>0.71053164930575996</v>
      </c>
      <c r="E18" s="1" t="str">
        <f>"-"</f>
        <v>-</v>
      </c>
      <c r="F18" s="1"/>
    </row>
    <row r="19" spans="2:6" ht="13.5" customHeight="1">
      <c r="B19" s="1" t="s">
        <v>288</v>
      </c>
      <c r="C19" s="1" t="s">
        <v>289</v>
      </c>
      <c r="D19" s="3">
        <f>(2/PI())*(D16)*(('Design Spec'!D112*(10^-9))/(D17*'Design Spec'!D111*(10^-12)))</f>
        <v>4.8294203502194382</v>
      </c>
      <c r="E19" s="1" t="str">
        <f>"-"</f>
        <v>-</v>
      </c>
      <c r="F19" s="1"/>
    </row>
    <row r="20" spans="2:6" ht="14.25" hidden="1" customHeight="1">
      <c r="B20" s="57" t="s">
        <v>288</v>
      </c>
      <c r="C20" s="57" t="s">
        <v>290</v>
      </c>
      <c r="D20" s="58">
        <f>((SQRT((D16*(1+D16))))/(2*IF(F9,F9,D9)))*((SQRT(2)*'Design Spec'!D83)/((('Design Spec'!D95+'Design Spec'!D107*'Design Spec'!D106))))</f>
        <v>0.62826155945251827</v>
      </c>
      <c r="E20" s="57" t="str">
        <f>"-"</f>
        <v>-</v>
      </c>
      <c r="F20" s="57" t="s">
        <v>291</v>
      </c>
    </row>
    <row r="21" spans="2:6" ht="14.25" customHeight="1">
      <c r="D21" s="60"/>
    </row>
    <row r="22" spans="2:6" ht="18" customHeight="1">
      <c r="B22" s="19" t="s">
        <v>292</v>
      </c>
      <c r="D22" s="60"/>
    </row>
    <row r="23" spans="2:6" ht="3.75" customHeight="1">
      <c r="D23" s="60"/>
    </row>
    <row r="24" spans="2:6" ht="15.75" customHeight="1">
      <c r="B24" s="20" t="s">
        <v>131</v>
      </c>
      <c r="C24" s="20" t="s">
        <v>132</v>
      </c>
      <c r="D24" s="20" t="s">
        <v>133</v>
      </c>
      <c r="E24" s="20" t="s">
        <v>134</v>
      </c>
    </row>
    <row r="25" spans="2:6" ht="14.25" customHeight="1">
      <c r="B25" s="1" t="s">
        <v>293</v>
      </c>
      <c r="C25" s="1" t="s">
        <v>294</v>
      </c>
      <c r="D25" s="61">
        <v>15</v>
      </c>
      <c r="E25" s="1" t="s">
        <v>155</v>
      </c>
    </row>
    <row r="26" spans="2:6" ht="14.25" customHeight="1">
      <c r="B26" s="1" t="s">
        <v>295</v>
      </c>
      <c r="C26" s="1" t="s">
        <v>296</v>
      </c>
      <c r="D26" s="3">
        <f>1/(1+(D25/100))*MIN(D18:D19)</f>
        <v>0.61785360809196521</v>
      </c>
      <c r="E26" s="1" t="str">
        <f>"-"</f>
        <v>-</v>
      </c>
    </row>
    <row r="27" spans="2:6" ht="14.25" customHeight="1">
      <c r="B27" s="1" t="s">
        <v>297</v>
      </c>
      <c r="C27" s="1" t="s">
        <v>298</v>
      </c>
      <c r="D27" s="3">
        <f>D17*D26</f>
        <v>12.956373170148231</v>
      </c>
      <c r="E27" s="1" t="s">
        <v>175</v>
      </c>
    </row>
    <row r="28" spans="2:6" ht="14.25" customHeight="1">
      <c r="B28" s="1" t="s">
        <v>299</v>
      </c>
      <c r="C28" s="1" t="s">
        <v>300</v>
      </c>
      <c r="D28" s="3">
        <f>RTC!$BB$149</f>
        <v>0.7148728938283555</v>
      </c>
      <c r="E28" s="1" t="str">
        <f>"-"</f>
        <v>-</v>
      </c>
    </row>
    <row r="29" spans="2:6" ht="14.25" customHeight="1">
      <c r="B29" s="1" t="s">
        <v>301</v>
      </c>
      <c r="C29" s="1" t="s">
        <v>302</v>
      </c>
      <c r="D29" s="3">
        <f>ATAN(((((D50^2)+(D50)+(((D28^2)-1)*(RTC!$C$41^2)))*(D28^2))-(D50^2))/(RTC!$C$41*(D28)^3))</f>
        <v>0.36110520933910439</v>
      </c>
      <c r="E29" s="1" t="str">
        <f>"-"</f>
        <v>-</v>
      </c>
    </row>
    <row r="30" spans="2:6" ht="14.25" customHeight="1">
      <c r="B30" s="1" t="s">
        <v>303</v>
      </c>
      <c r="C30" s="1" t="s">
        <v>304</v>
      </c>
      <c r="D30" s="49">
        <f>(D29)/(2*PI()*D28*D55)*1000000</f>
        <v>529.78696205275708</v>
      </c>
      <c r="E30" s="1" t="s">
        <v>197</v>
      </c>
    </row>
    <row r="31" spans="2:6" ht="14.25" customHeight="1">
      <c r="B31" s="1" t="s">
        <v>305</v>
      </c>
      <c r="C31" s="1" t="s">
        <v>306</v>
      </c>
      <c r="D31" s="49">
        <f>'Design Spec'!D112</f>
        <v>220</v>
      </c>
      <c r="E31" s="1" t="s">
        <v>197</v>
      </c>
    </row>
    <row r="32" spans="2:6" ht="15" customHeight="1">
      <c r="B32" s="1" t="s">
        <v>307</v>
      </c>
      <c r="C32" s="201" t="str">
        <f>IF(D30&gt;D31,"Yes","No, increase ZVS margin")</f>
        <v>Yes</v>
      </c>
      <c r="D32" s="201"/>
      <c r="E32" s="201"/>
    </row>
    <row r="33" spans="2:6" ht="14.25" customHeight="1">
      <c r="D33" s="60"/>
    </row>
    <row r="34" spans="2:6" ht="15.75" customHeight="1">
      <c r="B34" s="20" t="s">
        <v>131</v>
      </c>
      <c r="C34" s="20" t="s">
        <v>132</v>
      </c>
      <c r="D34" s="20" t="s">
        <v>133</v>
      </c>
      <c r="E34" s="20" t="s">
        <v>134</v>
      </c>
    </row>
    <row r="35" spans="2:6" ht="14.25" customHeight="1">
      <c r="B35" s="1" t="s">
        <v>308</v>
      </c>
      <c r="C35" s="1" t="s">
        <v>309</v>
      </c>
      <c r="D35" s="49">
        <f>(2*PI()*'Design Spec'!D98)/(SQRT(2)*('Preliminary Calculation'!D17/100)*'Design Spec'!D83*COS('Res. Tank Design'!D29))</f>
        <v>18.392317832707732</v>
      </c>
      <c r="E35" s="1" t="s">
        <v>237</v>
      </c>
    </row>
    <row r="36" spans="2:6" ht="14.25" customHeight="1">
      <c r="B36" s="1" t="s">
        <v>310</v>
      </c>
      <c r="C36" s="1" t="s">
        <v>311</v>
      </c>
      <c r="D36" s="49">
        <f>D35*SIN(D29)</f>
        <v>6.4981600147038021</v>
      </c>
      <c r="E36" s="1" t="s">
        <v>237</v>
      </c>
    </row>
    <row r="37" spans="2:6" ht="14.25" customHeight="1">
      <c r="B37" s="1" t="s">
        <v>312</v>
      </c>
      <c r="C37" s="1" t="s">
        <v>313</v>
      </c>
      <c r="D37" s="49">
        <f>'Design Spec'!D111*(10^-12)*(SQRT(2)*'Design Spec'!D83/'Res. Tank Design'!D36)*10^9</f>
        <v>30.162384360572574</v>
      </c>
      <c r="E37" s="1" t="s">
        <v>197</v>
      </c>
    </row>
    <row r="39" spans="2:6" ht="18" customHeight="1">
      <c r="B39" s="19" t="s">
        <v>314</v>
      </c>
    </row>
    <row r="40" spans="2:6" ht="4.5" customHeight="1">
      <c r="B40" s="19"/>
    </row>
    <row r="41" spans="2:6" ht="15.75" customHeight="1">
      <c r="B41" s="20" t="s">
        <v>131</v>
      </c>
      <c r="C41" s="20" t="s">
        <v>132</v>
      </c>
      <c r="D41" s="20" t="s">
        <v>133</v>
      </c>
      <c r="E41" s="20" t="s">
        <v>134</v>
      </c>
      <c r="F41" s="20" t="s">
        <v>266</v>
      </c>
    </row>
    <row r="42" spans="2:6" ht="14.25" customHeight="1">
      <c r="B42" s="1" t="s">
        <v>315</v>
      </c>
      <c r="C42" s="1" t="s">
        <v>268</v>
      </c>
      <c r="D42" s="3">
        <f>IF(F9,F9,D9)</f>
        <v>7.4527000000000001</v>
      </c>
      <c r="E42" s="1" t="str">
        <f>"-"</f>
        <v>-</v>
      </c>
      <c r="F42" s="1"/>
    </row>
    <row r="43" spans="2:6" ht="14.25" customHeight="1">
      <c r="B43" s="1" t="s">
        <v>316</v>
      </c>
      <c r="C43" s="1" t="s">
        <v>317</v>
      </c>
      <c r="D43" s="3">
        <f>1/(2*PI()*'Design Spec'!D102*'Res. Tank Design'!D27)*1000000</f>
        <v>81.892744212602054</v>
      </c>
      <c r="E43" s="1" t="s">
        <v>200</v>
      </c>
      <c r="F43" s="2">
        <v>100</v>
      </c>
    </row>
    <row r="44" spans="2:6" ht="14.25" customHeight="1">
      <c r="B44" s="1" t="s">
        <v>318</v>
      </c>
      <c r="C44" s="1" t="s">
        <v>319</v>
      </c>
      <c r="D44" s="3">
        <f>1/(IF(F43,F43,D43)*(10^-12)*(2*PI()*'Design Spec'!D102*1000)^2)*1000</f>
        <v>11.257909293593086</v>
      </c>
      <c r="E44" s="1" t="s">
        <v>320</v>
      </c>
      <c r="F44" s="2">
        <v>11</v>
      </c>
    </row>
    <row r="45" spans="2:6" ht="14.25" customHeight="1">
      <c r="B45" s="1" t="s">
        <v>321</v>
      </c>
      <c r="C45" s="1" t="s">
        <v>322</v>
      </c>
      <c r="D45" s="3">
        <f>IF(F44,F44,D44)/D16</f>
        <v>19.015713839675875</v>
      </c>
      <c r="E45" s="1" t="s">
        <v>320</v>
      </c>
      <c r="F45" s="2">
        <v>24</v>
      </c>
    </row>
    <row r="46" spans="2:6" ht="14.25" customHeight="1">
      <c r="D46" s="60"/>
    </row>
    <row r="47" spans="2:6" ht="18" customHeight="1">
      <c r="B47" s="19" t="s">
        <v>323</v>
      </c>
      <c r="D47" s="60"/>
    </row>
    <row r="48" spans="2:6" ht="3" customHeight="1">
      <c r="D48" s="60"/>
    </row>
    <row r="49" spans="2:5" ht="15.75" customHeight="1">
      <c r="B49" s="20" t="s">
        <v>131</v>
      </c>
      <c r="C49" s="20" t="s">
        <v>132</v>
      </c>
      <c r="D49" s="20" t="s">
        <v>133</v>
      </c>
      <c r="E49" s="20" t="s">
        <v>134</v>
      </c>
    </row>
    <row r="50" spans="2:5" ht="14.25" customHeight="1">
      <c r="B50" s="1" t="s">
        <v>324</v>
      </c>
      <c r="C50" s="1" t="s">
        <v>282</v>
      </c>
      <c r="D50" s="3">
        <f>IF(F44,F44,D44)/IF(F45,F45,D45)</f>
        <v>0.45833333333333331</v>
      </c>
      <c r="E50" s="1" t="str">
        <f>"-"</f>
        <v>-</v>
      </c>
    </row>
    <row r="51" spans="2:5" ht="14.25" customHeight="1">
      <c r="B51" s="1" t="s">
        <v>325</v>
      </c>
      <c r="C51" s="1" t="s">
        <v>326</v>
      </c>
      <c r="D51" s="3">
        <f>IF(F9,F9,D9)*(1+D50)^0.5</f>
        <v>8.9999902896938355</v>
      </c>
      <c r="E51" s="1" t="str">
        <f>"-"</f>
        <v>-</v>
      </c>
    </row>
    <row r="52" spans="2:5" ht="14.25" customHeight="1">
      <c r="B52" s="1" t="s">
        <v>327</v>
      </c>
      <c r="C52" s="1" t="s">
        <v>328</v>
      </c>
      <c r="D52" s="49">
        <f>(IF(F44,F44,D44)/IF(F43,F43,D43)*1000)^0.5</f>
        <v>10.488088481701515</v>
      </c>
      <c r="E52" s="1" t="s">
        <v>175</v>
      </c>
    </row>
    <row r="53" spans="2:5" ht="14.25" customHeight="1">
      <c r="B53" s="1" t="s">
        <v>329</v>
      </c>
      <c r="C53" s="1" t="s">
        <v>330</v>
      </c>
      <c r="D53" s="49">
        <f>((IF(F44,F44,D44)+IF(F45,F45,D45))*1000/(IF(F43,F43,D43)))^0.5</f>
        <v>18.708286933869708</v>
      </c>
      <c r="E53" s="1" t="s">
        <v>175</v>
      </c>
    </row>
    <row r="54" spans="2:5" ht="14.25" customHeight="1">
      <c r="B54" s="1" t="s">
        <v>331</v>
      </c>
      <c r="C54" s="1" t="s">
        <v>332</v>
      </c>
      <c r="D54" s="3">
        <f>((D50)/(1+D50))^0.5</f>
        <v>0.56061191058138804</v>
      </c>
      <c r="E54" s="1" t="str">
        <f>"-"</f>
        <v>-</v>
      </c>
    </row>
    <row r="55" spans="2:5" ht="14.25" customHeight="1">
      <c r="B55" s="1" t="s">
        <v>333</v>
      </c>
      <c r="C55" s="1" t="s">
        <v>334</v>
      </c>
      <c r="D55" s="49">
        <f>1/(2*PI()*SQRT(IF(F44,F44,D44)*(10^-6)*IF(F43,F43,D43)*(10^-9)))/1000</f>
        <v>151.7482841316334</v>
      </c>
      <c r="E55" s="1" t="s">
        <v>187</v>
      </c>
    </row>
    <row r="56" spans="2:5" ht="14.25" customHeight="1">
      <c r="B56" s="1" t="s">
        <v>335</v>
      </c>
      <c r="C56" s="1" t="s">
        <v>336</v>
      </c>
      <c r="D56" s="49">
        <f>D55*D54</f>
        <v>85.071895494482334</v>
      </c>
      <c r="E56" s="1" t="s">
        <v>187</v>
      </c>
    </row>
    <row r="57" spans="2:5" ht="14.25" customHeight="1">
      <c r="B57" s="1" t="s">
        <v>337</v>
      </c>
      <c r="C57" s="1" t="s">
        <v>338</v>
      </c>
      <c r="D57" s="49">
        <f>SQRT((IF(F45,F45,D45)*(IF(F45,F45,D45)+IF(F44,F44,D44))))</f>
        <v>28.982753492378876</v>
      </c>
      <c r="E57" s="1" t="s">
        <v>320</v>
      </c>
    </row>
    <row r="58" spans="2:5" ht="14.25" customHeight="1">
      <c r="B58" s="1" t="s">
        <v>339</v>
      </c>
      <c r="C58" s="1" t="s">
        <v>340</v>
      </c>
      <c r="D58" s="49">
        <f>IF(F45,F45,D45)+IF(F44,F44,D44)-D57</f>
        <v>6.0172465076211239</v>
      </c>
      <c r="E58" s="1" t="s">
        <v>320</v>
      </c>
    </row>
    <row r="59" spans="2:5" ht="14.25" customHeight="1">
      <c r="B59" s="1" t="s">
        <v>341</v>
      </c>
      <c r="C59" s="1" t="s">
        <v>342</v>
      </c>
      <c r="D59" s="3">
        <f>D58/D51^2</f>
        <v>7.4287154221386764E-2</v>
      </c>
      <c r="E59" s="1" t="s">
        <v>320</v>
      </c>
    </row>
    <row r="60" spans="2:5" ht="14.25" customHeight="1">
      <c r="B60" s="1" t="s">
        <v>343</v>
      </c>
      <c r="C60" s="1" t="s">
        <v>344</v>
      </c>
      <c r="D60" s="3">
        <f>(SQRT(2*(('Design Spec'!D111*(10^-12))/((IF(F44,F44,D44)+IF(F45,F45,D45))*(10^-6)))))*(SQRT(2)*'Design Spec'!D83)</f>
        <v>1.6565023392678926</v>
      </c>
      <c r="E60" s="1" t="s">
        <v>237</v>
      </c>
    </row>
    <row r="62" spans="2:5" ht="18" customHeight="1">
      <c r="B62" s="19" t="s">
        <v>345</v>
      </c>
      <c r="D62" s="60"/>
    </row>
    <row r="63" spans="2:5" ht="3" customHeight="1">
      <c r="D63" s="60"/>
    </row>
    <row r="64" spans="2:5" ht="15.75" customHeight="1">
      <c r="B64" s="20" t="s">
        <v>131</v>
      </c>
      <c r="C64" s="20" t="s">
        <v>132</v>
      </c>
      <c r="D64" s="20" t="s">
        <v>133</v>
      </c>
      <c r="E64" s="20" t="s">
        <v>134</v>
      </c>
    </row>
    <row r="65" spans="2:5" ht="15" customHeight="1">
      <c r="B65" s="1" t="s">
        <v>346</v>
      </c>
      <c r="C65" s="1" t="s">
        <v>996</v>
      </c>
      <c r="D65" s="49">
        <f>CC!J29</f>
        <v>11.045049261133238</v>
      </c>
      <c r="E65" s="62" t="s">
        <v>237</v>
      </c>
    </row>
    <row r="66" spans="2:5" ht="14.25" customHeight="1">
      <c r="B66" s="1" t="s">
        <v>347</v>
      </c>
      <c r="C66" s="1" t="s">
        <v>348</v>
      </c>
      <c r="D66" s="49">
        <f>CC!E27</f>
        <v>15.508262790607581</v>
      </c>
      <c r="E66" s="1" t="s">
        <v>237</v>
      </c>
    </row>
    <row r="67" spans="2:5" ht="15" customHeight="1">
      <c r="B67" s="1" t="s">
        <v>349</v>
      </c>
      <c r="C67" s="1" t="s">
        <v>997</v>
      </c>
      <c r="D67" s="49">
        <f>CC!J25</f>
        <v>30.312064430593054</v>
      </c>
      <c r="E67" s="62" t="s">
        <v>237</v>
      </c>
    </row>
    <row r="68" spans="2:5" ht="14.25" customHeight="1">
      <c r="B68" s="1" t="s">
        <v>350</v>
      </c>
      <c r="C68" s="1" t="s">
        <v>351</v>
      </c>
      <c r="D68" s="49">
        <f>CC!E24</f>
        <v>115.57843009956112</v>
      </c>
      <c r="E68" s="1" t="s">
        <v>237</v>
      </c>
    </row>
  </sheetData>
  <mergeCells count="1">
    <mergeCell ref="C32:E32"/>
  </mergeCells>
  <phoneticPr fontId="35" type="noConversion"/>
  <conditionalFormatting sqref="C32">
    <cfRule type="cellIs" dxfId="13" priority="3" operator="equal">
      <formula>"Yes"</formula>
    </cfRule>
  </conditionalFormatting>
  <conditionalFormatting sqref="C32:E32">
    <cfRule type="cellIs" dxfId="12" priority="2" operator="equal">
      <formula>"No, increase ZVS margin"</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B4:N119"/>
  <sheetViews>
    <sheetView zoomScaleNormal="100" workbookViewId="0">
      <selection activeCell="G26" sqref="G26"/>
    </sheetView>
  </sheetViews>
  <sheetFormatPr defaultColWidth="8.75" defaultRowHeight="14.25"/>
  <cols>
    <col min="1" max="1" width="8.75" style="22"/>
    <col min="2" max="2" width="57.625" style="22" customWidth="1"/>
    <col min="3" max="3" width="24.875" style="22" customWidth="1"/>
    <col min="4" max="4" width="11.875" style="22" customWidth="1"/>
    <col min="5" max="5" width="9.375" style="22" customWidth="1"/>
    <col min="6" max="6" width="17.625" style="22" customWidth="1"/>
    <col min="7" max="7" width="42.25" style="22" customWidth="1"/>
    <col min="8" max="16384" width="8.75" style="22"/>
  </cols>
  <sheetData>
    <row r="4" spans="2:6" ht="18" customHeight="1">
      <c r="B4" s="19" t="s">
        <v>352</v>
      </c>
    </row>
    <row r="5" spans="2:6" ht="6" customHeight="1">
      <c r="B5" s="23"/>
    </row>
    <row r="6" spans="2:6" ht="15.75" customHeight="1">
      <c r="B6" s="20" t="s">
        <v>131</v>
      </c>
      <c r="C6" s="20" t="s">
        <v>132</v>
      </c>
      <c r="D6" s="20" t="s">
        <v>133</v>
      </c>
      <c r="E6" s="20" t="s">
        <v>134</v>
      </c>
      <c r="F6" s="20" t="s">
        <v>266</v>
      </c>
    </row>
    <row r="7" spans="2:6" ht="14.25" customHeight="1">
      <c r="B7" s="1" t="s">
        <v>353</v>
      </c>
      <c r="C7" s="1" t="s">
        <v>354</v>
      </c>
      <c r="D7" s="49">
        <f>3*'Preliminary Calculation'!D20</f>
        <v>2054.32117346312</v>
      </c>
      <c r="E7" s="1" t="s">
        <v>200</v>
      </c>
      <c r="F7" s="2">
        <v>2200</v>
      </c>
    </row>
    <row r="9" spans="2:6" ht="18" customHeight="1">
      <c r="B9" s="19" t="s">
        <v>355</v>
      </c>
    </row>
    <row r="10" spans="2:6" ht="2.25" customHeight="1"/>
    <row r="11" spans="2:6" ht="15.75" hidden="1" customHeight="1">
      <c r="B11" s="20" t="s">
        <v>356</v>
      </c>
      <c r="C11" s="20" t="s">
        <v>132</v>
      </c>
      <c r="D11" s="20" t="s">
        <v>133</v>
      </c>
      <c r="E11" s="20" t="s">
        <v>134</v>
      </c>
    </row>
    <row r="12" spans="2:6" ht="14.25" hidden="1" customHeight="1">
      <c r="B12" s="1" t="s">
        <v>357</v>
      </c>
      <c r="C12" s="1" t="s">
        <v>160</v>
      </c>
      <c r="D12" s="1">
        <f>'Design Spec'!D27</f>
        <v>657.5</v>
      </c>
      <c r="E12" s="1" t="s">
        <v>161</v>
      </c>
    </row>
    <row r="13" spans="2:6" ht="14.25" hidden="1" customHeight="1">
      <c r="B13" s="1" t="s">
        <v>235</v>
      </c>
      <c r="C13" s="1" t="s">
        <v>236</v>
      </c>
      <c r="D13" s="49">
        <f>'Preliminary Calculation'!D7</f>
        <v>26.3</v>
      </c>
      <c r="E13" s="1" t="s">
        <v>237</v>
      </c>
    </row>
    <row r="14" spans="2:6" ht="14.25" hidden="1" customHeight="1">
      <c r="B14" s="1" t="s">
        <v>358</v>
      </c>
      <c r="C14" s="1" t="s">
        <v>359</v>
      </c>
      <c r="D14" s="1">
        <f>'Design Spec'!D23</f>
        <v>25</v>
      </c>
      <c r="E14" s="1" t="s">
        <v>150</v>
      </c>
    </row>
    <row r="15" spans="2:6" ht="14.25" hidden="1" customHeight="1">
      <c r="B15" s="1" t="s">
        <v>360</v>
      </c>
      <c r="C15" s="1" t="s">
        <v>152</v>
      </c>
      <c r="D15" s="1">
        <f>'Design Spec'!D24</f>
        <v>19</v>
      </c>
      <c r="E15" s="1" t="s">
        <v>150</v>
      </c>
    </row>
    <row r="16" spans="2:6" ht="14.25" hidden="1" customHeight="1">
      <c r="B16" s="1" t="s">
        <v>230</v>
      </c>
      <c r="C16" s="1" t="s">
        <v>361</v>
      </c>
      <c r="D16" s="1">
        <f>'Design Spec'!D25</f>
        <v>5</v>
      </c>
      <c r="E16" s="1" t="s">
        <v>155</v>
      </c>
    </row>
    <row r="17" spans="2:5" ht="14.25" hidden="1" customHeight="1">
      <c r="B17" s="1" t="s">
        <v>156</v>
      </c>
      <c r="C17" s="1" t="s">
        <v>157</v>
      </c>
      <c r="D17" s="1">
        <f>'Design Spec'!D26</f>
        <v>12</v>
      </c>
      <c r="E17" s="1" t="s">
        <v>158</v>
      </c>
    </row>
    <row r="18" spans="2:5" ht="14.25" hidden="1" customHeight="1">
      <c r="B18" s="1" t="s">
        <v>362</v>
      </c>
      <c r="C18" s="1" t="s">
        <v>141</v>
      </c>
      <c r="D18" s="1">
        <f>'Design Spec'!D17</f>
        <v>47</v>
      </c>
      <c r="E18" s="1" t="s">
        <v>142</v>
      </c>
    </row>
    <row r="19" spans="2:5" ht="14.25" hidden="1" customHeight="1">
      <c r="B19" s="25"/>
      <c r="C19" s="25"/>
      <c r="D19" s="25"/>
      <c r="E19" s="25"/>
    </row>
    <row r="20" spans="2:5" ht="15.75" customHeight="1">
      <c r="B20" s="20" t="s">
        <v>356</v>
      </c>
      <c r="C20" s="20" t="s">
        <v>132</v>
      </c>
      <c r="D20" s="20" t="s">
        <v>133</v>
      </c>
      <c r="E20" s="20" t="s">
        <v>134</v>
      </c>
    </row>
    <row r="21" spans="2:5" ht="14.25" customHeight="1">
      <c r="B21" s="1" t="s">
        <v>363</v>
      </c>
      <c r="C21" s="1" t="s">
        <v>364</v>
      </c>
      <c r="D21" s="49">
        <f>D13/(2*PI()*D18*D14*(D16/100))*10^6</f>
        <v>71247.234099010166</v>
      </c>
      <c r="E21" s="1" t="s">
        <v>172</v>
      </c>
    </row>
    <row r="22" spans="2:5" ht="14.25" customHeight="1">
      <c r="B22" s="1" t="s">
        <v>365</v>
      </c>
      <c r="C22" s="1" t="s">
        <v>366</v>
      </c>
      <c r="D22" s="49">
        <f>(2*D12*D17*(10^-3))/(((D14-D31/2)^2)-(D15^2))*10^6</f>
        <v>67222.381732846145</v>
      </c>
      <c r="E22" s="1" t="s">
        <v>172</v>
      </c>
    </row>
    <row r="23" spans="2:5" ht="14.25" customHeight="1">
      <c r="B23" s="1" t="s">
        <v>367</v>
      </c>
      <c r="C23" s="1" t="s">
        <v>368</v>
      </c>
      <c r="D23" s="2">
        <v>160</v>
      </c>
      <c r="E23" s="1" t="s">
        <v>181</v>
      </c>
    </row>
    <row r="24" spans="2:5" ht="14.25" customHeight="1">
      <c r="B24" s="1" t="s">
        <v>369</v>
      </c>
      <c r="C24" s="1" t="s">
        <v>370</v>
      </c>
      <c r="D24" s="2">
        <v>470</v>
      </c>
      <c r="E24" s="1" t="s">
        <v>172</v>
      </c>
    </row>
    <row r="25" spans="2:5" ht="14.25" customHeight="1">
      <c r="B25" s="1" t="s">
        <v>371</v>
      </c>
      <c r="C25" s="1" t="s">
        <v>174</v>
      </c>
      <c r="D25" s="2">
        <v>30</v>
      </c>
      <c r="E25" s="1" t="s">
        <v>372</v>
      </c>
    </row>
    <row r="26" spans="2:5" ht="14.25" customHeight="1">
      <c r="B26" s="1" t="s">
        <v>373</v>
      </c>
      <c r="C26" s="1" t="s">
        <v>374</v>
      </c>
      <c r="D26" s="49">
        <f>D24*D23</f>
        <v>75200</v>
      </c>
      <c r="E26" s="1" t="s">
        <v>172</v>
      </c>
    </row>
    <row r="27" spans="2:5" ht="14.25" customHeight="1">
      <c r="B27" s="1" t="s">
        <v>375</v>
      </c>
      <c r="C27" s="1" t="s">
        <v>376</v>
      </c>
      <c r="D27" s="49">
        <f>D25/D23</f>
        <v>0.1875</v>
      </c>
      <c r="E27" s="1" t="s">
        <v>372</v>
      </c>
    </row>
    <row r="28" spans="2:5" ht="14.25" customHeight="1">
      <c r="B28" s="1" t="s">
        <v>377</v>
      </c>
      <c r="C28" s="1" t="s">
        <v>378</v>
      </c>
      <c r="D28" s="49">
        <f>CC!J31</f>
        <v>33.851920183186792</v>
      </c>
      <c r="E28" s="1" t="s">
        <v>237</v>
      </c>
    </row>
    <row r="29" spans="2:5" ht="14.25" customHeight="1">
      <c r="D29" s="63"/>
    </row>
    <row r="30" spans="2:5" ht="15.75" customHeight="1">
      <c r="B30" s="20" t="s">
        <v>356</v>
      </c>
      <c r="C30" s="20" t="s">
        <v>132</v>
      </c>
      <c r="D30" s="20" t="s">
        <v>133</v>
      </c>
      <c r="E30" s="20" t="s">
        <v>134</v>
      </c>
    </row>
    <row r="31" spans="2:5" ht="14.25" customHeight="1">
      <c r="B31" s="1" t="s">
        <v>379</v>
      </c>
      <c r="C31" s="1" t="s">
        <v>380</v>
      </c>
      <c r="D31" s="49">
        <f>D13/(2*PI()*D18*D26*(10^-6))</f>
        <v>1.1842957795713127</v>
      </c>
      <c r="E31" s="1" t="s">
        <v>150</v>
      </c>
    </row>
    <row r="32" spans="2:5" ht="14.25" customHeight="1">
      <c r="B32" s="1" t="s">
        <v>381</v>
      </c>
      <c r="C32" s="1" t="s">
        <v>382</v>
      </c>
      <c r="D32" s="49">
        <f>D31/D14*100</f>
        <v>4.7371831182852508</v>
      </c>
      <c r="E32" s="1" t="s">
        <v>155</v>
      </c>
    </row>
    <row r="33" spans="2:7" ht="14.25" customHeight="1">
      <c r="B33" s="1" t="s">
        <v>383</v>
      </c>
      <c r="C33" s="1" t="s">
        <v>157</v>
      </c>
      <c r="D33" s="49">
        <f>D26/(2*D12)*(((D14-D31/2)^2)-(D15^2))/1000</f>
        <v>13.424100377554312</v>
      </c>
      <c r="E33" s="1" t="s">
        <v>158</v>
      </c>
    </row>
    <row r="34" spans="2:7" ht="14.25" customHeight="1">
      <c r="B34" s="1" t="s">
        <v>384</v>
      </c>
      <c r="C34" s="1" t="s">
        <v>385</v>
      </c>
      <c r="D34" s="49">
        <f>D27*CC!$E$24</f>
        <v>21.67095564366771</v>
      </c>
      <c r="E34" s="1" t="s">
        <v>386</v>
      </c>
      <c r="F34" s="64"/>
    </row>
    <row r="35" spans="2:7" ht="14.25" customHeight="1">
      <c r="B35" s="1" t="s">
        <v>387</v>
      </c>
      <c r="C35" s="1" t="s">
        <v>388</v>
      </c>
      <c r="D35" s="2">
        <v>30</v>
      </c>
      <c r="E35" s="1" t="s">
        <v>386</v>
      </c>
    </row>
    <row r="36" spans="2:7" ht="14.25" customHeight="1">
      <c r="B36" s="1" t="s">
        <v>389</v>
      </c>
      <c r="C36" s="1" t="s">
        <v>390</v>
      </c>
      <c r="D36" s="2">
        <v>2.5</v>
      </c>
      <c r="E36" s="1" t="s">
        <v>155</v>
      </c>
    </row>
    <row r="37" spans="2:7" ht="14.25" customHeight="1">
      <c r="B37" s="1" t="s">
        <v>391</v>
      </c>
      <c r="C37" s="1" t="s">
        <v>392</v>
      </c>
      <c r="D37" s="49">
        <f>IF((1-D35/D34)*(D36/100)*(10^6)/(D27*2*PI()*CC!$E$21*D35/D34)&gt;0,(1-D35/D34)*(D36/100)*(10^6)/(D27*2*PI()*CC!$E$21*D35/D34),0)</f>
        <v>0</v>
      </c>
      <c r="E37" s="1" t="s">
        <v>172</v>
      </c>
    </row>
    <row r="38" spans="2:7" ht="14.25" customHeight="1">
      <c r="B38" s="1" t="s">
        <v>393</v>
      </c>
      <c r="C38" s="1" t="s">
        <v>394</v>
      </c>
      <c r="D38" s="2">
        <v>10</v>
      </c>
      <c r="E38" s="1" t="s">
        <v>172</v>
      </c>
    </row>
    <row r="39" spans="2:7" ht="14.25" customHeight="1">
      <c r="B39" s="1" t="s">
        <v>395</v>
      </c>
      <c r="C39" s="1" t="s">
        <v>396</v>
      </c>
      <c r="D39" s="49">
        <f>D34/(D27*10^(-6)*2*PI()*CC!$E$21*D38/(D36/100)+1)</f>
        <v>20.6170071848498</v>
      </c>
      <c r="E39" s="1" t="s">
        <v>386</v>
      </c>
    </row>
    <row r="40" spans="2:7" ht="14.25" customHeight="1">
      <c r="B40" s="1" t="s">
        <v>397</v>
      </c>
      <c r="C40" s="1" t="s">
        <v>398</v>
      </c>
      <c r="D40" s="49">
        <f>D28*D28*(((2*PI()*CC!E21*1000*D38*10^-6)/(D36/100))+(D27/1000)^-1)^-1</f>
        <v>0.20441626441435903</v>
      </c>
      <c r="E40" s="1" t="s">
        <v>161</v>
      </c>
    </row>
    <row r="41" spans="2:7" ht="14.25" customHeight="1">
      <c r="B41" s="25"/>
      <c r="C41" s="25"/>
      <c r="D41" s="25"/>
      <c r="E41" s="25"/>
    </row>
    <row r="42" spans="2:7" ht="18" customHeight="1">
      <c r="B42" s="19" t="s">
        <v>399</v>
      </c>
    </row>
    <row r="44" spans="2:7" ht="15.75" customHeight="1">
      <c r="B44" s="20" t="s">
        <v>356</v>
      </c>
      <c r="C44" s="20" t="s">
        <v>132</v>
      </c>
      <c r="D44" s="20" t="s">
        <v>133</v>
      </c>
      <c r="E44" s="20" t="s">
        <v>134</v>
      </c>
    </row>
    <row r="45" spans="2:7" ht="15" customHeight="1">
      <c r="B45" s="1" t="s">
        <v>400</v>
      </c>
      <c r="C45" s="1" t="s">
        <v>401</v>
      </c>
      <c r="D45" s="49">
        <f>'Preliminary Calculation'!D11</f>
        <v>7.454648526077098</v>
      </c>
      <c r="E45" s="1" t="s">
        <v>237</v>
      </c>
      <c r="F45" s="65"/>
    </row>
    <row r="46" spans="2:7" ht="15.75" customHeight="1">
      <c r="B46" s="20" t="s">
        <v>356</v>
      </c>
      <c r="C46" s="20" t="s">
        <v>132</v>
      </c>
      <c r="D46" s="20" t="s">
        <v>133</v>
      </c>
      <c r="E46" s="20" t="s">
        <v>134</v>
      </c>
      <c r="F46" s="65"/>
    </row>
    <row r="47" spans="2:7" ht="15" customHeight="1">
      <c r="B47" s="1" t="s">
        <v>402</v>
      </c>
      <c r="C47" s="1" t="s">
        <v>403</v>
      </c>
      <c r="D47" s="1">
        <f>'Design Spec'!D52</f>
        <v>0.08</v>
      </c>
      <c r="E47" s="1" t="s">
        <v>150</v>
      </c>
      <c r="F47" s="66"/>
    </row>
    <row r="48" spans="2:7" ht="15.75" customHeight="1">
      <c r="B48" s="1" t="s">
        <v>205</v>
      </c>
      <c r="C48" s="1" t="s">
        <v>206</v>
      </c>
      <c r="D48" s="1">
        <f>'Design Spec'!D53</f>
        <v>0.04</v>
      </c>
      <c r="E48" s="1" t="s">
        <v>175</v>
      </c>
      <c r="F48" s="66"/>
      <c r="G48" s="67" t="s">
        <v>404</v>
      </c>
    </row>
    <row r="49" spans="2:7" ht="15.75" customHeight="1">
      <c r="F49" s="66"/>
      <c r="G49" s="68" t="str">
        <f>C50</f>
        <v>GBJ1506U</v>
      </c>
    </row>
    <row r="50" spans="2:7" ht="15.75" customHeight="1">
      <c r="B50" s="69" t="s">
        <v>405</v>
      </c>
      <c r="C50" s="202" t="s">
        <v>406</v>
      </c>
      <c r="D50" s="202"/>
      <c r="E50" s="202"/>
      <c r="F50" s="66"/>
      <c r="G50" s="70"/>
    </row>
    <row r="51" spans="2:7" ht="15.75" customHeight="1">
      <c r="B51" s="71"/>
      <c r="C51" s="71"/>
      <c r="D51" s="72"/>
      <c r="E51" s="73"/>
      <c r="F51" s="66"/>
      <c r="G51" s="70"/>
    </row>
    <row r="52" spans="2:7" ht="15.75" customHeight="1">
      <c r="B52" s="20" t="s">
        <v>356</v>
      </c>
      <c r="C52" s="20" t="s">
        <v>132</v>
      </c>
      <c r="D52" s="20" t="s">
        <v>133</v>
      </c>
      <c r="E52" s="20" t="s">
        <v>134</v>
      </c>
      <c r="F52" s="66"/>
      <c r="G52" s="70"/>
    </row>
    <row r="53" spans="2:7" ht="15" customHeight="1">
      <c r="B53" s="1" t="s">
        <v>407</v>
      </c>
      <c r="C53" s="1" t="s">
        <v>408</v>
      </c>
      <c r="D53" s="49">
        <f>D45/SQRT(2)</f>
        <v>5.2712325241514169</v>
      </c>
      <c r="E53" s="1" t="s">
        <v>237</v>
      </c>
      <c r="F53" s="66"/>
      <c r="G53" s="70"/>
    </row>
    <row r="54" spans="2:7" ht="15" customHeight="1">
      <c r="B54" s="1" t="s">
        <v>409</v>
      </c>
      <c r="C54" s="1" t="s">
        <v>410</v>
      </c>
      <c r="D54" s="49">
        <f>0.5*(D45*SQRT(2))*2/PI()</f>
        <v>3.3557708496218668</v>
      </c>
      <c r="E54" s="1" t="s">
        <v>237</v>
      </c>
      <c r="F54" s="66"/>
      <c r="G54" s="70"/>
    </row>
    <row r="55" spans="2:7" ht="15" customHeight="1">
      <c r="B55" s="1" t="s">
        <v>411</v>
      </c>
      <c r="C55" s="1" t="s">
        <v>412</v>
      </c>
      <c r="D55" s="49">
        <f>2*(2*D54*D47)+2*(2*D48*(D53^2))</f>
        <v>5.5195894436664723</v>
      </c>
      <c r="E55" s="1" t="s">
        <v>161</v>
      </c>
      <c r="F55" s="66"/>
      <c r="G55" s="70"/>
    </row>
    <row r="56" spans="2:7" ht="15" customHeight="1">
      <c r="B56" s="66"/>
      <c r="C56" s="66"/>
      <c r="D56" s="66"/>
      <c r="E56" s="66"/>
      <c r="F56" s="66"/>
      <c r="G56" s="70"/>
    </row>
    <row r="57" spans="2:7" ht="18" customHeight="1">
      <c r="B57" s="19" t="s">
        <v>413</v>
      </c>
      <c r="D57" s="64"/>
      <c r="G57" s="74"/>
    </row>
    <row r="58" spans="2:7" ht="18" customHeight="1">
      <c r="B58" s="1" t="s">
        <v>1217</v>
      </c>
      <c r="C58" s="1" t="s">
        <v>1085</v>
      </c>
      <c r="D58" s="2">
        <v>1.8</v>
      </c>
      <c r="E58" s="26" t="s">
        <v>181</v>
      </c>
      <c r="G58" s="66"/>
    </row>
    <row r="59" spans="2:7" ht="15.75" customHeight="1">
      <c r="B59" s="20" t="s">
        <v>356</v>
      </c>
      <c r="C59" s="20" t="s">
        <v>132</v>
      </c>
      <c r="D59" s="20" t="s">
        <v>133</v>
      </c>
      <c r="E59" s="20" t="s">
        <v>134</v>
      </c>
      <c r="F59" s="66"/>
    </row>
    <row r="60" spans="2:7" ht="15" customHeight="1">
      <c r="B60" s="1" t="s">
        <v>1071</v>
      </c>
      <c r="C60" s="1" t="s">
        <v>1185</v>
      </c>
      <c r="D60" s="49">
        <f>CC!J29</f>
        <v>11.045049261133238</v>
      </c>
      <c r="E60" s="62" t="s">
        <v>237</v>
      </c>
      <c r="F60" s="65"/>
    </row>
    <row r="61" spans="2:7" ht="15" customHeight="1">
      <c r="B61" s="1" t="s">
        <v>1072</v>
      </c>
      <c r="C61" s="1" t="s">
        <v>1186</v>
      </c>
      <c r="D61" s="49">
        <f>CC!J30</f>
        <v>7.8100292310867783</v>
      </c>
      <c r="E61" s="62" t="s">
        <v>237</v>
      </c>
      <c r="F61" s="65"/>
    </row>
    <row r="62" spans="2:7" ht="18" customHeight="1">
      <c r="B62" s="1" t="s">
        <v>1073</v>
      </c>
      <c r="C62" s="1" t="s">
        <v>1074</v>
      </c>
      <c r="D62" s="49">
        <f>IF(ISNUMBER(F61),F61,D61)/D68</f>
        <v>7.8100292310867783</v>
      </c>
      <c r="E62" s="62" t="s">
        <v>237</v>
      </c>
      <c r="F62" s="66"/>
    </row>
    <row r="63" spans="2:7" ht="17.25" customHeight="1">
      <c r="B63" s="20" t="s">
        <v>356</v>
      </c>
      <c r="C63" s="20" t="s">
        <v>132</v>
      </c>
      <c r="D63" s="20" t="s">
        <v>133</v>
      </c>
      <c r="E63" s="20" t="s">
        <v>134</v>
      </c>
      <c r="F63" s="66"/>
    </row>
    <row r="64" spans="2:7" ht="15" customHeight="1">
      <c r="B64" s="1" t="s">
        <v>414</v>
      </c>
      <c r="C64" s="1" t="s">
        <v>415</v>
      </c>
      <c r="D64" s="75">
        <f>(1.3*'Design Spec'!D14*1.414)</f>
        <v>485.28479999999996</v>
      </c>
      <c r="E64" s="1" t="s">
        <v>150</v>
      </c>
      <c r="F64" s="66"/>
    </row>
    <row r="65" spans="2:14" ht="15" customHeight="1">
      <c r="B65" s="1" t="s">
        <v>1075</v>
      </c>
      <c r="C65" s="1" t="s">
        <v>1076</v>
      </c>
      <c r="D65" s="49">
        <f>1.3*'Device Setting'!D32</f>
        <v>23.009223544696688</v>
      </c>
      <c r="E65" s="1" t="s">
        <v>237</v>
      </c>
      <c r="F65" s="66"/>
    </row>
    <row r="66" spans="2:14" ht="15" customHeight="1">
      <c r="B66" s="1" t="s">
        <v>1077</v>
      </c>
      <c r="C66" s="1" t="s">
        <v>1078</v>
      </c>
      <c r="D66" s="49">
        <f>'Device Setting'!D32/D68</f>
        <v>17.699402726689758</v>
      </c>
      <c r="E66" s="1" t="s">
        <v>237</v>
      </c>
      <c r="F66" s="66"/>
    </row>
    <row r="67" spans="2:14" ht="15.75" customHeight="1">
      <c r="B67" s="20" t="s">
        <v>417</v>
      </c>
      <c r="C67" s="202" t="s">
        <v>1201</v>
      </c>
      <c r="D67" s="202"/>
      <c r="E67" s="202"/>
      <c r="F67" s="66"/>
      <c r="G67" s="76"/>
      <c r="H67" s="76"/>
      <c r="I67" s="76"/>
      <c r="J67" s="76"/>
      <c r="K67" s="76"/>
      <c r="L67" s="76"/>
      <c r="M67" s="76"/>
      <c r="N67" s="76"/>
    </row>
    <row r="68" spans="2:14" ht="15" customHeight="1">
      <c r="B68" s="1" t="s">
        <v>1079</v>
      </c>
      <c r="C68" s="1" t="s">
        <v>1216</v>
      </c>
      <c r="D68" s="2">
        <v>1</v>
      </c>
      <c r="E68" s="26" t="s">
        <v>181</v>
      </c>
      <c r="F68" s="66"/>
      <c r="G68" s="76"/>
      <c r="H68" s="76"/>
      <c r="I68" s="76"/>
      <c r="J68" s="76"/>
      <c r="K68" s="76"/>
      <c r="L68" s="76"/>
      <c r="M68" s="76"/>
      <c r="N68" s="76"/>
    </row>
    <row r="69" spans="2:14" ht="15.75" customHeight="1">
      <c r="B69" s="20" t="s">
        <v>356</v>
      </c>
      <c r="C69" s="20" t="s">
        <v>132</v>
      </c>
      <c r="D69" s="20" t="s">
        <v>133</v>
      </c>
      <c r="E69" s="20" t="s">
        <v>134</v>
      </c>
      <c r="F69" s="66"/>
      <c r="G69" s="76"/>
      <c r="H69" s="76"/>
      <c r="I69" s="76"/>
      <c r="J69" s="76"/>
      <c r="K69" s="76"/>
      <c r="L69" s="76"/>
      <c r="M69" s="76"/>
      <c r="N69" s="76"/>
    </row>
    <row r="70" spans="2:14" ht="15" customHeight="1">
      <c r="B70" s="1" t="s">
        <v>1218</v>
      </c>
      <c r="C70" s="1" t="s">
        <v>418</v>
      </c>
      <c r="D70" s="2">
        <v>4.4999999999999998E-2</v>
      </c>
      <c r="E70" s="26" t="s">
        <v>175</v>
      </c>
      <c r="G70" s="76"/>
      <c r="H70" s="76"/>
      <c r="I70" s="76"/>
      <c r="J70" s="76"/>
      <c r="K70" s="76"/>
      <c r="L70" s="76"/>
      <c r="M70" s="76"/>
      <c r="N70" s="76"/>
    </row>
    <row r="71" spans="2:14" ht="14.25" customHeight="1">
      <c r="B71" s="1" t="s">
        <v>419</v>
      </c>
      <c r="C71" s="1" t="s">
        <v>420</v>
      </c>
      <c r="D71" s="2">
        <v>897</v>
      </c>
      <c r="E71" s="1" t="s">
        <v>194</v>
      </c>
      <c r="G71" s="76"/>
      <c r="H71" s="76"/>
      <c r="I71" s="76"/>
      <c r="J71" s="76"/>
      <c r="K71" s="76"/>
      <c r="L71" s="76"/>
      <c r="M71" s="76"/>
      <c r="N71" s="76"/>
    </row>
    <row r="72" spans="2:14" ht="14.25" customHeight="1">
      <c r="B72" s="1" t="s">
        <v>421</v>
      </c>
      <c r="C72" s="1" t="s">
        <v>422</v>
      </c>
      <c r="D72" s="2">
        <v>10</v>
      </c>
      <c r="E72" s="1" t="s">
        <v>194</v>
      </c>
      <c r="G72" s="76"/>
      <c r="H72" s="76"/>
      <c r="I72" s="76"/>
      <c r="J72" s="76"/>
      <c r="K72" s="76"/>
      <c r="L72" s="76"/>
      <c r="M72" s="76"/>
      <c r="N72" s="76"/>
    </row>
    <row r="73" spans="2:14" ht="15" customHeight="1">
      <c r="B73" s="1" t="s">
        <v>423</v>
      </c>
      <c r="C73" s="1" t="s">
        <v>424</v>
      </c>
      <c r="D73" s="2">
        <v>25</v>
      </c>
      <c r="E73" s="26" t="s">
        <v>425</v>
      </c>
      <c r="F73" s="76"/>
      <c r="G73" s="76"/>
      <c r="H73" s="76"/>
      <c r="I73" s="76"/>
      <c r="J73" s="76"/>
      <c r="K73" s="76"/>
      <c r="L73" s="76"/>
      <c r="M73" s="76"/>
      <c r="N73" s="76"/>
    </row>
    <row r="74" spans="2:14" ht="14.25" customHeight="1">
      <c r="B74" s="1" t="s">
        <v>1080</v>
      </c>
      <c r="C74" s="1" t="s">
        <v>1081</v>
      </c>
      <c r="D74" s="93">
        <f>SQRT(2)*'Design Spec'!D14</f>
        <v>373.3523804664971</v>
      </c>
      <c r="E74" s="26" t="s">
        <v>150</v>
      </c>
      <c r="F74" s="76"/>
      <c r="G74" s="76"/>
      <c r="H74" s="76"/>
      <c r="I74" s="76"/>
      <c r="J74" s="76"/>
      <c r="K74" s="76"/>
      <c r="L74" s="76"/>
      <c r="M74" s="76"/>
      <c r="N74" s="76"/>
    </row>
    <row r="75" spans="2:14" ht="14.25" customHeight="1">
      <c r="B75" s="1" t="s">
        <v>1082</v>
      </c>
      <c r="C75" s="1" t="s">
        <v>1083</v>
      </c>
      <c r="D75" s="93">
        <f>CC!C28</f>
        <v>12.789649008374431</v>
      </c>
      <c r="E75" s="26" t="s">
        <v>237</v>
      </c>
      <c r="F75" s="76"/>
      <c r="G75" s="76"/>
      <c r="H75" s="76"/>
      <c r="I75" s="76"/>
      <c r="J75" s="76"/>
      <c r="K75" s="76"/>
      <c r="L75" s="76"/>
      <c r="M75" s="76"/>
      <c r="N75" s="76"/>
    </row>
    <row r="76" spans="2:14" ht="15.75" customHeight="1">
      <c r="B76" s="20" t="s">
        <v>356</v>
      </c>
      <c r="C76" s="20" t="s">
        <v>132</v>
      </c>
      <c r="D76" s="20" t="s">
        <v>133</v>
      </c>
      <c r="E76" s="20" t="s">
        <v>134</v>
      </c>
      <c r="F76" s="76"/>
      <c r="G76" s="76"/>
      <c r="H76" s="76"/>
      <c r="I76" s="76"/>
      <c r="J76" s="76"/>
      <c r="K76" s="76"/>
      <c r="L76" s="76"/>
      <c r="M76" s="76"/>
      <c r="N76" s="76"/>
    </row>
    <row r="77" spans="2:14" ht="14.25" customHeight="1">
      <c r="B77" s="1" t="s">
        <v>426</v>
      </c>
      <c r="C77" s="1" t="s">
        <v>427</v>
      </c>
      <c r="D77" s="1">
        <f>(2*D71)+D72</f>
        <v>1804</v>
      </c>
      <c r="E77" s="1" t="s">
        <v>194</v>
      </c>
      <c r="F77" s="76"/>
      <c r="G77" s="76"/>
      <c r="H77" s="76"/>
      <c r="I77" s="76"/>
      <c r="J77" s="76"/>
      <c r="K77" s="76"/>
      <c r="L77" s="76"/>
      <c r="M77" s="76"/>
      <c r="N77" s="76"/>
    </row>
    <row r="78" spans="2:14" ht="15" customHeight="1">
      <c r="B78" s="1" t="s">
        <v>1193</v>
      </c>
      <c r="C78" s="1" t="s">
        <v>428</v>
      </c>
      <c r="D78" s="200">
        <f>D70*D58*D62^2</f>
        <v>4.9407210838248243</v>
      </c>
      <c r="E78" s="1" t="s">
        <v>161</v>
      </c>
      <c r="F78" s="76"/>
      <c r="G78" s="76"/>
      <c r="H78" s="76"/>
      <c r="I78" s="76"/>
      <c r="J78" s="76"/>
      <c r="K78" s="76"/>
      <c r="L78" s="76"/>
      <c r="M78" s="76"/>
      <c r="N78" s="76"/>
    </row>
    <row r="79" spans="2:14" ht="15" customHeight="1">
      <c r="B79" s="1" t="s">
        <v>1194</v>
      </c>
      <c r="C79" s="1" t="s">
        <v>1195</v>
      </c>
      <c r="D79" s="200">
        <f>D70*D58*(D60/D68)^2</f>
        <v>9.8814421676496522</v>
      </c>
      <c r="E79" s="1" t="s">
        <v>161</v>
      </c>
      <c r="F79" s="76"/>
      <c r="G79" s="76"/>
      <c r="H79" s="76"/>
      <c r="I79" s="76"/>
      <c r="J79" s="76"/>
      <c r="K79" s="76"/>
      <c r="L79" s="76"/>
      <c r="M79" s="76"/>
      <c r="N79" s="76"/>
    </row>
    <row r="80" spans="2:14" ht="14.25" customHeight="1">
      <c r="B80" s="1" t="s">
        <v>1211</v>
      </c>
      <c r="C80" s="1" t="s">
        <v>429</v>
      </c>
      <c r="D80" s="200">
        <f>(125-D73)/MAX(D78,D79)</f>
        <v>10.119980292692992</v>
      </c>
      <c r="E80" s="1" t="s">
        <v>430</v>
      </c>
      <c r="F80" s="76"/>
      <c r="G80" s="76"/>
      <c r="H80" s="76"/>
      <c r="I80" s="76"/>
      <c r="J80" s="76"/>
      <c r="K80" s="76"/>
      <c r="L80" s="76"/>
      <c r="M80" s="76"/>
      <c r="N80" s="76"/>
    </row>
    <row r="81" spans="2:14" ht="18" customHeight="1">
      <c r="B81" s="19" t="str">
        <f>IF(OR('Design Spec'!$D$107=1,'Design Spec'!$D$107=2),_xlfn.CONCAT("Secondary Side Power Switch Selection in ",IF('Design Spec'!$D$107=1,"center tap configuration","full bridge configuration")),"Wrong output bridge selection, return to design Spec sheet")</f>
        <v>Secondary Side Power Switch Selection in center tap configuration</v>
      </c>
      <c r="C81" s="19"/>
      <c r="F81" s="76"/>
      <c r="G81" s="76"/>
      <c r="H81" s="76"/>
      <c r="I81" s="76"/>
      <c r="J81" s="76"/>
      <c r="K81" s="76"/>
      <c r="L81" s="76"/>
      <c r="M81" s="76"/>
      <c r="N81" s="76"/>
    </row>
    <row r="82" spans="2:14" ht="14.25" customHeight="1">
      <c r="B82" s="1"/>
      <c r="C82" s="1"/>
      <c r="D82" s="77"/>
      <c r="E82" s="1"/>
      <c r="F82" s="76"/>
      <c r="G82" s="76"/>
      <c r="H82" s="76"/>
      <c r="I82" s="76"/>
      <c r="J82" s="76"/>
      <c r="K82" s="76"/>
      <c r="L82" s="76"/>
      <c r="M82" s="76"/>
      <c r="N82" s="76"/>
    </row>
    <row r="83" spans="2:14" ht="15.75" customHeight="1">
      <c r="B83" s="20" t="s">
        <v>356</v>
      </c>
      <c r="C83" s="20" t="s">
        <v>132</v>
      </c>
      <c r="D83" s="20" t="s">
        <v>133</v>
      </c>
      <c r="E83" s="20" t="s">
        <v>431</v>
      </c>
      <c r="F83" s="76"/>
      <c r="G83" s="76"/>
      <c r="H83" s="76"/>
      <c r="I83" s="76"/>
      <c r="J83" s="76"/>
      <c r="K83" s="76"/>
      <c r="L83" s="76"/>
      <c r="M83" s="76"/>
      <c r="N83" s="76"/>
    </row>
    <row r="84" spans="2:14" ht="15" customHeight="1">
      <c r="B84" s="1" t="s">
        <v>1086</v>
      </c>
      <c r="C84" s="1" t="s">
        <v>1187</v>
      </c>
      <c r="D84" s="49">
        <f>CC!J25</f>
        <v>30.312064430593054</v>
      </c>
      <c r="E84" s="1" t="s">
        <v>237</v>
      </c>
      <c r="F84" s="65"/>
      <c r="G84" s="76"/>
      <c r="H84" s="76"/>
      <c r="I84" s="76"/>
      <c r="J84" s="76"/>
      <c r="K84" s="76"/>
      <c r="L84" s="76"/>
      <c r="M84" s="76"/>
      <c r="N84" s="76"/>
    </row>
    <row r="85" spans="2:14" ht="15" customHeight="1">
      <c r="B85" s="1" t="s">
        <v>1087</v>
      </c>
      <c r="C85" s="1" t="s">
        <v>1188</v>
      </c>
      <c r="D85" s="49">
        <f>CC!J26</f>
        <v>30.312064430593054</v>
      </c>
      <c r="E85" s="1" t="s">
        <v>237</v>
      </c>
      <c r="F85" s="65"/>
      <c r="G85" s="76"/>
      <c r="H85" s="76"/>
      <c r="I85" s="76"/>
      <c r="J85" s="76"/>
      <c r="K85" s="76"/>
      <c r="L85" s="76"/>
      <c r="M85" s="76"/>
      <c r="N85" s="76"/>
    </row>
    <row r="86" spans="2:14" ht="15" customHeight="1">
      <c r="B86" s="1" t="s">
        <v>1088</v>
      </c>
      <c r="C86" s="1" t="s">
        <v>432</v>
      </c>
      <c r="D86" s="49">
        <f>CC!E24</f>
        <v>115.57843009956112</v>
      </c>
      <c r="E86" s="1" t="s">
        <v>237</v>
      </c>
      <c r="F86" s="76"/>
      <c r="G86" s="76"/>
      <c r="H86" s="76"/>
      <c r="I86" s="76"/>
      <c r="J86" s="76"/>
      <c r="K86" s="76"/>
      <c r="L86" s="76"/>
      <c r="M86" s="76"/>
      <c r="N86" s="76"/>
    </row>
    <row r="87" spans="2:14" ht="15" customHeight="1">
      <c r="B87" s="1" t="s">
        <v>1089</v>
      </c>
      <c r="C87" s="1" t="s">
        <v>1090</v>
      </c>
      <c r="D87" s="49">
        <f>IF(ISNUMBER(F85),F85,D85)/D103</f>
        <v>15.156032215296527</v>
      </c>
      <c r="E87" s="1" t="s">
        <v>237</v>
      </c>
      <c r="F87" s="76"/>
      <c r="G87" s="76"/>
      <c r="H87" s="76"/>
      <c r="I87" s="76"/>
      <c r="J87" s="76"/>
      <c r="K87" s="76"/>
      <c r="L87" s="76"/>
      <c r="M87" s="76"/>
      <c r="N87" s="76"/>
    </row>
    <row r="88" spans="2:14" ht="15" customHeight="1">
      <c r="B88" s="20" t="s">
        <v>356</v>
      </c>
      <c r="C88" s="20" t="s">
        <v>132</v>
      </c>
      <c r="D88" s="20" t="s">
        <v>133</v>
      </c>
      <c r="E88" s="20" t="s">
        <v>431</v>
      </c>
      <c r="F88" s="76"/>
      <c r="G88" s="76"/>
      <c r="H88" s="76"/>
      <c r="I88" s="76"/>
      <c r="J88" s="76"/>
      <c r="K88" s="76"/>
      <c r="L88" s="76"/>
      <c r="M88" s="76"/>
      <c r="N88" s="76"/>
    </row>
    <row r="89" spans="2:14" ht="15" customHeight="1">
      <c r="B89" s="1" t="s">
        <v>1091</v>
      </c>
      <c r="C89" s="1" t="s">
        <v>415</v>
      </c>
      <c r="D89" s="49">
        <f>1.2*2*'Design Spec'!$D$95/'Design Spec'!$D$107</f>
        <v>60</v>
      </c>
      <c r="E89" s="1" t="s">
        <v>150</v>
      </c>
      <c r="F89" s="76"/>
      <c r="G89" s="76"/>
      <c r="H89" s="76"/>
      <c r="I89" s="76"/>
      <c r="J89" s="76"/>
      <c r="K89" s="76"/>
      <c r="L89" s="76"/>
      <c r="M89" s="76"/>
      <c r="N89" s="76"/>
    </row>
    <row r="90" spans="2:14" ht="14.25" customHeight="1">
      <c r="B90" s="1" t="s">
        <v>1092</v>
      </c>
      <c r="C90" s="1" t="s">
        <v>416</v>
      </c>
      <c r="D90" s="49">
        <f>1.2*D86</f>
        <v>138.69411611947334</v>
      </c>
      <c r="E90" s="1" t="s">
        <v>237</v>
      </c>
      <c r="F90" s="76"/>
      <c r="G90" s="76"/>
      <c r="H90" s="76"/>
      <c r="I90" s="76"/>
      <c r="J90" s="76"/>
      <c r="K90" s="76"/>
      <c r="L90" s="76"/>
      <c r="M90" s="76"/>
      <c r="N90" s="76"/>
    </row>
    <row r="91" spans="2:14" ht="14.25" customHeight="1">
      <c r="B91" s="1" t="s">
        <v>1093</v>
      </c>
      <c r="C91" s="1" t="s">
        <v>1094</v>
      </c>
      <c r="D91" s="49">
        <f>D86/D103</f>
        <v>57.789215049780559</v>
      </c>
      <c r="E91" s="1" t="s">
        <v>237</v>
      </c>
      <c r="F91" s="76"/>
      <c r="G91" s="76"/>
      <c r="H91" s="76"/>
      <c r="I91" s="76"/>
      <c r="J91" s="76"/>
      <c r="K91" s="76"/>
      <c r="L91" s="76"/>
      <c r="M91" s="76"/>
      <c r="N91" s="76"/>
    </row>
    <row r="92" spans="2:14" ht="15.75" customHeight="1">
      <c r="B92" s="20" t="s">
        <v>417</v>
      </c>
      <c r="C92" s="202" t="s">
        <v>1202</v>
      </c>
      <c r="D92" s="202"/>
      <c r="E92" s="202"/>
      <c r="F92" s="76"/>
      <c r="G92" s="76"/>
      <c r="H92" s="76"/>
      <c r="I92" s="76"/>
      <c r="J92" s="76"/>
      <c r="K92" s="76"/>
      <c r="L92" s="76"/>
      <c r="M92" s="76"/>
      <c r="N92" s="76"/>
    </row>
    <row r="93" spans="2:14" ht="14.25" customHeight="1">
      <c r="B93" s="1" t="s">
        <v>1095</v>
      </c>
      <c r="C93" s="1" t="s">
        <v>1096</v>
      </c>
      <c r="D93" s="2">
        <v>2</v>
      </c>
      <c r="E93" s="26" t="s">
        <v>181</v>
      </c>
      <c r="F93" s="76"/>
    </row>
    <row r="94" spans="2:14" ht="15.75" customHeight="1">
      <c r="B94" s="20" t="s">
        <v>356</v>
      </c>
      <c r="C94" s="20" t="s">
        <v>132</v>
      </c>
      <c r="D94" s="20" t="s">
        <v>133</v>
      </c>
      <c r="E94" s="20" t="s">
        <v>134</v>
      </c>
    </row>
    <row r="95" spans="2:14" ht="14.25" customHeight="1">
      <c r="B95" s="1" t="s">
        <v>1097</v>
      </c>
      <c r="C95" s="1" t="s">
        <v>403</v>
      </c>
      <c r="D95" s="2">
        <v>0</v>
      </c>
      <c r="E95" s="1" t="s">
        <v>150</v>
      </c>
    </row>
    <row r="96" spans="2:14" ht="15" customHeight="1">
      <c r="B96" s="1" t="s">
        <v>1219</v>
      </c>
      <c r="C96" s="1" t="s">
        <v>433</v>
      </c>
      <c r="D96" s="2">
        <v>3.7000000000000002E-3</v>
      </c>
      <c r="E96" s="26" t="s">
        <v>175</v>
      </c>
    </row>
    <row r="97" spans="2:5" ht="15" customHeight="1">
      <c r="B97" s="1" t="s">
        <v>423</v>
      </c>
      <c r="C97" s="1" t="s">
        <v>424</v>
      </c>
      <c r="D97" s="2">
        <v>25</v>
      </c>
      <c r="E97" s="26" t="s">
        <v>425</v>
      </c>
    </row>
    <row r="98" spans="2:5" ht="15">
      <c r="B98" s="1" t="s">
        <v>1217</v>
      </c>
      <c r="C98" s="1" t="s">
        <v>1098</v>
      </c>
      <c r="D98" s="2">
        <v>1.9</v>
      </c>
      <c r="E98" s="26" t="s">
        <v>181</v>
      </c>
    </row>
    <row r="99" spans="2:5" ht="15.75" customHeight="1">
      <c r="B99" s="20" t="s">
        <v>356</v>
      </c>
      <c r="C99" s="20" t="s">
        <v>132</v>
      </c>
      <c r="D99" s="20" t="s">
        <v>133</v>
      </c>
      <c r="E99" s="20" t="s">
        <v>134</v>
      </c>
    </row>
    <row r="100" spans="2:5" ht="14.25" customHeight="1">
      <c r="B100" s="1" t="s">
        <v>1084</v>
      </c>
      <c r="C100" s="1" t="s">
        <v>434</v>
      </c>
      <c r="D100" s="49">
        <f>IF(D93=2,0,0.5*D95*'Preliminary Calculation'!D7/D103)+D96*D98*D87^2</f>
        <v>1.6148283469530762</v>
      </c>
      <c r="E100" s="1" t="s">
        <v>161</v>
      </c>
    </row>
    <row r="101" spans="2:5" ht="15" customHeight="1">
      <c r="B101" s="1" t="s">
        <v>1099</v>
      </c>
      <c r="C101" s="1" t="s">
        <v>429</v>
      </c>
      <c r="D101" s="49">
        <f>(125-D97)/D100</f>
        <v>61.926086564360894</v>
      </c>
      <c r="E101" s="1" t="s">
        <v>430</v>
      </c>
    </row>
    <row r="102" spans="2:5" ht="14.25" customHeight="1">
      <c r="B102" s="1" t="s">
        <v>1100</v>
      </c>
      <c r="C102" s="1" t="s">
        <v>435</v>
      </c>
      <c r="D102" s="49">
        <f>D100*D103*2*'Design Spec'!$D$107</f>
        <v>6.4593133878123048</v>
      </c>
      <c r="E102" s="1" t="s">
        <v>161</v>
      </c>
    </row>
    <row r="103" spans="2:5" ht="15">
      <c r="B103" s="1" t="s">
        <v>1101</v>
      </c>
      <c r="C103" s="1" t="s">
        <v>1102</v>
      </c>
      <c r="D103" s="2">
        <v>2</v>
      </c>
      <c r="E103" s="26" t="s">
        <v>181</v>
      </c>
    </row>
    <row r="104" spans="2:5" ht="18" customHeight="1">
      <c r="B104" s="28" t="s">
        <v>436</v>
      </c>
      <c r="C104" s="28" t="s">
        <v>437</v>
      </c>
      <c r="D104" s="78"/>
      <c r="E104" s="79"/>
    </row>
    <row r="105" spans="2:5" ht="14.25" customHeight="1">
      <c r="B105" s="80"/>
      <c r="C105" s="80"/>
      <c r="E105" s="81"/>
    </row>
    <row r="106" spans="2:5" ht="14.25" customHeight="1">
      <c r="B106" s="80"/>
      <c r="C106" s="80"/>
      <c r="E106" s="81"/>
    </row>
    <row r="107" spans="2:5" ht="14.25" customHeight="1">
      <c r="B107" s="80"/>
      <c r="C107" s="80"/>
      <c r="E107" s="81"/>
    </row>
    <row r="108" spans="2:5" ht="14.25" customHeight="1">
      <c r="B108" s="80"/>
      <c r="C108" s="80"/>
      <c r="E108" s="81"/>
    </row>
    <row r="109" spans="2:5" ht="14.25" customHeight="1">
      <c r="B109" s="80"/>
      <c r="C109" s="80"/>
      <c r="E109" s="81"/>
    </row>
    <row r="110" spans="2:5" ht="14.25" customHeight="1">
      <c r="B110" s="80"/>
      <c r="C110" s="80"/>
      <c r="E110" s="81"/>
    </row>
    <row r="111" spans="2:5" ht="14.25" customHeight="1">
      <c r="B111" s="80"/>
      <c r="C111" s="80"/>
      <c r="E111" s="81"/>
    </row>
    <row r="112" spans="2:5" ht="14.25" customHeight="1">
      <c r="B112" s="80"/>
      <c r="C112" s="80"/>
      <c r="E112" s="81"/>
    </row>
    <row r="113" spans="2:5" ht="14.25" customHeight="1">
      <c r="B113" s="80"/>
      <c r="C113" s="80"/>
      <c r="E113" s="81"/>
    </row>
    <row r="114" spans="2:5" ht="14.25" customHeight="1">
      <c r="B114" s="80"/>
      <c r="C114" s="80"/>
      <c r="E114" s="81"/>
    </row>
    <row r="115" spans="2:5" ht="14.25" customHeight="1">
      <c r="B115" s="80"/>
      <c r="C115" s="80"/>
      <c r="E115" s="81"/>
    </row>
    <row r="116" spans="2:5" ht="14.25" customHeight="1">
      <c r="B116" s="80"/>
      <c r="C116" s="80"/>
      <c r="E116" s="81"/>
    </row>
    <row r="117" spans="2:5" ht="14.25" customHeight="1">
      <c r="B117" s="80"/>
      <c r="C117" s="80"/>
      <c r="E117" s="81"/>
    </row>
    <row r="118" spans="2:5" ht="14.25" customHeight="1">
      <c r="B118" s="80"/>
      <c r="C118" s="80"/>
      <c r="E118" s="81"/>
    </row>
    <row r="119" spans="2:5" ht="14.25" customHeight="1">
      <c r="B119" s="82"/>
      <c r="C119" s="82"/>
      <c r="D119" s="83"/>
      <c r="E119" s="84"/>
    </row>
  </sheetData>
  <mergeCells count="3">
    <mergeCell ref="C50:E50"/>
    <mergeCell ref="C67:E67"/>
    <mergeCell ref="C92:E92"/>
  </mergeCells>
  <phoneticPr fontId="35" type="noConversion"/>
  <pageMargins left="0.7" right="0.7" top="0.75" bottom="0.75" header="0.511811023622047" footer="0.3"/>
  <pageSetup orientation="portrait" horizontalDpi="300" verticalDpi="300"/>
  <headerFooter>
    <oddFooter>&amp;R&amp;"Arial,Regular"&amp;12 &amp;Kff0000_x005F_x000d_# ST Restricted</oddFooter>
  </headerFooter>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B1:P130"/>
  <sheetViews>
    <sheetView zoomScale="115" zoomScaleNormal="115" workbookViewId="0">
      <selection activeCell="H35" sqref="H35"/>
    </sheetView>
  </sheetViews>
  <sheetFormatPr defaultColWidth="8.75" defaultRowHeight="16.5"/>
  <cols>
    <col min="1" max="1" width="8.75" style="10"/>
    <col min="2" max="2" width="65.875" style="10" customWidth="1"/>
    <col min="3" max="3" width="16.625" style="10" customWidth="1"/>
    <col min="4" max="4" width="11.875" style="10" customWidth="1"/>
    <col min="5" max="5" width="8.75" style="10"/>
    <col min="6" max="6" width="18.625" style="10" customWidth="1"/>
    <col min="7" max="16384" width="8.75" style="10"/>
  </cols>
  <sheetData>
    <row r="1" spans="2:5" ht="0.75" customHeight="1">
      <c r="B1" s="85" t="s">
        <v>438</v>
      </c>
      <c r="C1" s="85" t="s">
        <v>439</v>
      </c>
      <c r="D1" s="86">
        <f>'Res. Tank Design'!D56</f>
        <v>85.071895494482334</v>
      </c>
      <c r="E1" s="85" t="s">
        <v>187</v>
      </c>
    </row>
    <row r="2" spans="2:5" ht="16.5" hidden="1" customHeight="1">
      <c r="B2" s="85" t="s">
        <v>440</v>
      </c>
      <c r="C2" s="85" t="s">
        <v>441</v>
      </c>
      <c r="D2" s="86">
        <f>RTC!$BD$212</f>
        <v>209.49207052165292</v>
      </c>
      <c r="E2" s="85" t="s">
        <v>187</v>
      </c>
    </row>
    <row r="3" spans="2:5" ht="16.5" hidden="1" customHeight="1">
      <c r="B3" s="85" t="s">
        <v>442</v>
      </c>
      <c r="C3" s="85" t="s">
        <v>443</v>
      </c>
      <c r="D3" s="86">
        <f>MAX(D2,MIN('Design Spec'!D104,D2*1.5))</f>
        <v>225</v>
      </c>
      <c r="E3" s="85" t="s">
        <v>187</v>
      </c>
    </row>
    <row r="4" spans="2:5" ht="16.5" hidden="1" customHeight="1">
      <c r="B4" s="85" t="s">
        <v>444</v>
      </c>
      <c r="C4" s="85" t="s">
        <v>334</v>
      </c>
      <c r="D4" s="86">
        <f>'Res. Tank Design'!D55</f>
        <v>151.7482841316334</v>
      </c>
      <c r="E4" s="85" t="s">
        <v>187</v>
      </c>
    </row>
    <row r="5" spans="2:5" ht="16.5" customHeight="1">
      <c r="D5" s="87"/>
    </row>
    <row r="6" spans="2:5" ht="16.5" customHeight="1">
      <c r="D6" s="87"/>
    </row>
    <row r="7" spans="2:5" ht="16.5" customHeight="1">
      <c r="D7" s="87"/>
    </row>
    <row r="8" spans="2:5" ht="16.5" customHeight="1">
      <c r="D8" s="87"/>
    </row>
    <row r="9" spans="2:5" ht="1.5" customHeight="1"/>
    <row r="10" spans="2:5" ht="18.75" customHeight="1">
      <c r="B10" s="19" t="s">
        <v>445</v>
      </c>
    </row>
    <row r="11" spans="2:5" ht="4.5" customHeight="1">
      <c r="B11" s="19"/>
    </row>
    <row r="12" spans="2:5" ht="16.5" hidden="1" customHeight="1">
      <c r="B12" s="88" t="s">
        <v>446</v>
      </c>
      <c r="C12" s="88" t="s">
        <v>447</v>
      </c>
      <c r="D12" s="89">
        <v>1.5</v>
      </c>
      <c r="E12" s="88" t="s">
        <v>150</v>
      </c>
    </row>
    <row r="13" spans="2:5" ht="16.5" hidden="1" customHeight="1">
      <c r="B13" s="88" t="s">
        <v>448</v>
      </c>
      <c r="C13" s="88" t="s">
        <v>449</v>
      </c>
      <c r="D13" s="88">
        <v>250</v>
      </c>
      <c r="E13" s="88" t="s">
        <v>197</v>
      </c>
    </row>
    <row r="14" spans="2:5" ht="16.5" hidden="1" customHeight="1">
      <c r="B14" s="88" t="s">
        <v>450</v>
      </c>
      <c r="C14" s="88" t="s">
        <v>451</v>
      </c>
      <c r="D14" s="88">
        <v>30</v>
      </c>
      <c r="E14" s="88" t="s">
        <v>452</v>
      </c>
    </row>
    <row r="15" spans="2:5" ht="16.5" hidden="1" customHeight="1">
      <c r="B15" s="88" t="s">
        <v>453</v>
      </c>
      <c r="C15" s="88" t="s">
        <v>454</v>
      </c>
      <c r="D15" s="88">
        <v>0.4</v>
      </c>
      <c r="E15" s="88" t="s">
        <v>455</v>
      </c>
    </row>
    <row r="16" spans="2:5" ht="16.5" hidden="1" customHeight="1">
      <c r="B16" s="88" t="s">
        <v>456</v>
      </c>
      <c r="C16" s="88" t="s">
        <v>457</v>
      </c>
      <c r="D16" s="88">
        <v>0.41199999999999998</v>
      </c>
      <c r="E16" s="88" t="s">
        <v>455</v>
      </c>
    </row>
    <row r="17" spans="2:16" ht="3" customHeight="1"/>
    <row r="18" spans="2:16" ht="16.5" customHeight="1">
      <c r="B18" s="20" t="s">
        <v>131</v>
      </c>
      <c r="C18" s="20" t="s">
        <v>132</v>
      </c>
      <c r="D18" s="20" t="s">
        <v>133</v>
      </c>
      <c r="E18" s="20" t="s">
        <v>134</v>
      </c>
      <c r="I18" s="90" t="s">
        <v>458</v>
      </c>
      <c r="J18" s="90"/>
      <c r="K18" s="91"/>
      <c r="L18" s="91"/>
      <c r="M18" s="91"/>
      <c r="N18" s="91"/>
      <c r="O18" s="91"/>
      <c r="P18" s="92"/>
    </row>
    <row r="19" spans="2:16" ht="16.5" customHeight="1">
      <c r="B19" s="1" t="s">
        <v>459</v>
      </c>
      <c r="C19" s="1" t="s">
        <v>460</v>
      </c>
      <c r="D19" s="49">
        <f>(D15*(10^-3))*((2*D13*D3*(10^-6))-1)*((2*D13*D1*((10^-6)))-1)/(2*D12*((D3-D1)*10^3))*10^12</f>
        <v>809.70090497754245</v>
      </c>
      <c r="E19" s="1" t="s">
        <v>194</v>
      </c>
      <c r="I19" s="14"/>
      <c r="P19" s="15"/>
    </row>
    <row r="20" spans="2:16" ht="16.5" customHeight="1">
      <c r="B20" s="1" t="s">
        <v>461</v>
      </c>
      <c r="C20" s="1" t="s">
        <v>462</v>
      </c>
      <c r="D20" s="49">
        <f>(1/(D14*(10^3)))*((1/(2*D1*10^3))-(D13*(10^-9)))*10^12</f>
        <v>187.57938930898337</v>
      </c>
      <c r="E20" s="1" t="s">
        <v>194</v>
      </c>
      <c r="I20" s="14"/>
      <c r="P20" s="15"/>
    </row>
    <row r="21" spans="2:16" ht="16.5" customHeight="1">
      <c r="B21" s="1" t="s">
        <v>463</v>
      </c>
      <c r="C21" s="1" t="s">
        <v>464</v>
      </c>
      <c r="D21" s="93">
        <v>470</v>
      </c>
      <c r="E21" s="1" t="s">
        <v>194</v>
      </c>
      <c r="F21">
        <v>470</v>
      </c>
      <c r="I21" s="14"/>
      <c r="P21" s="15"/>
    </row>
    <row r="22" spans="2:16" ht="16.5" customHeight="1">
      <c r="C22" s="1" t="s">
        <v>1017</v>
      </c>
      <c r="D22" s="49">
        <f>MIN(D19/D21,D21/D20)</f>
        <v>1.7227678829309414</v>
      </c>
      <c r="E22" s="94" t="s">
        <v>181</v>
      </c>
      <c r="I22" s="14"/>
      <c r="P22" s="15"/>
    </row>
    <row r="23" spans="2:16" ht="16.5" customHeight="1">
      <c r="B23" s="20" t="s">
        <v>131</v>
      </c>
      <c r="C23" s="20" t="s">
        <v>132</v>
      </c>
      <c r="D23" s="20" t="s">
        <v>133</v>
      </c>
      <c r="E23" s="20" t="s">
        <v>134</v>
      </c>
      <c r="F23" s="20" t="s">
        <v>266</v>
      </c>
      <c r="I23" s="14"/>
      <c r="P23" s="15"/>
    </row>
    <row r="24" spans="2:16" ht="16.5" customHeight="1">
      <c r="B24" s="1" t="s">
        <v>465</v>
      </c>
      <c r="C24" s="1" t="s">
        <v>1018</v>
      </c>
      <c r="D24" s="49">
        <f>(1/(D21*(10^-12)))*(1/(2*D1*(10^3))-(D13*10^-9))/1000</f>
        <v>11.973152509084043</v>
      </c>
      <c r="E24" s="94" t="s">
        <v>452</v>
      </c>
      <c r="F24" s="93">
        <v>11</v>
      </c>
      <c r="I24" s="14"/>
      <c r="P24" s="15"/>
    </row>
    <row r="25" spans="2:16" ht="16.5" customHeight="1">
      <c r="B25" s="95"/>
      <c r="C25" s="1" t="s">
        <v>1019</v>
      </c>
      <c r="D25" s="49">
        <f>D24/IF(ISNUMBER(F24),F24,D24)</f>
        <v>1.0884684099167312</v>
      </c>
      <c r="E25" s="94" t="s">
        <v>181</v>
      </c>
      <c r="I25" s="14"/>
      <c r="P25" s="15"/>
    </row>
    <row r="26" spans="2:16" ht="16.5" customHeight="1">
      <c r="B26" s="20" t="s">
        <v>131</v>
      </c>
      <c r="C26" s="20" t="s">
        <v>132</v>
      </c>
      <c r="D26" s="20" t="s">
        <v>133</v>
      </c>
      <c r="E26" s="20" t="s">
        <v>134</v>
      </c>
      <c r="I26" s="14"/>
      <c r="P26" s="15"/>
    </row>
    <row r="27" spans="2:16" ht="16.5" customHeight="1">
      <c r="B27" s="1" t="s">
        <v>466</v>
      </c>
      <c r="C27" s="1" t="s">
        <v>467</v>
      </c>
      <c r="D27" s="49">
        <f>1/(2*(((D21*(10^-12))/(((D15*(10^-3))/D12)+(1/(F24*(10^3)))))+(D13*(10^-9))))/1000</f>
        <v>319.60996749729145</v>
      </c>
      <c r="E27" s="1" t="s">
        <v>187</v>
      </c>
      <c r="I27" s="14"/>
      <c r="P27" s="15"/>
    </row>
    <row r="28" spans="2:16" ht="16.5" customHeight="1">
      <c r="B28" s="1" t="s">
        <v>468</v>
      </c>
      <c r="C28" s="1" t="s">
        <v>469</v>
      </c>
      <c r="D28" s="49">
        <f>1/(2*(D21*F24*(10^-9)+D13*(10^-9)))/1000</f>
        <v>92.250922509225092</v>
      </c>
      <c r="E28" s="1" t="s">
        <v>187</v>
      </c>
      <c r="I28" s="14"/>
      <c r="P28" s="15"/>
    </row>
    <row r="29" spans="2:16" ht="16.5" customHeight="1">
      <c r="B29" s="1" t="s">
        <v>470</v>
      </c>
      <c r="C29" s="1" t="s">
        <v>471</v>
      </c>
      <c r="D29" s="49">
        <f>1/(2*(((D21*(10^-12))/((((D15+D16)*(10^-3))/(D12))+(1/(F24*(10^3)))))+(D13*(10^-9))))/1000</f>
        <v>503.32915179002219</v>
      </c>
      <c r="E29" s="1" t="s">
        <v>187</v>
      </c>
      <c r="I29" s="14"/>
      <c r="P29" s="15"/>
    </row>
    <row r="30" spans="2:16" ht="16.5" customHeight="1">
      <c r="I30" s="16"/>
      <c r="J30" s="17"/>
      <c r="K30" s="17"/>
      <c r="L30" s="17"/>
      <c r="M30" s="17"/>
      <c r="N30" s="17"/>
      <c r="O30" s="17"/>
      <c r="P30" s="18"/>
    </row>
    <row r="31" spans="2:16" ht="16.5" hidden="1" customHeight="1">
      <c r="B31" s="85"/>
      <c r="C31" s="85" t="s">
        <v>263</v>
      </c>
      <c r="D31" s="86">
        <f>'Preliminary Calculation'!D20</f>
        <v>684.77372448770666</v>
      </c>
      <c r="E31" s="85" t="s">
        <v>161</v>
      </c>
    </row>
    <row r="32" spans="2:16" ht="16.5" hidden="1" customHeight="1">
      <c r="B32" s="85" t="s">
        <v>959</v>
      </c>
      <c r="C32" s="85" t="s">
        <v>472</v>
      </c>
      <c r="D32" s="86">
        <f>IF(2*CC!E28/(PI()*CC!E27)&gt;=1,CC!E28,CC!E28*(2*ACOS(-2*CC!E28/(PI()*CC!E27))/PI()-1)+CC!E27*SQRT(1-(2*CC!E28/(PI()*CC!E27))^2))</f>
        <v>17.699402726689758</v>
      </c>
      <c r="E32" s="85" t="s">
        <v>237</v>
      </c>
    </row>
    <row r="33" spans="2:11" ht="16.5" hidden="1" customHeight="1">
      <c r="B33" s="85" t="s">
        <v>473</v>
      </c>
      <c r="C33" s="85" t="s">
        <v>474</v>
      </c>
      <c r="D33" s="86">
        <f>MAX(CC!E29,'Preliminary Calculation'!D11)</f>
        <v>13.714094610539002</v>
      </c>
      <c r="E33" s="85" t="s">
        <v>237</v>
      </c>
    </row>
    <row r="35" spans="2:11" ht="18.75" customHeight="1">
      <c r="B35" s="19" t="s">
        <v>937</v>
      </c>
    </row>
    <row r="36" spans="2:11" ht="6" customHeight="1">
      <c r="B36" s="19"/>
    </row>
    <row r="37" spans="2:11" ht="16.5" customHeight="1">
      <c r="B37" s="20" t="s">
        <v>131</v>
      </c>
      <c r="C37" s="20" t="s">
        <v>132</v>
      </c>
      <c r="D37" s="20" t="s">
        <v>133</v>
      </c>
      <c r="E37" s="20" t="s">
        <v>134</v>
      </c>
    </row>
    <row r="38" spans="2:11" ht="16.5" customHeight="1">
      <c r="B38" s="1" t="s">
        <v>475</v>
      </c>
      <c r="C38" s="1" t="s">
        <v>476</v>
      </c>
      <c r="D38" s="49">
        <f>16.8/D31*1000</f>
        <v>24.533651627139207</v>
      </c>
      <c r="E38" s="1" t="s">
        <v>372</v>
      </c>
    </row>
    <row r="39" spans="2:11" ht="16.5" customHeight="1">
      <c r="B39" s="1" t="s">
        <v>477</v>
      </c>
      <c r="C39" s="1" t="s">
        <v>478</v>
      </c>
      <c r="D39" s="49">
        <f>0.55/D32*1000</f>
        <v>31.074494913358251</v>
      </c>
      <c r="E39" s="1" t="s">
        <v>372</v>
      </c>
    </row>
    <row r="40" spans="2:11" ht="16.5" customHeight="1">
      <c r="B40" s="1" t="s">
        <v>479</v>
      </c>
      <c r="C40" s="1" t="s">
        <v>480</v>
      </c>
      <c r="D40" s="27">
        <f>(MIN(D38,D39)/1000)*(D33)^2</f>
        <v>4.6142006557601407</v>
      </c>
      <c r="E40" s="1" t="s">
        <v>161</v>
      </c>
    </row>
    <row r="41" spans="2:11" ht="16.5" customHeight="1">
      <c r="B41" s="1" t="s">
        <v>481</v>
      </c>
      <c r="C41" s="1" t="s">
        <v>482</v>
      </c>
      <c r="D41" s="2">
        <v>1</v>
      </c>
      <c r="E41" s="1" t="s">
        <v>161</v>
      </c>
    </row>
    <row r="42" spans="2:11" ht="16.5" customHeight="1">
      <c r="B42" s="1" t="s">
        <v>483</v>
      </c>
      <c r="C42" s="1" t="s">
        <v>484</v>
      </c>
      <c r="D42" s="96">
        <f>_xlfn.CEILING.MATH(D40/D41)</f>
        <v>5</v>
      </c>
      <c r="E42" s="1" t="s">
        <v>181</v>
      </c>
    </row>
    <row r="43" spans="2:11" ht="16.5" customHeight="1">
      <c r="B43" s="1" t="s">
        <v>485</v>
      </c>
      <c r="C43" s="1" t="s">
        <v>486</v>
      </c>
      <c r="D43" s="2">
        <v>5</v>
      </c>
      <c r="E43" s="1" t="s">
        <v>181</v>
      </c>
    </row>
    <row r="44" spans="2:11" ht="16.5" customHeight="1">
      <c r="B44" s="1" t="s">
        <v>487</v>
      </c>
      <c r="C44" s="1" t="s">
        <v>488</v>
      </c>
      <c r="D44" s="49">
        <f>MIN(D38,D39)*D43</f>
        <v>122.66825813569604</v>
      </c>
      <c r="E44" s="1" t="s">
        <v>372</v>
      </c>
    </row>
    <row r="45" spans="2:11" ht="16.5" customHeight="1">
      <c r="B45" s="1" t="s">
        <v>966</v>
      </c>
      <c r="C45" s="1" t="s">
        <v>965</v>
      </c>
      <c r="D45" s="93">
        <f>LOOKUP(D44/10^INT(LOG10(D44)),{1,1.1,1.2,1.3,1.5,1.6,1.8,2,2.2,2.4,2.7,3,3.3,3.6,3.9,4.3,4.7,5.1,5.6,6.2,6.8,7.5,8.2,9.1})*10^INT(LOG10(D44))</f>
        <v>120</v>
      </c>
      <c r="E45" s="1" t="s">
        <v>372</v>
      </c>
      <c r="F45" s="97">
        <v>120</v>
      </c>
      <c r="G45" s="97"/>
      <c r="H45" s="97"/>
      <c r="I45" s="97">
        <f>D43*((180^-1+180^-1+240^-1)^-1)</f>
        <v>327.27272727272725</v>
      </c>
      <c r="J45" s="98" t="s">
        <v>489</v>
      </c>
      <c r="K45" s="97"/>
    </row>
    <row r="46" spans="2:11" ht="16.5" customHeight="1">
      <c r="B46" s="1" t="s">
        <v>490</v>
      </c>
      <c r="C46" s="1" t="s">
        <v>491</v>
      </c>
      <c r="D46" s="1">
        <f>IF(ISNUMBER(F45),F45,D45)/D43</f>
        <v>24</v>
      </c>
      <c r="E46" s="1" t="s">
        <v>372</v>
      </c>
    </row>
    <row r="47" spans="2:11" ht="16.5" customHeight="1">
      <c r="B47" s="1" t="s">
        <v>492</v>
      </c>
      <c r="C47" s="1" t="s">
        <v>493</v>
      </c>
      <c r="D47" s="49">
        <f>(D46/1000)*(D33)^2</f>
        <v>4.5138333836835569</v>
      </c>
      <c r="E47" s="1" t="s">
        <v>161</v>
      </c>
    </row>
    <row r="48" spans="2:11" ht="16.5" customHeight="1">
      <c r="B48" s="1" t="s">
        <v>494</v>
      </c>
      <c r="C48" s="1" t="s">
        <v>495</v>
      </c>
      <c r="D48" s="49">
        <f>16.8/D46*1000</f>
        <v>700.00000000000011</v>
      </c>
      <c r="E48" s="1" t="s">
        <v>161</v>
      </c>
    </row>
    <row r="49" spans="2:8" ht="16.5" customHeight="1">
      <c r="B49" s="1" t="s">
        <v>960</v>
      </c>
      <c r="C49" s="1" t="s">
        <v>961</v>
      </c>
      <c r="D49" s="49">
        <f>0.55/D46*1000</f>
        <v>22.916666666666668</v>
      </c>
      <c r="E49" s="1" t="s">
        <v>237</v>
      </c>
      <c r="F49" s="1" t="s">
        <v>962</v>
      </c>
      <c r="G49" s="49">
        <f>0.75/D46*1000</f>
        <v>31.25</v>
      </c>
      <c r="H49" s="1" t="s">
        <v>237</v>
      </c>
    </row>
    <row r="50" spans="2:8" ht="16.5" customHeight="1">
      <c r="B50" s="1" t="s">
        <v>963</v>
      </c>
      <c r="C50" s="1" t="s">
        <v>964</v>
      </c>
      <c r="D50" s="49">
        <f>D49/D32</f>
        <v>1.294770621389927</v>
      </c>
      <c r="E50" s="1" t="s">
        <v>181</v>
      </c>
    </row>
    <row r="51" spans="2:8" ht="18.75" customHeight="1">
      <c r="B51" s="19" t="s">
        <v>496</v>
      </c>
    </row>
    <row r="52" spans="2:8" ht="8.25" customHeight="1">
      <c r="B52" s="19"/>
    </row>
    <row r="53" spans="2:8" ht="16.5" hidden="1" customHeight="1">
      <c r="B53" s="99" t="s">
        <v>497</v>
      </c>
      <c r="C53" s="99" t="s">
        <v>498</v>
      </c>
      <c r="D53" s="100">
        <v>13.3</v>
      </c>
      <c r="E53" s="99" t="s">
        <v>499</v>
      </c>
    </row>
    <row r="54" spans="2:8" ht="16.5" hidden="1" customHeight="1">
      <c r="B54" s="99" t="s">
        <v>500</v>
      </c>
      <c r="C54" s="99" t="s">
        <v>501</v>
      </c>
      <c r="D54" s="100">
        <v>0.01</v>
      </c>
      <c r="E54" s="99" t="s">
        <v>502</v>
      </c>
    </row>
    <row r="55" spans="2:8" ht="16.5" hidden="1" customHeight="1">
      <c r="B55" s="99" t="s">
        <v>503</v>
      </c>
      <c r="C55" s="99" t="s">
        <v>504</v>
      </c>
      <c r="D55" s="100">
        <v>0.5</v>
      </c>
      <c r="E55" s="99" t="s">
        <v>150</v>
      </c>
    </row>
    <row r="56" spans="2:8" ht="16.5" customHeight="1">
      <c r="B56" s="20" t="s">
        <v>131</v>
      </c>
      <c r="C56" s="20" t="s">
        <v>132</v>
      </c>
      <c r="D56" s="20" t="s">
        <v>133</v>
      </c>
      <c r="E56" s="20" t="s">
        <v>134</v>
      </c>
    </row>
    <row r="57" spans="2:8" ht="16.5" customHeight="1">
      <c r="B57" s="1" t="s">
        <v>505</v>
      </c>
      <c r="C57" s="1" t="s">
        <v>506</v>
      </c>
      <c r="D57" s="2">
        <v>75</v>
      </c>
      <c r="E57" s="1" t="s">
        <v>161</v>
      </c>
    </row>
    <row r="58" spans="2:8" ht="16.5" customHeight="1">
      <c r="B58" s="1" t="s">
        <v>507</v>
      </c>
      <c r="C58" s="1" t="s">
        <v>508</v>
      </c>
      <c r="D58" s="2">
        <v>90</v>
      </c>
      <c r="E58" s="1" t="s">
        <v>155</v>
      </c>
    </row>
    <row r="59" spans="2:8" ht="16.5" customHeight="1">
      <c r="B59" s="22"/>
      <c r="C59" s="22"/>
      <c r="D59" s="22"/>
      <c r="E59" s="22"/>
    </row>
    <row r="60" spans="2:8" ht="16.5" customHeight="1">
      <c r="B60" s="20" t="s">
        <v>131</v>
      </c>
      <c r="C60" s="20" t="s">
        <v>132</v>
      </c>
      <c r="D60" s="20" t="s">
        <v>133</v>
      </c>
      <c r="E60" s="20" t="s">
        <v>134</v>
      </c>
      <c r="F60" s="20" t="s">
        <v>266</v>
      </c>
    </row>
    <row r="61" spans="2:8" ht="16.5" customHeight="1">
      <c r="B61" s="1" t="s">
        <v>509</v>
      </c>
      <c r="C61" s="1" t="s">
        <v>510</v>
      </c>
      <c r="D61" s="1">
        <f>16.7*(D57*D46*(10^-3))</f>
        <v>30.06</v>
      </c>
      <c r="E61" s="1" t="s">
        <v>452</v>
      </c>
      <c r="F61" s="2">
        <v>30</v>
      </c>
    </row>
    <row r="62" spans="2:8" ht="16.5" customHeight="1">
      <c r="B62" s="22"/>
      <c r="C62" s="22"/>
      <c r="E62" s="22"/>
    </row>
    <row r="63" spans="2:8" ht="16.5" customHeight="1">
      <c r="B63" s="20" t="s">
        <v>131</v>
      </c>
      <c r="C63" s="20" t="s">
        <v>132</v>
      </c>
      <c r="D63" s="20" t="s">
        <v>133</v>
      </c>
      <c r="E63" s="20" t="s">
        <v>134</v>
      </c>
      <c r="F63" s="14"/>
    </row>
    <row r="64" spans="2:8" ht="16.5" customHeight="1">
      <c r="B64" s="1" t="s">
        <v>511</v>
      </c>
      <c r="C64" s="1" t="s">
        <v>512</v>
      </c>
      <c r="D64" s="49">
        <f>(F61*D54)/(0.167*D46*10^-3)</f>
        <v>74.850299401197603</v>
      </c>
      <c r="E64" s="1" t="s">
        <v>161</v>
      </c>
      <c r="F64" s="14"/>
    </row>
    <row r="65" spans="2:6" ht="16.5" customHeight="1">
      <c r="B65" s="1" t="s">
        <v>513</v>
      </c>
      <c r="C65" s="1" t="s">
        <v>514</v>
      </c>
      <c r="D65" s="49">
        <f>D64*D58/100</f>
        <v>67.365269461077844</v>
      </c>
      <c r="E65" s="1" t="s">
        <v>161</v>
      </c>
      <c r="F65" s="14"/>
    </row>
    <row r="67" spans="2:6" ht="15" hidden="1" customHeight="1">
      <c r="B67" s="85" t="s">
        <v>515</v>
      </c>
      <c r="C67" s="85" t="s">
        <v>359</v>
      </c>
      <c r="D67" s="85">
        <f>'Design Spec'!D95</f>
        <v>25</v>
      </c>
      <c r="E67" s="85" t="s">
        <v>150</v>
      </c>
    </row>
    <row r="69" spans="2:6" ht="18.75" customHeight="1">
      <c r="B69" s="19" t="s">
        <v>516</v>
      </c>
    </row>
    <row r="70" spans="2:6" ht="18.75" customHeight="1">
      <c r="B70" s="19"/>
    </row>
    <row r="71" spans="2:6" ht="16.5" hidden="1" customHeight="1">
      <c r="B71" s="88" t="s">
        <v>517</v>
      </c>
      <c r="C71" s="88" t="s">
        <v>518</v>
      </c>
      <c r="D71" s="89">
        <v>1.35</v>
      </c>
      <c r="E71" s="88" t="s">
        <v>150</v>
      </c>
    </row>
    <row r="72" spans="2:6" ht="16.5" hidden="1" customHeight="1">
      <c r="B72" s="88" t="s">
        <v>519</v>
      </c>
      <c r="C72" s="88" t="s">
        <v>520</v>
      </c>
      <c r="D72" s="88">
        <v>2.2999999999999998</v>
      </c>
      <c r="E72" s="88" t="s">
        <v>150</v>
      </c>
    </row>
    <row r="73" spans="2:6" ht="16.5" hidden="1" customHeight="1">
      <c r="B73" s="88" t="s">
        <v>521</v>
      </c>
      <c r="C73" s="88" t="s">
        <v>522</v>
      </c>
      <c r="D73" s="88">
        <v>2.5</v>
      </c>
      <c r="E73" s="88" t="s">
        <v>150</v>
      </c>
    </row>
    <row r="74" spans="2:6" ht="16.5" hidden="1" customHeight="1">
      <c r="B74" s="88" t="s">
        <v>523</v>
      </c>
      <c r="C74" s="88" t="s">
        <v>524</v>
      </c>
      <c r="D74" s="88">
        <v>25</v>
      </c>
      <c r="E74" s="88" t="s">
        <v>150</v>
      </c>
    </row>
    <row r="76" spans="2:6" ht="16.5" customHeight="1">
      <c r="B76" s="20" t="s">
        <v>131</v>
      </c>
      <c r="C76" s="20" t="s">
        <v>132</v>
      </c>
      <c r="D76" s="20" t="s">
        <v>133</v>
      </c>
      <c r="E76" s="20" t="s">
        <v>134</v>
      </c>
    </row>
    <row r="77" spans="2:6" ht="16.5" customHeight="1">
      <c r="B77" s="1" t="s">
        <v>525</v>
      </c>
      <c r="C77" s="1" t="s">
        <v>526</v>
      </c>
      <c r="D77" s="2">
        <v>10</v>
      </c>
      <c r="E77" s="1" t="s">
        <v>155</v>
      </c>
    </row>
    <row r="78" spans="2:6" ht="16.5" customHeight="1">
      <c r="B78" s="1" t="s">
        <v>527</v>
      </c>
      <c r="C78" s="1" t="s">
        <v>528</v>
      </c>
      <c r="D78" s="49">
        <f>D67*(1+D77/100)</f>
        <v>27.500000000000004</v>
      </c>
      <c r="E78" s="1" t="s">
        <v>150</v>
      </c>
    </row>
    <row r="79" spans="2:6" ht="16.5" customHeight="1">
      <c r="B79" s="1" t="s">
        <v>529</v>
      </c>
      <c r="C79" s="1" t="s">
        <v>530</v>
      </c>
      <c r="D79" s="49">
        <f>D78*D73/D72</f>
        <v>29.891304347826097</v>
      </c>
      <c r="E79" s="1" t="s">
        <v>150</v>
      </c>
    </row>
    <row r="81" spans="2:6" ht="16.5" customHeight="1">
      <c r="B81" s="20" t="s">
        <v>131</v>
      </c>
      <c r="C81" s="20" t="s">
        <v>132</v>
      </c>
      <c r="D81" s="20" t="s">
        <v>133</v>
      </c>
      <c r="E81" s="20" t="s">
        <v>134</v>
      </c>
      <c r="F81" s="20" t="s">
        <v>266</v>
      </c>
    </row>
    <row r="82" spans="2:6" ht="16.5" customHeight="1">
      <c r="B82" s="1" t="s">
        <v>531</v>
      </c>
      <c r="C82" s="1" t="s">
        <v>532</v>
      </c>
      <c r="D82" s="2">
        <v>120</v>
      </c>
      <c r="E82" s="1" t="s">
        <v>499</v>
      </c>
      <c r="F82" s="1"/>
    </row>
    <row r="83" spans="2:6" ht="16.5" customHeight="1">
      <c r="B83" s="1" t="s">
        <v>533</v>
      </c>
      <c r="C83" s="1" t="s">
        <v>534</v>
      </c>
      <c r="D83" s="3">
        <f>D74/D79</f>
        <v>0.83636363636363609</v>
      </c>
      <c r="E83" s="1" t="s">
        <v>181</v>
      </c>
      <c r="F83" s="101">
        <v>3</v>
      </c>
    </row>
    <row r="84" spans="2:6" ht="16.5" customHeight="1">
      <c r="B84" s="25"/>
      <c r="C84" s="1" t="s">
        <v>1020</v>
      </c>
      <c r="D84" s="49">
        <f>D83/IF(ISNUMBER(F83),F83,D83)</f>
        <v>0.2787878787878787</v>
      </c>
      <c r="E84" s="94" t="s">
        <v>181</v>
      </c>
      <c r="F84" s="25"/>
    </row>
    <row r="85" spans="2:6" ht="16.5" customHeight="1">
      <c r="B85" s="20" t="s">
        <v>131</v>
      </c>
      <c r="C85" s="20" t="s">
        <v>132</v>
      </c>
      <c r="D85" s="20" t="s">
        <v>133</v>
      </c>
      <c r="E85" s="20" t="s">
        <v>134</v>
      </c>
      <c r="F85" s="20" t="s">
        <v>266</v>
      </c>
    </row>
    <row r="86" spans="2:6" ht="16.5" customHeight="1">
      <c r="B86" s="1" t="s">
        <v>535</v>
      </c>
      <c r="C86" s="1" t="s">
        <v>536</v>
      </c>
      <c r="D86" s="49">
        <f>F83*D78</f>
        <v>82.500000000000014</v>
      </c>
      <c r="E86" s="1" t="s">
        <v>150</v>
      </c>
      <c r="F86" s="1"/>
    </row>
    <row r="87" spans="2:6" ht="16.5" customHeight="1">
      <c r="B87" s="1" t="s">
        <v>537</v>
      </c>
      <c r="C87" s="1" t="s">
        <v>538</v>
      </c>
      <c r="D87" s="49">
        <f>D86/D72*D73</f>
        <v>89.673913043478279</v>
      </c>
      <c r="E87" s="1" t="s">
        <v>150</v>
      </c>
      <c r="F87" s="1"/>
    </row>
    <row r="88" spans="2:6" ht="16.5" customHeight="1">
      <c r="B88" s="1" t="s">
        <v>539</v>
      </c>
      <c r="C88" s="1" t="s">
        <v>540</v>
      </c>
      <c r="D88" s="49">
        <f>D86/D72*D71</f>
        <v>48.423913043478272</v>
      </c>
      <c r="E88" s="1" t="s">
        <v>150</v>
      </c>
      <c r="F88" s="1"/>
    </row>
    <row r="89" spans="2:6" ht="16.5" customHeight="1">
      <c r="B89" s="1" t="s">
        <v>541</v>
      </c>
      <c r="C89" s="1" t="s">
        <v>542</v>
      </c>
      <c r="D89" s="49">
        <f>D88/F83</f>
        <v>16.14130434782609</v>
      </c>
      <c r="E89" s="1" t="s">
        <v>150</v>
      </c>
      <c r="F89" s="1"/>
    </row>
    <row r="90" spans="2:6" ht="16.5" customHeight="1">
      <c r="B90" s="1" t="s">
        <v>543</v>
      </c>
      <c r="C90" s="1" t="s">
        <v>544</v>
      </c>
      <c r="D90" s="49">
        <f>D72/D82*1000</f>
        <v>19.166666666666664</v>
      </c>
      <c r="E90" s="1" t="s">
        <v>452</v>
      </c>
      <c r="F90" s="2">
        <v>19</v>
      </c>
    </row>
    <row r="91" spans="2:6" ht="16.5" customHeight="1">
      <c r="B91" s="1" t="s">
        <v>545</v>
      </c>
      <c r="C91" s="1" t="s">
        <v>546</v>
      </c>
      <c r="D91" s="49">
        <f>(F90*D86/D72)-F90</f>
        <v>662.52173913043498</v>
      </c>
      <c r="E91" s="1" t="s">
        <v>452</v>
      </c>
      <c r="F91" s="2">
        <v>680</v>
      </c>
    </row>
    <row r="92" spans="2:6" ht="16.5" customHeight="1">
      <c r="B92" s="22"/>
      <c r="C92" s="22"/>
      <c r="D92" s="64"/>
      <c r="E92" s="22"/>
      <c r="F92" s="22"/>
    </row>
    <row r="93" spans="2:6" ht="16.5" customHeight="1">
      <c r="B93" s="20" t="s">
        <v>131</v>
      </c>
      <c r="C93" s="20" t="s">
        <v>132</v>
      </c>
      <c r="D93" s="20" t="s">
        <v>133</v>
      </c>
      <c r="E93" s="20" t="s">
        <v>134</v>
      </c>
      <c r="F93" s="102"/>
    </row>
    <row r="94" spans="2:6" ht="16.5" customHeight="1">
      <c r="B94" s="1" t="s">
        <v>547</v>
      </c>
      <c r="C94" s="1" t="s">
        <v>528</v>
      </c>
      <c r="D94" s="49">
        <f>(D72/F83)*((F91/F90)+1)</f>
        <v>28.205263157894734</v>
      </c>
      <c r="E94" s="1" t="s">
        <v>150</v>
      </c>
      <c r="F94" s="22"/>
    </row>
    <row r="95" spans="2:6" ht="16.5" customHeight="1">
      <c r="B95" s="1" t="s">
        <v>548</v>
      </c>
      <c r="C95" s="1" t="s">
        <v>530</v>
      </c>
      <c r="D95" s="49">
        <f>(D73/F83)*((F91/F90)+1)</f>
        <v>30.657894736842106</v>
      </c>
      <c r="E95" s="1" t="s">
        <v>150</v>
      </c>
      <c r="F95" s="22"/>
    </row>
    <row r="96" spans="2:6" ht="16.5" customHeight="1">
      <c r="B96" s="1" t="s">
        <v>549</v>
      </c>
      <c r="C96" s="1" t="s">
        <v>536</v>
      </c>
      <c r="D96" s="49">
        <f>F83*D94</f>
        <v>84.615789473684202</v>
      </c>
      <c r="E96" s="1" t="s">
        <v>150</v>
      </c>
      <c r="F96" s="22"/>
    </row>
    <row r="97" spans="2:15" ht="16.5" customHeight="1">
      <c r="B97" s="1" t="s">
        <v>550</v>
      </c>
      <c r="C97" s="1" t="s">
        <v>538</v>
      </c>
      <c r="D97" s="49">
        <f>F83*D95</f>
        <v>91.973684210526315</v>
      </c>
      <c r="E97" s="1" t="s">
        <v>150</v>
      </c>
      <c r="F97" s="22"/>
    </row>
    <row r="98" spans="2:15" ht="16.5" customHeight="1">
      <c r="B98" s="1" t="s">
        <v>551</v>
      </c>
      <c r="C98" s="1" t="s">
        <v>540</v>
      </c>
      <c r="D98" s="49">
        <f>(D96/D72)*(D71)</f>
        <v>49.665789473684214</v>
      </c>
      <c r="E98" s="1" t="s">
        <v>150</v>
      </c>
      <c r="F98" s="22"/>
    </row>
    <row r="99" spans="2:15" ht="16.5" customHeight="1">
      <c r="B99" s="1" t="s">
        <v>552</v>
      </c>
      <c r="C99" s="1" t="s">
        <v>542</v>
      </c>
      <c r="D99" s="49">
        <f>D98/F83</f>
        <v>16.555263157894739</v>
      </c>
      <c r="E99" s="1" t="s">
        <v>150</v>
      </c>
      <c r="F99" s="22"/>
    </row>
    <row r="100" spans="2:15" ht="16.5" customHeight="1">
      <c r="B100" s="1" t="s">
        <v>553</v>
      </c>
      <c r="C100" s="1" t="s">
        <v>554</v>
      </c>
      <c r="D100" s="49">
        <f>'Design Spec'!D95*F83</f>
        <v>75</v>
      </c>
      <c r="E100" s="1" t="s">
        <v>150</v>
      </c>
      <c r="F100" s="22"/>
    </row>
    <row r="101" spans="2:15" ht="16.5" customHeight="1">
      <c r="B101" s="22"/>
      <c r="C101" s="22"/>
      <c r="D101" s="22"/>
      <c r="E101" s="22"/>
      <c r="F101" s="22"/>
    </row>
    <row r="102" spans="2:15" ht="16.5" hidden="1" customHeight="1">
      <c r="B102" s="85" t="s">
        <v>555</v>
      </c>
      <c r="C102" s="85" t="s">
        <v>556</v>
      </c>
      <c r="D102" s="85">
        <f>'Design Spec'!D78</f>
        <v>90</v>
      </c>
      <c r="E102" s="85" t="s">
        <v>137</v>
      </c>
    </row>
    <row r="104" spans="2:15" ht="18.75" customHeight="1">
      <c r="B104" s="19" t="s">
        <v>557</v>
      </c>
    </row>
    <row r="105" spans="2:15" ht="6" customHeight="1">
      <c r="B105" s="21"/>
    </row>
    <row r="106" spans="2:15" ht="16.5" customHeight="1">
      <c r="B106" s="20" t="s">
        <v>131</v>
      </c>
      <c r="C106" s="20" t="s">
        <v>132</v>
      </c>
      <c r="D106" s="20" t="s">
        <v>133</v>
      </c>
      <c r="E106" s="20" t="s">
        <v>134</v>
      </c>
      <c r="F106" s="20" t="s">
        <v>266</v>
      </c>
      <c r="I106" s="90" t="s">
        <v>558</v>
      </c>
      <c r="J106" s="91"/>
      <c r="K106" s="91"/>
      <c r="L106" s="91"/>
      <c r="M106" s="91"/>
      <c r="N106" s="91"/>
      <c r="O106" s="92"/>
    </row>
    <row r="107" spans="2:15" ht="16.5" hidden="1" customHeight="1">
      <c r="B107" s="57" t="s">
        <v>559</v>
      </c>
      <c r="C107" s="57" t="s">
        <v>560</v>
      </c>
      <c r="D107" s="57">
        <v>4</v>
      </c>
      <c r="E107" s="57" t="s">
        <v>502</v>
      </c>
      <c r="F107" s="57"/>
    </row>
    <row r="108" spans="2:15" ht="16.5" customHeight="1">
      <c r="B108" s="1" t="s">
        <v>561</v>
      </c>
      <c r="C108" s="1" t="s">
        <v>562</v>
      </c>
      <c r="D108" s="49">
        <f>SQRT(2)*D102/D107</f>
        <v>31.81980515339464</v>
      </c>
      <c r="E108" s="1" t="s">
        <v>452</v>
      </c>
      <c r="F108" s="2">
        <v>30</v>
      </c>
      <c r="I108" s="11"/>
      <c r="J108" s="12"/>
      <c r="K108" s="12"/>
      <c r="L108" s="12"/>
      <c r="M108" s="12"/>
      <c r="N108" s="12"/>
      <c r="O108" s="13"/>
    </row>
    <row r="109" spans="2:15" ht="16.5" customHeight="1">
      <c r="B109" s="1" t="s">
        <v>563</v>
      </c>
      <c r="C109" s="1" t="s">
        <v>564</v>
      </c>
      <c r="D109" s="49">
        <f>F108*D107/SQRT(2)</f>
        <v>84.852813742385692</v>
      </c>
      <c r="E109" s="1" t="s">
        <v>150</v>
      </c>
      <c r="F109" s="1"/>
      <c r="I109" s="14"/>
      <c r="O109" s="15"/>
    </row>
    <row r="110" spans="2:15" ht="16.5" customHeight="1">
      <c r="B110" s="1" t="s">
        <v>565</v>
      </c>
      <c r="C110" s="203" t="str">
        <f>IF(OR('Design Spec'!D80=0,'Design Spec'!D80=1,'Design Spec'!D80=3),"Connect to driver","Short to GND")</f>
        <v>Connect to driver</v>
      </c>
      <c r="D110" s="203"/>
      <c r="E110" s="203"/>
      <c r="I110" s="14"/>
      <c r="O110" s="15"/>
    </row>
    <row r="111" spans="2:15" ht="15" customHeight="1">
      <c r="B111" s="1" t="s">
        <v>566</v>
      </c>
      <c r="C111" s="203" t="str">
        <f>IF('Design Spec'!D80=0,IF(F108&lt;47.5,"Morphing enabled","Check R.CFG value"),IF('Design Spec'!D80=1,"FB configuration",IF('Design Spec'!D80=3,IF(F108&gt;47.5,"FB at high mains configuration","Check R.CFG value"),"Forced HB configuration - Splitted Cr mandatory")))</f>
        <v>Morphing enabled</v>
      </c>
      <c r="D111" s="203"/>
      <c r="E111" s="203"/>
      <c r="F111" s="1"/>
      <c r="I111" s="14"/>
      <c r="O111" s="15"/>
    </row>
    <row r="112" spans="2:15" ht="16.5" customHeight="1">
      <c r="I112" s="14"/>
      <c r="O112" s="15"/>
    </row>
    <row r="113" spans="2:15" ht="18.75" customHeight="1">
      <c r="B113" s="28" t="s">
        <v>567</v>
      </c>
      <c r="C113" s="32"/>
      <c r="D113" s="32"/>
      <c r="E113" s="103"/>
      <c r="I113" s="14"/>
      <c r="O113" s="15"/>
    </row>
    <row r="114" spans="2:15" ht="16.5" customHeight="1">
      <c r="B114" s="14"/>
      <c r="E114" s="15"/>
      <c r="I114" s="14"/>
      <c r="O114" s="15"/>
    </row>
    <row r="115" spans="2:15" ht="16.5" customHeight="1">
      <c r="B115" s="14"/>
      <c r="E115" s="15"/>
      <c r="I115" s="14"/>
      <c r="O115" s="15"/>
    </row>
    <row r="116" spans="2:15" ht="16.5" customHeight="1">
      <c r="B116" s="14"/>
      <c r="E116" s="15"/>
      <c r="I116" s="14"/>
      <c r="O116" s="15"/>
    </row>
    <row r="117" spans="2:15" ht="16.5" customHeight="1">
      <c r="B117" s="14"/>
      <c r="E117" s="15"/>
      <c r="I117" s="14"/>
      <c r="O117" s="15"/>
    </row>
    <row r="118" spans="2:15" ht="16.5" customHeight="1">
      <c r="B118" s="14"/>
      <c r="E118" s="15"/>
      <c r="I118" s="16"/>
      <c r="J118" s="17"/>
      <c r="K118" s="17"/>
      <c r="L118" s="17"/>
      <c r="M118" s="17"/>
      <c r="N118" s="17"/>
      <c r="O118" s="18"/>
    </row>
    <row r="119" spans="2:15" ht="16.5" customHeight="1">
      <c r="B119" s="14"/>
      <c r="E119" s="15"/>
    </row>
    <row r="120" spans="2:15" ht="16.5" customHeight="1">
      <c r="B120" s="14"/>
      <c r="E120" s="15"/>
    </row>
    <row r="121" spans="2:15" ht="16.5" customHeight="1">
      <c r="B121" s="14"/>
      <c r="E121" s="15"/>
    </row>
    <row r="122" spans="2:15" ht="16.5" customHeight="1">
      <c r="B122" s="14"/>
      <c r="E122" s="15"/>
    </row>
    <row r="123" spans="2:15" ht="16.5" customHeight="1">
      <c r="B123" s="14"/>
      <c r="E123" s="15"/>
    </row>
    <row r="124" spans="2:15" ht="16.5" customHeight="1">
      <c r="B124" s="14"/>
      <c r="E124" s="15"/>
    </row>
    <row r="125" spans="2:15" ht="16.5" customHeight="1">
      <c r="B125" s="14"/>
      <c r="E125" s="15"/>
    </row>
    <row r="126" spans="2:15" ht="16.5" customHeight="1">
      <c r="B126" s="14"/>
      <c r="E126" s="15"/>
    </row>
    <row r="127" spans="2:15" ht="16.5" customHeight="1">
      <c r="B127" s="14"/>
      <c r="E127" s="15"/>
    </row>
    <row r="128" spans="2:15" ht="16.5" customHeight="1">
      <c r="B128" s="14"/>
      <c r="E128" s="15"/>
    </row>
    <row r="129" spans="2:5" ht="16.5" customHeight="1">
      <c r="B129" s="14"/>
      <c r="E129" s="15"/>
    </row>
    <row r="130" spans="2:5" ht="16.5" customHeight="1">
      <c r="B130" s="16"/>
      <c r="C130" s="17"/>
      <c r="D130" s="17"/>
      <c r="E130" s="18"/>
    </row>
  </sheetData>
  <mergeCells count="2">
    <mergeCell ref="C110:E110"/>
    <mergeCell ref="C111:E111"/>
  </mergeCells>
  <phoneticPr fontId="35" type="noConversion"/>
  <conditionalFormatting sqref="C111">
    <cfRule type="cellIs" dxfId="11" priority="2" operator="equal">
      <formula>"Check R.CFG value"</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B1:BX251"/>
  <sheetViews>
    <sheetView topLeftCell="A62" zoomScaleNormal="100" workbookViewId="0">
      <selection activeCell="G69" sqref="G69"/>
    </sheetView>
  </sheetViews>
  <sheetFormatPr defaultColWidth="8.75" defaultRowHeight="14.25"/>
  <cols>
    <col min="1" max="1" width="8.75" style="22"/>
    <col min="2" max="2" width="75" style="22" customWidth="1"/>
    <col min="3" max="3" width="13.125" style="22" customWidth="1"/>
    <col min="4" max="4" width="11.875" style="22" customWidth="1"/>
    <col min="5" max="5" width="8.75" style="22"/>
    <col min="6" max="6" width="18.625" style="22" customWidth="1"/>
    <col min="7" max="7" width="14.375" style="76" customWidth="1"/>
    <col min="8" max="8" width="21.75" style="76" customWidth="1"/>
    <col min="9" max="10" width="14.625" style="76" customWidth="1"/>
    <col min="11" max="14" width="15.875" style="76" customWidth="1"/>
    <col min="15" max="15" width="15.125" style="76" customWidth="1"/>
    <col min="16" max="16" width="14" style="76" customWidth="1"/>
    <col min="17" max="17" width="16" style="76" customWidth="1"/>
    <col min="18" max="19" width="16.75" style="76" customWidth="1"/>
    <col min="20" max="32" width="16.25" style="76" customWidth="1"/>
    <col min="33" max="36" width="16.75" style="76" customWidth="1"/>
    <col min="37" max="37" width="16.25" style="76" customWidth="1"/>
    <col min="38" max="38" width="16.75" style="76" customWidth="1"/>
    <col min="39" max="39" width="16.25" style="76" customWidth="1"/>
    <col min="40" max="42" width="16.75" style="76" customWidth="1"/>
    <col min="43" max="43" width="16.25" style="76" customWidth="1"/>
    <col min="44" max="45" width="16.75" style="76" customWidth="1"/>
    <col min="46" max="46" width="14.375" style="76" customWidth="1"/>
    <col min="47" max="47" width="18.25" style="76" customWidth="1"/>
    <col min="48" max="48" width="15.625" style="76" customWidth="1"/>
    <col min="49" max="49" width="13.25" style="76" customWidth="1"/>
    <col min="50" max="76" width="8.75" style="76"/>
    <col min="77" max="16384" width="8.75" style="22"/>
  </cols>
  <sheetData>
    <row r="1" spans="2:11" ht="14.25" hidden="1" customHeight="1"/>
    <row r="2" spans="2:11" ht="14.25" hidden="1" customHeight="1">
      <c r="B2" s="104" t="s">
        <v>568</v>
      </c>
      <c r="C2" s="104" t="s">
        <v>569</v>
      </c>
      <c r="D2" s="104">
        <f>'Design Spec'!D79</f>
        <v>264</v>
      </c>
      <c r="E2" s="104"/>
      <c r="F2" s="104"/>
    </row>
    <row r="3" spans="2:11" ht="14.25" hidden="1" customHeight="1">
      <c r="B3" s="104" t="s">
        <v>568</v>
      </c>
      <c r="C3" s="104" t="s">
        <v>570</v>
      </c>
      <c r="D3" s="104">
        <f>'Design Spec'!D83</f>
        <v>173.24116139070412</v>
      </c>
      <c r="E3" s="104"/>
      <c r="F3" s="104"/>
    </row>
    <row r="4" spans="2:11" ht="14.25" hidden="1" customHeight="1">
      <c r="B4" s="104" t="s">
        <v>568</v>
      </c>
      <c r="C4" s="104" t="s">
        <v>359</v>
      </c>
      <c r="D4" s="104">
        <f>'Design Spec'!D95</f>
        <v>25</v>
      </c>
      <c r="E4" s="104" t="s">
        <v>150</v>
      </c>
      <c r="F4" s="104"/>
    </row>
    <row r="5" spans="2:11" ht="14.25" hidden="1" customHeight="1">
      <c r="B5" s="104" t="s">
        <v>571</v>
      </c>
      <c r="C5" s="104" t="s">
        <v>374</v>
      </c>
      <c r="D5" s="104">
        <f>'Power Components'!D26*10^-6</f>
        <v>7.5200000000000003E-2</v>
      </c>
      <c r="E5" s="104" t="s">
        <v>572</v>
      </c>
      <c r="F5" s="104"/>
    </row>
    <row r="6" spans="2:11" ht="14.25" hidden="1" customHeight="1">
      <c r="B6" s="104" t="s">
        <v>568</v>
      </c>
      <c r="C6" s="104" t="s">
        <v>141</v>
      </c>
      <c r="D6" s="104">
        <f>'Design Spec'!D90</f>
        <v>50</v>
      </c>
      <c r="E6" s="104" t="s">
        <v>142</v>
      </c>
      <c r="F6" s="104"/>
    </row>
    <row r="7" spans="2:11" ht="14.25" hidden="1" customHeight="1">
      <c r="B7" s="104" t="s">
        <v>568</v>
      </c>
      <c r="C7" s="104" t="s">
        <v>573</v>
      </c>
      <c r="D7" s="104">
        <f>'Design Spec'!D91</f>
        <v>47</v>
      </c>
      <c r="E7" s="104" t="s">
        <v>142</v>
      </c>
      <c r="F7" s="104"/>
    </row>
    <row r="11" spans="2:11" ht="18" customHeight="1">
      <c r="B11" s="19" t="s">
        <v>574</v>
      </c>
    </row>
    <row r="12" spans="2:11" ht="6" customHeight="1">
      <c r="B12" s="105"/>
    </row>
    <row r="13" spans="2:11" ht="15" customHeight="1">
      <c r="B13" s="20" t="s">
        <v>131</v>
      </c>
      <c r="C13" s="20" t="s">
        <v>132</v>
      </c>
      <c r="D13" s="20" t="s">
        <v>133</v>
      </c>
      <c r="E13" s="20" t="s">
        <v>134</v>
      </c>
      <c r="H13" s="106" t="s">
        <v>575</v>
      </c>
      <c r="I13" s="107"/>
      <c r="J13" s="107"/>
      <c r="K13" s="108"/>
    </row>
    <row r="14" spans="2:11" ht="15" customHeight="1">
      <c r="B14" s="1" t="s">
        <v>971</v>
      </c>
      <c r="C14" s="1" t="s">
        <v>576</v>
      </c>
      <c r="D14" s="2">
        <v>12</v>
      </c>
      <c r="E14" s="1" t="s">
        <v>150</v>
      </c>
      <c r="H14" s="109"/>
      <c r="K14" s="110"/>
    </row>
    <row r="15" spans="2:11" ht="14.25" hidden="1" customHeight="1">
      <c r="B15" s="1" t="s">
        <v>577</v>
      </c>
      <c r="C15" s="1" t="s">
        <v>578</v>
      </c>
      <c r="D15" s="24">
        <v>300</v>
      </c>
      <c r="E15" s="1" t="s">
        <v>499</v>
      </c>
      <c r="H15" s="109"/>
      <c r="K15" s="110"/>
    </row>
    <row r="16" spans="2:11" ht="14.25" hidden="1" customHeight="1">
      <c r="B16" s="57" t="s">
        <v>579</v>
      </c>
      <c r="C16" s="57" t="s">
        <v>580</v>
      </c>
      <c r="D16" s="57">
        <v>150</v>
      </c>
      <c r="E16" s="57" t="s">
        <v>499</v>
      </c>
      <c r="H16" s="109"/>
      <c r="K16" s="110"/>
    </row>
    <row r="17" spans="2:11" ht="14.25" hidden="1" customHeight="1">
      <c r="B17" s="57" t="s">
        <v>581</v>
      </c>
      <c r="C17" s="57" t="s">
        <v>582</v>
      </c>
      <c r="D17" s="57">
        <v>35</v>
      </c>
      <c r="E17" s="57" t="s">
        <v>452</v>
      </c>
      <c r="H17" s="109"/>
      <c r="K17" s="110"/>
    </row>
    <row r="18" spans="2:11" ht="17.25" customHeight="1">
      <c r="B18" s="25"/>
      <c r="C18" s="25"/>
      <c r="D18" s="25"/>
      <c r="E18" s="25"/>
      <c r="H18" s="109"/>
      <c r="K18" s="110"/>
    </row>
    <row r="19" spans="2:11" ht="15.75" customHeight="1">
      <c r="B19" s="69" t="s">
        <v>583</v>
      </c>
      <c r="C19" s="202" t="s">
        <v>584</v>
      </c>
      <c r="D19" s="202"/>
      <c r="E19" s="202"/>
      <c r="H19" s="109"/>
      <c r="K19" s="110"/>
    </row>
    <row r="20" spans="2:11" ht="17.25" customHeight="1">
      <c r="B20" s="111"/>
      <c r="C20" s="25"/>
      <c r="D20" s="25"/>
      <c r="E20" s="25"/>
      <c r="H20" s="109"/>
      <c r="K20" s="110"/>
    </row>
    <row r="21" spans="2:11" ht="15.75" customHeight="1">
      <c r="B21" s="20" t="s">
        <v>131</v>
      </c>
      <c r="C21" s="20" t="s">
        <v>132</v>
      </c>
      <c r="D21" s="20" t="s">
        <v>133</v>
      </c>
      <c r="E21" s="20" t="s">
        <v>134</v>
      </c>
      <c r="H21" s="109"/>
      <c r="K21" s="110"/>
    </row>
    <row r="22" spans="2:11" ht="14.25" customHeight="1">
      <c r="B22" s="1" t="s">
        <v>585</v>
      </c>
      <c r="C22" s="1" t="s">
        <v>586</v>
      </c>
      <c r="D22" s="2">
        <v>2.4950000000000001</v>
      </c>
      <c r="E22" s="1" t="s">
        <v>150</v>
      </c>
      <c r="H22" s="109"/>
      <c r="K22" s="110"/>
    </row>
    <row r="23" spans="2:11" ht="16.5" customHeight="1">
      <c r="B23" s="1" t="s">
        <v>587</v>
      </c>
      <c r="C23" s="1" t="s">
        <v>588</v>
      </c>
      <c r="D23" s="2">
        <v>0.8</v>
      </c>
      <c r="E23" s="1" t="s">
        <v>455</v>
      </c>
      <c r="H23" s="109"/>
      <c r="K23" s="110"/>
    </row>
    <row r="24" spans="2:11" ht="14.25" customHeight="1">
      <c r="B24" s="25"/>
      <c r="C24" s="25"/>
      <c r="D24" s="25"/>
      <c r="E24" s="25"/>
      <c r="H24" s="109"/>
      <c r="K24" s="110"/>
    </row>
    <row r="25" spans="2:11" ht="15" customHeight="1">
      <c r="B25" s="69" t="s">
        <v>589</v>
      </c>
      <c r="C25" s="202" t="s">
        <v>1200</v>
      </c>
      <c r="D25" s="202"/>
      <c r="E25" s="202"/>
      <c r="H25" s="109"/>
      <c r="K25" s="110"/>
    </row>
    <row r="26" spans="2:11" ht="14.25" customHeight="1">
      <c r="B26" s="25"/>
      <c r="C26" s="25"/>
      <c r="D26" s="25"/>
      <c r="E26" s="25"/>
      <c r="H26" s="109"/>
      <c r="K26" s="110"/>
    </row>
    <row r="27" spans="2:11" ht="15.75" customHeight="1">
      <c r="B27" s="20" t="s">
        <v>131</v>
      </c>
      <c r="C27" s="20" t="s">
        <v>132</v>
      </c>
      <c r="D27" s="20" t="s">
        <v>133</v>
      </c>
      <c r="E27" s="20" t="s">
        <v>134</v>
      </c>
      <c r="H27" s="112"/>
      <c r="I27" s="113"/>
      <c r="J27" s="113"/>
      <c r="K27" s="114"/>
    </row>
    <row r="28" spans="2:11" ht="14.25" customHeight="1">
      <c r="B28" s="1" t="s">
        <v>590</v>
      </c>
      <c r="C28" s="1" t="s">
        <v>591</v>
      </c>
      <c r="D28" s="2">
        <v>1.1499999999999999</v>
      </c>
      <c r="E28" s="1" t="s">
        <v>150</v>
      </c>
    </row>
    <row r="29" spans="2:11" ht="14.25" customHeight="1">
      <c r="B29" s="1" t="s">
        <v>592</v>
      </c>
      <c r="C29" s="1" t="s">
        <v>593</v>
      </c>
      <c r="D29" s="2">
        <v>0.37</v>
      </c>
      <c r="E29" s="1"/>
    </row>
    <row r="30" spans="2:11" ht="14.25" customHeight="1">
      <c r="B30" s="1" t="s">
        <v>594</v>
      </c>
      <c r="C30" s="1" t="s">
        <v>595</v>
      </c>
      <c r="D30" s="2">
        <v>3</v>
      </c>
      <c r="E30" s="1" t="s">
        <v>200</v>
      </c>
    </row>
    <row r="31" spans="2:11" ht="14.25" customHeight="1">
      <c r="B31" s="1" t="s">
        <v>596</v>
      </c>
      <c r="C31" s="1" t="s">
        <v>597</v>
      </c>
      <c r="D31" s="2">
        <v>0.53</v>
      </c>
      <c r="E31" s="1" t="str">
        <f>"-"</f>
        <v>-</v>
      </c>
    </row>
    <row r="33" spans="2:6" ht="18" customHeight="1">
      <c r="B33" s="19" t="s">
        <v>598</v>
      </c>
    </row>
    <row r="34" spans="2:6" ht="6" customHeight="1">
      <c r="B34" s="19"/>
    </row>
    <row r="35" spans="2:6" ht="15.75" customHeight="1">
      <c r="B35" s="20" t="s">
        <v>131</v>
      </c>
      <c r="C35" s="20" t="s">
        <v>132</v>
      </c>
      <c r="D35" s="20" t="s">
        <v>133</v>
      </c>
      <c r="E35" s="20" t="s">
        <v>134</v>
      </c>
      <c r="F35" s="20" t="s">
        <v>145</v>
      </c>
    </row>
    <row r="36" spans="2:6" ht="14.25" customHeight="1">
      <c r="B36" s="1" t="s">
        <v>599</v>
      </c>
      <c r="C36" s="1" t="s">
        <v>600</v>
      </c>
      <c r="D36" s="93">
        <v>100</v>
      </c>
      <c r="E36" s="1" t="s">
        <v>452</v>
      </c>
      <c r="F36" s="1"/>
    </row>
    <row r="37" spans="2:6" ht="14.25" customHeight="1">
      <c r="B37" s="1" t="s">
        <v>601</v>
      </c>
      <c r="C37" s="1" t="s">
        <v>602</v>
      </c>
      <c r="D37" s="49">
        <f>D22/(D4-D22)*D36</f>
        <v>11.086425238835815</v>
      </c>
      <c r="E37" s="1" t="s">
        <v>452</v>
      </c>
      <c r="F37" s="2">
        <v>11</v>
      </c>
    </row>
    <row r="38" spans="2:6" ht="14.25" customHeight="1">
      <c r="B38" s="1" t="s">
        <v>1038</v>
      </c>
      <c r="C38" s="1" t="s">
        <v>359</v>
      </c>
      <c r="D38" s="49">
        <f>D22*(D36+F37)/F37</f>
        <v>25.176818181818181</v>
      </c>
      <c r="E38" s="1" t="s">
        <v>150</v>
      </c>
      <c r="F38" s="1"/>
    </row>
    <row r="39" spans="2:6" ht="14.25" customHeight="1">
      <c r="B39" s="25"/>
      <c r="C39" s="25"/>
      <c r="D39" s="25"/>
      <c r="E39" s="25"/>
      <c r="F39" s="25"/>
    </row>
    <row r="40" spans="2:6" ht="15.75" customHeight="1">
      <c r="B40" s="20" t="s">
        <v>131</v>
      </c>
      <c r="C40" s="20" t="s">
        <v>132</v>
      </c>
      <c r="D40" s="20" t="s">
        <v>133</v>
      </c>
      <c r="E40" s="20" t="s">
        <v>134</v>
      </c>
      <c r="F40" s="20" t="s">
        <v>145</v>
      </c>
    </row>
    <row r="41" spans="2:6" ht="14.25" customHeight="1">
      <c r="B41" s="1" t="s">
        <v>603</v>
      </c>
      <c r="C41" s="1" t="s">
        <v>604</v>
      </c>
      <c r="D41" s="49">
        <f>D28/D23</f>
        <v>1.4374999999999998</v>
      </c>
      <c r="E41" s="1" t="s">
        <v>452</v>
      </c>
      <c r="F41" s="2">
        <v>1.3</v>
      </c>
    </row>
    <row r="42" spans="2:6" ht="14.25" customHeight="1">
      <c r="B42" s="1" t="s">
        <v>605</v>
      </c>
      <c r="C42" s="1" t="s">
        <v>606</v>
      </c>
      <c r="D42" s="49">
        <f>(D14-(D22+D28))/(((D16*10^-6)/D29)+(D28/(F41*1000)))/1000</f>
        <v>6.476639806607575</v>
      </c>
      <c r="E42" s="1" t="s">
        <v>452</v>
      </c>
      <c r="F42" s="1"/>
    </row>
    <row r="43" spans="2:6" ht="14.25" customHeight="1">
      <c r="B43" s="1" t="s">
        <v>607</v>
      </c>
      <c r="C43" s="1" t="s">
        <v>608</v>
      </c>
      <c r="D43" s="49">
        <f>(D14-(D22+D28))/(((D15*10^-6)/D31)+(D28/(F41*1000)))/1000</f>
        <v>5.7594747373686852</v>
      </c>
      <c r="E43" s="1" t="s">
        <v>452</v>
      </c>
      <c r="F43" s="2">
        <v>6.2</v>
      </c>
    </row>
    <row r="44" spans="2:6" ht="14.25" customHeight="1">
      <c r="B44" s="1" t="s">
        <v>609</v>
      </c>
      <c r="C44" s="1" t="s">
        <v>610</v>
      </c>
      <c r="D44" s="49">
        <f>((D14-(D22+D28))/(F43*1000)-(D23*10^-3))*D31*(10^6)</f>
        <v>290.2177419354839</v>
      </c>
      <c r="E44" s="1" t="s">
        <v>499</v>
      </c>
      <c r="F44" s="1"/>
    </row>
    <row r="45" spans="2:6" ht="14.25" customHeight="1">
      <c r="D45" s="64"/>
    </row>
    <row r="46" spans="2:6" ht="14.25" hidden="1" customHeight="1">
      <c r="B46" s="99" t="s">
        <v>611</v>
      </c>
      <c r="C46" s="99" t="s">
        <v>612</v>
      </c>
      <c r="D46" s="115">
        <f>3.34*(10^-3)</f>
        <v>3.3400000000000001E-3</v>
      </c>
      <c r="E46" s="116" t="str">
        <f>"-"</f>
        <v>-</v>
      </c>
    </row>
    <row r="47" spans="2:6" ht="14.25" hidden="1" customHeight="1">
      <c r="B47" s="99" t="s">
        <v>611</v>
      </c>
      <c r="C47" s="99" t="s">
        <v>613</v>
      </c>
      <c r="D47" s="99">
        <v>0.2</v>
      </c>
      <c r="E47" s="99" t="s">
        <v>614</v>
      </c>
    </row>
    <row r="48" spans="2:6" ht="14.25" hidden="1" customHeight="1">
      <c r="B48" s="99" t="s">
        <v>611</v>
      </c>
      <c r="C48" s="99" t="s">
        <v>615</v>
      </c>
      <c r="D48" s="99">
        <v>0.2</v>
      </c>
      <c r="E48" s="99" t="s">
        <v>616</v>
      </c>
    </row>
    <row r="49" spans="2:6" ht="14.25" hidden="1" customHeight="1">
      <c r="B49" s="99" t="s">
        <v>617</v>
      </c>
      <c r="C49" s="99" t="s">
        <v>618</v>
      </c>
      <c r="D49" s="99">
        <v>0.5</v>
      </c>
      <c r="E49" s="99" t="s">
        <v>150</v>
      </c>
    </row>
    <row r="50" spans="2:6" ht="14.25" hidden="1" customHeight="1">
      <c r="D50" s="64"/>
    </row>
    <row r="51" spans="2:6" ht="14.25" hidden="1" customHeight="1">
      <c r="B51" s="104" t="s">
        <v>619</v>
      </c>
      <c r="C51" s="104" t="s">
        <v>257</v>
      </c>
      <c r="D51" s="117">
        <f>'Preliminary Calculation'!D17/100</f>
        <v>0.98</v>
      </c>
      <c r="E51" s="104"/>
      <c r="F51" s="104"/>
    </row>
    <row r="52" spans="2:6" ht="14.25" hidden="1" customHeight="1">
      <c r="B52" s="104" t="s">
        <v>620</v>
      </c>
      <c r="C52" s="104" t="s">
        <v>491</v>
      </c>
      <c r="D52" s="104">
        <f>'Device Setting'!D46*10^(-3)</f>
        <v>2.4E-2</v>
      </c>
      <c r="E52" s="104" t="s">
        <v>175</v>
      </c>
      <c r="F52" s="104"/>
    </row>
    <row r="54" spans="2:6" ht="14.25" customHeight="1">
      <c r="D54" s="64"/>
    </row>
    <row r="55" spans="2:6" ht="14.25" hidden="1" customHeight="1">
      <c r="D55" s="64"/>
    </row>
    <row r="56" spans="2:6" ht="18" customHeight="1">
      <c r="B56" s="19" t="s">
        <v>621</v>
      </c>
      <c r="D56" s="64"/>
    </row>
    <row r="57" spans="2:6" ht="6" customHeight="1">
      <c r="B57" s="19"/>
      <c r="D57" s="64"/>
    </row>
    <row r="58" spans="2:6" ht="15.75" customHeight="1">
      <c r="B58" s="20" t="s">
        <v>131</v>
      </c>
      <c r="C58" s="20" t="s">
        <v>132</v>
      </c>
      <c r="D58" s="20" t="s">
        <v>133</v>
      </c>
      <c r="E58" s="20" t="s">
        <v>134</v>
      </c>
    </row>
    <row r="59" spans="2:6" ht="14.25" customHeight="1">
      <c r="B59" s="1" t="s">
        <v>622</v>
      </c>
      <c r="C59" s="1" t="s">
        <v>623</v>
      </c>
      <c r="D59" s="2">
        <v>50</v>
      </c>
      <c r="E59" s="1" t="s">
        <v>624</v>
      </c>
    </row>
    <row r="60" spans="2:6" ht="14.25" customHeight="1">
      <c r="B60" s="1" t="s">
        <v>625</v>
      </c>
      <c r="C60" s="1" t="s">
        <v>626</v>
      </c>
      <c r="D60" s="2">
        <v>5</v>
      </c>
      <c r="E60" s="1" t="s">
        <v>155</v>
      </c>
    </row>
    <row r="61" spans="2:6" ht="14.25" customHeight="1">
      <c r="B61" s="1" t="s">
        <v>627</v>
      </c>
      <c r="C61" s="1" t="s">
        <v>628</v>
      </c>
      <c r="D61" s="1">
        <f>'Design Spec'!D98</f>
        <v>657.5</v>
      </c>
      <c r="E61" s="1" t="s">
        <v>161</v>
      </c>
    </row>
    <row r="63" spans="2:6" ht="15.75" customHeight="1">
      <c r="B63" s="20" t="s">
        <v>131</v>
      </c>
      <c r="C63" s="20" t="s">
        <v>132</v>
      </c>
      <c r="D63" s="20" t="s">
        <v>133</v>
      </c>
      <c r="E63" s="20" t="s">
        <v>134</v>
      </c>
      <c r="F63" s="102" t="s">
        <v>145</v>
      </c>
    </row>
    <row r="64" spans="2:6" ht="14.25" customHeight="1">
      <c r="B64" s="1" t="s">
        <v>629</v>
      </c>
      <c r="C64" s="1" t="s">
        <v>630</v>
      </c>
      <c r="D64" s="49">
        <f>(2*D46)/(D47*D48)*D61/D51*D52</f>
        <v>2.6890408163265302</v>
      </c>
      <c r="E64" s="1" t="s">
        <v>150</v>
      </c>
    </row>
    <row r="65" spans="2:6" ht="14.25" customHeight="1">
      <c r="B65" s="1" t="s">
        <v>631</v>
      </c>
      <c r="C65" s="1" t="s">
        <v>632</v>
      </c>
      <c r="D65" s="49">
        <f>(D61/D4)*(1/(2*PI()*D6))*(1/D5)</f>
        <v>1.1132380327970339</v>
      </c>
      <c r="E65" s="1" t="s">
        <v>150</v>
      </c>
    </row>
    <row r="66" spans="2:6" ht="14.25" customHeight="1">
      <c r="B66" s="1" t="s">
        <v>633</v>
      </c>
      <c r="C66" s="1" t="s">
        <v>634</v>
      </c>
      <c r="D66" s="49">
        <f>(D61/D4)*(1/(D64))*(1/D5)</f>
        <v>130.05903087442138</v>
      </c>
      <c r="E66" s="1" t="s">
        <v>142</v>
      </c>
    </row>
    <row r="67" spans="2:6" ht="14.25" customHeight="1">
      <c r="B67" s="1" t="s">
        <v>635</v>
      </c>
      <c r="C67" s="1" t="s">
        <v>636</v>
      </c>
      <c r="D67" s="49">
        <f>D64+D49</f>
        <v>3.1890408163265302</v>
      </c>
      <c r="E67" s="1" t="s">
        <v>150</v>
      </c>
    </row>
    <row r="68" spans="2:6" ht="14.25" customHeight="1">
      <c r="B68" s="1" t="s">
        <v>637</v>
      </c>
      <c r="C68" s="1" t="s">
        <v>638</v>
      </c>
      <c r="D68" s="49">
        <f>(D61/D4)*(1/(2*PI()*D7))*(1/D5)</f>
        <v>1.1842957795713125</v>
      </c>
      <c r="E68" s="1" t="s">
        <v>150</v>
      </c>
    </row>
    <row r="69" spans="2:6" ht="14.25" customHeight="1">
      <c r="D69" s="64"/>
    </row>
    <row r="70" spans="2:6" ht="15.75" customHeight="1">
      <c r="B70" s="20" t="s">
        <v>131</v>
      </c>
      <c r="C70" s="20" t="s">
        <v>132</v>
      </c>
      <c r="D70" s="20" t="s">
        <v>133</v>
      </c>
      <c r="E70" s="20" t="s">
        <v>134</v>
      </c>
    </row>
    <row r="71" spans="2:6" ht="14.25" customHeight="1">
      <c r="B71" s="54" t="s">
        <v>639</v>
      </c>
      <c r="C71" s="54" t="s">
        <v>640</v>
      </c>
      <c r="D71" s="55">
        <f>(D61/D4)*(1/(D64))*(1/D5)</f>
        <v>130.05903087442138</v>
      </c>
      <c r="E71" s="54" t="s">
        <v>142</v>
      </c>
    </row>
    <row r="72" spans="2:6" ht="14.25" customHeight="1">
      <c r="B72" s="54" t="s">
        <v>641</v>
      </c>
      <c r="C72" s="54" t="s">
        <v>642</v>
      </c>
      <c r="D72" s="55">
        <f>D71/(2*PI())</f>
        <v>20.699537657405592</v>
      </c>
      <c r="E72" s="54" t="s">
        <v>142</v>
      </c>
    </row>
    <row r="73" spans="2:6" ht="14.25" customHeight="1">
      <c r="B73" s="54" t="s">
        <v>643</v>
      </c>
      <c r="C73" s="54" t="s">
        <v>644</v>
      </c>
      <c r="D73" s="118">
        <f>4*(((D67-D49)*D60/100)/(D68))</f>
        <v>0.45411642306112082</v>
      </c>
      <c r="E73" s="54" t="str">
        <f>"-"</f>
        <v>-</v>
      </c>
    </row>
    <row r="74" spans="2:6" ht="14.25" customHeight="1">
      <c r="B74" s="54" t="s">
        <v>645</v>
      </c>
      <c r="C74" s="54" t="s">
        <v>646</v>
      </c>
      <c r="D74" s="55">
        <f>0.744*D2/D3</f>
        <v>1.1337721268043832</v>
      </c>
      <c r="E74" s="54" t="str">
        <f>"-"</f>
        <v>-</v>
      </c>
      <c r="F74" s="76"/>
    </row>
    <row r="75" spans="2:6" ht="14.25" customHeight="1">
      <c r="B75" s="76"/>
      <c r="C75" s="76"/>
      <c r="D75" s="76"/>
      <c r="E75" s="76"/>
      <c r="F75" s="76"/>
    </row>
    <row r="76" spans="2:6" ht="15.75" customHeight="1">
      <c r="B76" s="20" t="s">
        <v>131</v>
      </c>
      <c r="C76" s="20" t="s">
        <v>132</v>
      </c>
      <c r="D76" s="20" t="s">
        <v>133</v>
      </c>
      <c r="E76" s="20" t="s">
        <v>134</v>
      </c>
      <c r="F76" s="76"/>
    </row>
    <row r="77" spans="2:6" ht="14.25" customHeight="1">
      <c r="B77" s="54" t="s">
        <v>647</v>
      </c>
      <c r="C77" s="54" t="s">
        <v>648</v>
      </c>
      <c r="D77" s="54">
        <v>1.2</v>
      </c>
      <c r="E77" s="54" t="str">
        <f>"-"</f>
        <v>-</v>
      </c>
      <c r="F77" s="119" t="s">
        <v>649</v>
      </c>
    </row>
    <row r="78" spans="2:6" ht="14.25" customHeight="1">
      <c r="B78" s="54" t="s">
        <v>650</v>
      </c>
      <c r="C78" s="54" t="s">
        <v>651</v>
      </c>
      <c r="D78" s="55">
        <f>(1/(2*D77))*(((1+(D77^2))*(TAN((D59*PI()/180))))+((((1+(D77^2)*(TAN(D59*PI()/180)))^2)+(4*(D77^2)))^0.5))</f>
        <v>2.7218437818612142</v>
      </c>
      <c r="E78" s="54" t="str">
        <f>"-"</f>
        <v>-</v>
      </c>
    </row>
    <row r="80" spans="2:6" ht="18" customHeight="1">
      <c r="B80" s="19" t="s">
        <v>652</v>
      </c>
    </row>
    <row r="81" spans="2:7" ht="4.5" customHeight="1">
      <c r="B81" s="19"/>
    </row>
    <row r="82" spans="2:7" ht="15.75" customHeight="1">
      <c r="B82" s="20" t="s">
        <v>131</v>
      </c>
      <c r="C82" s="20" t="s">
        <v>132</v>
      </c>
      <c r="D82" s="20" t="s">
        <v>133</v>
      </c>
      <c r="E82" s="120" t="s">
        <v>134</v>
      </c>
      <c r="F82" s="121"/>
    </row>
    <row r="83" spans="2:7" ht="14.25" customHeight="1">
      <c r="B83" s="1" t="s">
        <v>653</v>
      </c>
      <c r="C83" s="1" t="s">
        <v>654</v>
      </c>
      <c r="D83" s="49">
        <f>2*PI()*(2*D7)*(D73)/(D78^2)</f>
        <v>36.203331683040517</v>
      </c>
      <c r="E83" s="122" t="s">
        <v>142</v>
      </c>
      <c r="F83" s="80"/>
    </row>
    <row r="84" spans="2:7" ht="14.25" customHeight="1">
      <c r="B84" s="1" t="s">
        <v>655</v>
      </c>
      <c r="C84" s="1" t="s">
        <v>656</v>
      </c>
      <c r="D84" s="49">
        <f>(1/(2*PI()))*((D71*1*D78*D83)/(D74))^0.5</f>
        <v>16.921286077289157</v>
      </c>
      <c r="E84" s="122" t="s">
        <v>142</v>
      </c>
      <c r="F84" s="80"/>
    </row>
    <row r="85" spans="2:7" ht="14.25" customHeight="1">
      <c r="B85" s="1" t="s">
        <v>657</v>
      </c>
      <c r="C85" s="1" t="s">
        <v>658</v>
      </c>
      <c r="D85" s="49">
        <f>D78*D84</f>
        <v>46.057097290564229</v>
      </c>
      <c r="E85" s="122" t="s">
        <v>142</v>
      </c>
      <c r="F85" s="80"/>
    </row>
    <row r="86" spans="2:7" ht="14.25" customHeight="1">
      <c r="B86" s="1" t="s">
        <v>659</v>
      </c>
      <c r="C86" s="1" t="s">
        <v>660</v>
      </c>
      <c r="D86" s="49">
        <f>1/D78*D84</f>
        <v>6.2168468999048407</v>
      </c>
      <c r="E86" s="122" t="s">
        <v>142</v>
      </c>
      <c r="F86" s="80"/>
    </row>
    <row r="87" spans="2:7" ht="14.25" customHeight="1">
      <c r="B87" s="54" t="s">
        <v>661</v>
      </c>
      <c r="C87" s="54" t="s">
        <v>662</v>
      </c>
      <c r="D87" s="123">
        <v>1000</v>
      </c>
      <c r="E87" s="124" t="s">
        <v>142</v>
      </c>
      <c r="F87" s="109"/>
    </row>
    <row r="90" spans="2:7" ht="18" customHeight="1">
      <c r="B90" s="19" t="s">
        <v>663</v>
      </c>
    </row>
    <row r="91" spans="2:7" ht="6" customHeight="1">
      <c r="B91" s="19"/>
    </row>
    <row r="92" spans="2:7" ht="15.75" customHeight="1">
      <c r="B92" s="20" t="s">
        <v>131</v>
      </c>
      <c r="C92" s="20" t="s">
        <v>132</v>
      </c>
      <c r="D92" s="20" t="s">
        <v>133</v>
      </c>
      <c r="E92" s="20" t="s">
        <v>134</v>
      </c>
      <c r="F92" s="20" t="s">
        <v>145</v>
      </c>
    </row>
    <row r="93" spans="2:7" ht="14.25" customHeight="1">
      <c r="B93" s="1" t="s">
        <v>664</v>
      </c>
      <c r="C93" s="1" t="s">
        <v>665</v>
      </c>
      <c r="D93" s="55">
        <f>(D86/D85)*((D29*D17)/(D36*F43*1000*D83))*10^9</f>
        <v>77.875912516452971</v>
      </c>
      <c r="E93" s="1" t="s">
        <v>200</v>
      </c>
      <c r="F93" s="2">
        <v>82</v>
      </c>
      <c r="G93" s="125"/>
    </row>
    <row r="94" spans="2:7" ht="14.25" customHeight="1">
      <c r="B94" s="1" t="s">
        <v>666</v>
      </c>
      <c r="C94" s="1" t="s">
        <v>667</v>
      </c>
      <c r="D94" s="49">
        <f>IF(F93,F93,D93)*((D85/D86)-1)</f>
        <v>525.49155297423772</v>
      </c>
      <c r="E94" s="1" t="s">
        <v>200</v>
      </c>
      <c r="F94" s="2">
        <v>560</v>
      </c>
      <c r="G94" s="125"/>
    </row>
    <row r="95" spans="2:7" ht="14.25" customHeight="1">
      <c r="B95" s="1" t="s">
        <v>668</v>
      </c>
      <c r="C95" s="54" t="s">
        <v>669</v>
      </c>
      <c r="D95" s="55">
        <f>1/(2*PI()*(D86*IF(F94,F94,D94)*(10^-9)))/1000</f>
        <v>45.715337710116671</v>
      </c>
      <c r="E95" s="54" t="s">
        <v>452</v>
      </c>
      <c r="F95" s="2">
        <v>47</v>
      </c>
      <c r="G95" s="125"/>
    </row>
    <row r="96" spans="2:7" ht="14.25" customHeight="1">
      <c r="B96" s="1" t="s">
        <v>670</v>
      </c>
      <c r="C96" s="1" t="s">
        <v>671</v>
      </c>
      <c r="D96" s="55">
        <f>((1/(2*PI()*D87*D17*1000))-(D30*10^-9))*(10^9)</f>
        <v>1.5472840883398662</v>
      </c>
      <c r="E96" s="1" t="s">
        <v>200</v>
      </c>
      <c r="F96" s="2">
        <v>1.55</v>
      </c>
      <c r="G96" s="125"/>
    </row>
    <row r="98" spans="2:5" ht="18" customHeight="1">
      <c r="B98" s="19" t="s">
        <v>672</v>
      </c>
    </row>
    <row r="99" spans="2:5" ht="4.5" customHeight="1">
      <c r="B99" s="19"/>
    </row>
    <row r="100" spans="2:5" ht="15.75" customHeight="1">
      <c r="B100" s="20" t="s">
        <v>131</v>
      </c>
      <c r="C100" s="20" t="s">
        <v>132</v>
      </c>
      <c r="D100" s="20" t="s">
        <v>133</v>
      </c>
      <c r="E100" s="20" t="s">
        <v>134</v>
      </c>
    </row>
    <row r="101" spans="2:5" ht="14.25" customHeight="1">
      <c r="B101" s="1" t="s">
        <v>673</v>
      </c>
      <c r="C101" s="1" t="s">
        <v>674</v>
      </c>
      <c r="D101" s="49">
        <f>D29*D17/((IF(F94,F94,D94)+IF(F93,F93,D93))*(F43*D36))*10^6</f>
        <v>32.534418651391817</v>
      </c>
      <c r="E101" s="1" t="s">
        <v>142</v>
      </c>
    </row>
    <row r="102" spans="2:5" ht="14.25" customHeight="1">
      <c r="B102" s="1" t="s">
        <v>675</v>
      </c>
      <c r="C102" s="1" t="s">
        <v>676</v>
      </c>
      <c r="D102" s="49">
        <f>1/(2*PI()*(IF(F95,F95,D95)*IF(F94,F94,D94)))*10^6</f>
        <v>6.0469203302391854</v>
      </c>
      <c r="E102" s="1" t="s">
        <v>142</v>
      </c>
    </row>
    <row r="103" spans="2:5" ht="14.25" customHeight="1">
      <c r="B103" s="1" t="s">
        <v>675</v>
      </c>
      <c r="C103" s="1" t="s">
        <v>677</v>
      </c>
      <c r="D103" s="49">
        <f>1/(((2*PI()*IF(F95,F95,D95)*1000)*((IF(F94,F94,D94)*IF(F93,F93,D93))*(10^(-9))/(IF(F93,F93,D93)+IF(F94,F94,D94)))))</f>
        <v>47.342961609921424</v>
      </c>
      <c r="E103" s="1" t="s">
        <v>142</v>
      </c>
    </row>
    <row r="104" spans="2:5" ht="14.25" customHeight="1">
      <c r="B104" s="1" t="s">
        <v>678</v>
      </c>
      <c r="C104" s="1" t="s">
        <v>679</v>
      </c>
      <c r="D104" s="49">
        <f>1/(2*PI()*D17*1000*((D30+IF(F96,F96,D96))*10^-9))</f>
        <v>999.40309633843231</v>
      </c>
      <c r="E104" s="1" t="s">
        <v>142</v>
      </c>
    </row>
    <row r="107" spans="2:5" ht="18" customHeight="1">
      <c r="B107" s="19" t="s">
        <v>680</v>
      </c>
    </row>
    <row r="108" spans="2:5" ht="4.5" customHeight="1">
      <c r="B108" s="19"/>
    </row>
    <row r="109" spans="2:5" ht="15.75" customHeight="1">
      <c r="B109" s="20" t="s">
        <v>131</v>
      </c>
      <c r="C109" s="20" t="s">
        <v>132</v>
      </c>
      <c r="D109" s="20" t="s">
        <v>133</v>
      </c>
      <c r="E109" s="20" t="s">
        <v>134</v>
      </c>
    </row>
    <row r="110" spans="2:5" ht="14.25" customHeight="1">
      <c r="B110" s="1" t="s">
        <v>140</v>
      </c>
      <c r="C110" s="1" t="s">
        <v>141</v>
      </c>
      <c r="D110" s="2">
        <v>47</v>
      </c>
      <c r="E110" s="1" t="s">
        <v>142</v>
      </c>
    </row>
    <row r="111" spans="2:5" ht="14.25" customHeight="1">
      <c r="B111" s="1" t="s">
        <v>681</v>
      </c>
      <c r="C111" s="1" t="s">
        <v>682</v>
      </c>
      <c r="D111" s="2">
        <v>100</v>
      </c>
      <c r="E111" s="1" t="s">
        <v>155</v>
      </c>
    </row>
    <row r="112" spans="2:5" ht="14.25" customHeight="1">
      <c r="B112" s="1" t="s">
        <v>627</v>
      </c>
      <c r="C112" s="1" t="s">
        <v>683</v>
      </c>
      <c r="D112" s="1">
        <f>'Design Spec'!D27*D111/100</f>
        <v>657.5</v>
      </c>
      <c r="E112" s="1" t="s">
        <v>161</v>
      </c>
    </row>
    <row r="114" spans="2:49" ht="15.75" customHeight="1">
      <c r="B114" s="20" t="s">
        <v>131</v>
      </c>
      <c r="C114" s="20" t="s">
        <v>132</v>
      </c>
      <c r="D114" s="20" t="s">
        <v>133</v>
      </c>
      <c r="E114" s="20" t="s">
        <v>134</v>
      </c>
      <c r="F114" s="126"/>
    </row>
    <row r="115" spans="2:49" ht="14.25" customHeight="1">
      <c r="B115" s="1" t="s">
        <v>635</v>
      </c>
      <c r="C115" s="1" t="s">
        <v>684</v>
      </c>
      <c r="D115" s="55">
        <f>(2*D46)/(D47*D48)*D112/D51*D52+D49</f>
        <v>3.1890408163265302</v>
      </c>
      <c r="E115" s="1" t="s">
        <v>150</v>
      </c>
      <c r="F115" s="126"/>
    </row>
    <row r="116" spans="2:49" ht="14.25" customHeight="1">
      <c r="B116" s="1" t="s">
        <v>685</v>
      </c>
      <c r="C116" s="1" t="s">
        <v>686</v>
      </c>
      <c r="D116" s="55">
        <f>(D112/D4)*(1/(2*PI()*D110))*(1/D5)</f>
        <v>1.1842957795713125</v>
      </c>
      <c r="E116" s="1" t="s">
        <v>150</v>
      </c>
      <c r="F116" s="126"/>
    </row>
    <row r="117" spans="2:49" ht="14.25" customHeight="1">
      <c r="B117" s="1" t="s">
        <v>687</v>
      </c>
      <c r="C117" s="1" t="s">
        <v>688</v>
      </c>
      <c r="D117" s="49">
        <f>(D112/D4)*(1/(((2*D46)/(D47*D48)*D112/D51*D52)))*(1/D5)</f>
        <v>130.05903087442138</v>
      </c>
      <c r="E117" s="1" t="s">
        <v>142</v>
      </c>
      <c r="F117" s="126"/>
    </row>
    <row r="118" spans="2:49" ht="14.25" customHeight="1">
      <c r="B118" s="1" t="s">
        <v>689</v>
      </c>
      <c r="C118" s="1" t="s">
        <v>690</v>
      </c>
      <c r="D118" s="49">
        <f>D117/(2*PI())</f>
        <v>20.699537657405592</v>
      </c>
      <c r="E118" s="1" t="s">
        <v>142</v>
      </c>
      <c r="F118" s="126"/>
    </row>
    <row r="119" spans="2:49" ht="14.25" customHeight="1">
      <c r="F119" s="126"/>
    </row>
    <row r="120" spans="2:49" ht="18" customHeight="1">
      <c r="B120" s="19" t="s">
        <v>691</v>
      </c>
      <c r="F120" s="126"/>
      <c r="H120" s="66"/>
      <c r="I120" s="66"/>
      <c r="J120" s="66"/>
      <c r="K120" s="66"/>
      <c r="L120" s="66"/>
      <c r="M120" s="66"/>
      <c r="N120" s="66"/>
      <c r="O120" s="66"/>
      <c r="P120" s="66"/>
      <c r="Q120" s="66"/>
      <c r="R120" s="66"/>
      <c r="S120" s="66"/>
      <c r="T120" s="66"/>
      <c r="U120" s="66"/>
      <c r="V120" s="66"/>
      <c r="W120" s="66"/>
      <c r="X120" s="66"/>
      <c r="Y120" s="66"/>
      <c r="Z120" s="66"/>
      <c r="AA120" s="66"/>
      <c r="AB120" s="66"/>
      <c r="AC120" s="66"/>
      <c r="AD120" s="66"/>
      <c r="AE120" s="66"/>
      <c r="AF120" s="66"/>
      <c r="AG120" s="66"/>
      <c r="AH120" s="66"/>
      <c r="AI120" s="66"/>
      <c r="AJ120" s="66"/>
      <c r="AK120" s="66"/>
      <c r="AL120" s="66"/>
      <c r="AM120" s="66"/>
      <c r="AN120" s="66"/>
      <c r="AO120" s="66"/>
      <c r="AP120" s="66"/>
      <c r="AQ120" s="66"/>
      <c r="AR120" s="66"/>
      <c r="AS120" s="66"/>
      <c r="AT120" s="127" t="s">
        <v>692</v>
      </c>
      <c r="AU120" s="66"/>
      <c r="AV120" s="127" t="s">
        <v>693</v>
      </c>
    </row>
    <row r="121" spans="2:49" ht="3" customHeight="1">
      <c r="B121" s="19"/>
      <c r="F121" s="126"/>
      <c r="H121" s="66"/>
      <c r="I121" s="66"/>
      <c r="J121" s="66"/>
      <c r="K121" s="66"/>
      <c r="L121" s="66"/>
      <c r="M121" s="66"/>
      <c r="N121" s="66"/>
      <c r="O121" s="66"/>
      <c r="P121" s="66"/>
      <c r="Q121" s="66"/>
      <c r="R121" s="66"/>
      <c r="S121" s="66"/>
      <c r="T121" s="66"/>
      <c r="U121" s="66"/>
      <c r="V121" s="66"/>
      <c r="W121" s="66"/>
      <c r="X121" s="66"/>
      <c r="Y121" s="66"/>
      <c r="Z121" s="66"/>
      <c r="AA121" s="66"/>
      <c r="AB121" s="66"/>
      <c r="AC121" s="66"/>
      <c r="AD121" s="66"/>
      <c r="AE121" s="66"/>
      <c r="AF121" s="66"/>
      <c r="AG121" s="66"/>
      <c r="AH121" s="66"/>
      <c r="AI121" s="66"/>
      <c r="AJ121" s="66"/>
      <c r="AK121" s="66"/>
      <c r="AL121" s="66"/>
      <c r="AM121" s="66"/>
      <c r="AN121" s="66"/>
      <c r="AO121" s="66"/>
      <c r="AP121" s="66"/>
      <c r="AQ121" s="66"/>
      <c r="AR121" s="66"/>
      <c r="AS121" s="66"/>
      <c r="AT121" s="127"/>
      <c r="AU121" s="66"/>
      <c r="AV121" s="127"/>
    </row>
    <row r="122" spans="2:49" ht="15.75" customHeight="1">
      <c r="B122" s="20" t="s">
        <v>131</v>
      </c>
      <c r="C122" s="20" t="s">
        <v>132</v>
      </c>
      <c r="D122" s="20" t="s">
        <v>133</v>
      </c>
      <c r="E122" s="20" t="s">
        <v>134</v>
      </c>
      <c r="F122" s="126"/>
      <c r="H122" s="127" t="s">
        <v>694</v>
      </c>
      <c r="I122" s="127">
        <v>0.1</v>
      </c>
      <c r="J122" s="127">
        <v>0.2</v>
      </c>
      <c r="K122" s="127">
        <v>0.3</v>
      </c>
      <c r="L122" s="127">
        <v>0.4</v>
      </c>
      <c r="M122" s="127">
        <v>0.5</v>
      </c>
      <c r="N122" s="127">
        <v>0.6</v>
      </c>
      <c r="O122" s="127">
        <v>0.7</v>
      </c>
      <c r="P122" s="127">
        <v>0.8</v>
      </c>
      <c r="Q122" s="127">
        <v>0.9</v>
      </c>
      <c r="R122" s="127">
        <v>1</v>
      </c>
      <c r="S122" s="127">
        <v>2</v>
      </c>
      <c r="T122" s="127">
        <v>3</v>
      </c>
      <c r="U122" s="127">
        <v>4</v>
      </c>
      <c r="V122" s="127">
        <v>5</v>
      </c>
      <c r="W122" s="127">
        <v>6</v>
      </c>
      <c r="X122" s="127">
        <v>7</v>
      </c>
      <c r="Y122" s="127">
        <v>8</v>
      </c>
      <c r="Z122" s="127">
        <v>9</v>
      </c>
      <c r="AA122" s="127">
        <v>10</v>
      </c>
      <c r="AB122" s="127">
        <v>20</v>
      </c>
      <c r="AC122" s="127">
        <v>30</v>
      </c>
      <c r="AD122" s="127">
        <v>40</v>
      </c>
      <c r="AE122" s="127">
        <v>50</v>
      </c>
      <c r="AF122" s="127">
        <v>60</v>
      </c>
      <c r="AG122" s="127">
        <v>70</v>
      </c>
      <c r="AH122" s="127">
        <v>80</v>
      </c>
      <c r="AI122" s="127">
        <v>90</v>
      </c>
      <c r="AJ122" s="127">
        <v>100</v>
      </c>
      <c r="AK122" s="127">
        <v>200</v>
      </c>
      <c r="AL122" s="127">
        <v>300</v>
      </c>
      <c r="AM122" s="127">
        <v>400</v>
      </c>
      <c r="AN122" s="127">
        <v>500</v>
      </c>
      <c r="AO122" s="127">
        <v>600</v>
      </c>
      <c r="AP122" s="127">
        <v>700</v>
      </c>
      <c r="AQ122" s="127">
        <v>800</v>
      </c>
      <c r="AR122" s="127">
        <v>900</v>
      </c>
      <c r="AS122" s="127">
        <v>1000</v>
      </c>
      <c r="AT122" s="128">
        <f>M167</f>
        <v>17.571272357553248</v>
      </c>
      <c r="AU122" s="127" t="s">
        <v>694</v>
      </c>
      <c r="AV122" s="127">
        <f>2*D110</f>
        <v>94</v>
      </c>
      <c r="AW122" s="129" t="s">
        <v>142</v>
      </c>
    </row>
    <row r="123" spans="2:49" ht="15.75" customHeight="1">
      <c r="B123" s="1" t="s">
        <v>695</v>
      </c>
      <c r="C123" s="1" t="s">
        <v>696</v>
      </c>
      <c r="D123" s="55">
        <f>M167</f>
        <v>17.571272357553248</v>
      </c>
      <c r="E123" s="1" t="s">
        <v>142</v>
      </c>
      <c r="F123" s="126"/>
      <c r="H123" s="127" t="s">
        <v>697</v>
      </c>
      <c r="I123" s="130">
        <f t="shared" ref="I123:AT123" si="0">$D$117/(2*PI()*I122)</f>
        <v>206.99537657405594</v>
      </c>
      <c r="J123" s="130">
        <f t="shared" si="0"/>
        <v>103.49768828702797</v>
      </c>
      <c r="K123" s="130">
        <f t="shared" si="0"/>
        <v>68.998458858018651</v>
      </c>
      <c r="L123" s="130">
        <f t="shared" si="0"/>
        <v>51.748844143513985</v>
      </c>
      <c r="M123" s="130">
        <f t="shared" si="0"/>
        <v>41.399075314811185</v>
      </c>
      <c r="N123" s="130">
        <f t="shared" si="0"/>
        <v>34.499229429009326</v>
      </c>
      <c r="O123" s="130">
        <f t="shared" si="0"/>
        <v>29.570768082007991</v>
      </c>
      <c r="P123" s="130">
        <f t="shared" si="0"/>
        <v>25.874422071756992</v>
      </c>
      <c r="Q123" s="130">
        <f t="shared" si="0"/>
        <v>22.999486286006217</v>
      </c>
      <c r="R123" s="130">
        <f t="shared" si="0"/>
        <v>20.699537657405592</v>
      </c>
      <c r="S123" s="130">
        <f t="shared" si="0"/>
        <v>10.349768828702796</v>
      </c>
      <c r="T123" s="130">
        <f t="shared" si="0"/>
        <v>6.8998458858018648</v>
      </c>
      <c r="U123" s="130">
        <f t="shared" si="0"/>
        <v>5.1748844143513981</v>
      </c>
      <c r="V123" s="130">
        <f t="shared" si="0"/>
        <v>4.1399075314811187</v>
      </c>
      <c r="W123" s="130">
        <f t="shared" si="0"/>
        <v>3.4499229429009324</v>
      </c>
      <c r="X123" s="130">
        <f t="shared" si="0"/>
        <v>2.957076808200799</v>
      </c>
      <c r="Y123" s="130">
        <f t="shared" si="0"/>
        <v>2.5874422071756991</v>
      </c>
      <c r="Z123" s="130">
        <f t="shared" si="0"/>
        <v>2.2999486286006214</v>
      </c>
      <c r="AA123" s="130">
        <f t="shared" si="0"/>
        <v>2.0699537657405593</v>
      </c>
      <c r="AB123" s="130">
        <f t="shared" si="0"/>
        <v>1.0349768828702797</v>
      </c>
      <c r="AC123" s="130">
        <f t="shared" si="0"/>
        <v>0.68998458858018652</v>
      </c>
      <c r="AD123" s="130">
        <f t="shared" si="0"/>
        <v>0.51748844143513983</v>
      </c>
      <c r="AE123" s="130">
        <f t="shared" si="0"/>
        <v>0.41399075314811185</v>
      </c>
      <c r="AF123" s="130">
        <f t="shared" si="0"/>
        <v>0.34499229429009326</v>
      </c>
      <c r="AG123" s="130">
        <f t="shared" si="0"/>
        <v>0.29570768082007992</v>
      </c>
      <c r="AH123" s="130">
        <f t="shared" si="0"/>
        <v>0.25874422071756992</v>
      </c>
      <c r="AI123" s="130">
        <f t="shared" si="0"/>
        <v>0.22999486286006215</v>
      </c>
      <c r="AJ123" s="130">
        <f t="shared" si="0"/>
        <v>0.20699537657405592</v>
      </c>
      <c r="AK123" s="130">
        <f t="shared" si="0"/>
        <v>0.10349768828702796</v>
      </c>
      <c r="AL123" s="130">
        <f t="shared" si="0"/>
        <v>6.8998458858018655E-2</v>
      </c>
      <c r="AM123" s="130">
        <f t="shared" si="0"/>
        <v>5.1748844143513981E-2</v>
      </c>
      <c r="AN123" s="130">
        <f t="shared" si="0"/>
        <v>4.1399075314811191E-2</v>
      </c>
      <c r="AO123" s="130">
        <f t="shared" si="0"/>
        <v>3.4499229429009327E-2</v>
      </c>
      <c r="AP123" s="130">
        <f t="shared" si="0"/>
        <v>2.9570768082007995E-2</v>
      </c>
      <c r="AQ123" s="130">
        <f t="shared" si="0"/>
        <v>2.587442207175699E-2</v>
      </c>
      <c r="AR123" s="130">
        <f t="shared" si="0"/>
        <v>2.2999486286006215E-2</v>
      </c>
      <c r="AS123" s="130">
        <f t="shared" si="0"/>
        <v>2.0699537657405596E-2</v>
      </c>
      <c r="AT123" s="130">
        <f t="shared" si="0"/>
        <v>1.1780329412802948</v>
      </c>
      <c r="AU123" s="127" t="s">
        <v>697</v>
      </c>
      <c r="AV123" s="66"/>
    </row>
    <row r="124" spans="2:49" ht="15.75" customHeight="1">
      <c r="B124" s="1" t="s">
        <v>698</v>
      </c>
      <c r="C124" s="1" t="s">
        <v>699</v>
      </c>
      <c r="D124" s="55">
        <f>180+AT139</f>
        <v>49.640184710194404</v>
      </c>
      <c r="E124" s="1" t="s">
        <v>700</v>
      </c>
      <c r="F124" s="126"/>
      <c r="H124" s="127"/>
      <c r="I124" s="130"/>
      <c r="J124" s="130"/>
      <c r="K124" s="130"/>
      <c r="L124" s="130"/>
      <c r="M124" s="130"/>
      <c r="N124" s="130"/>
      <c r="O124" s="130"/>
      <c r="P124" s="130"/>
      <c r="Q124" s="130"/>
      <c r="R124" s="130"/>
      <c r="S124" s="130"/>
      <c r="T124" s="130"/>
      <c r="U124" s="130"/>
      <c r="V124" s="130"/>
      <c r="W124" s="130"/>
      <c r="X124" s="130"/>
      <c r="Y124" s="130"/>
      <c r="Z124" s="130"/>
      <c r="AA124" s="130"/>
      <c r="AB124" s="130"/>
      <c r="AC124" s="130"/>
      <c r="AD124" s="130"/>
      <c r="AE124" s="130"/>
      <c r="AF124" s="130"/>
      <c r="AG124" s="130"/>
      <c r="AH124" s="130"/>
      <c r="AI124" s="130"/>
      <c r="AJ124" s="130"/>
      <c r="AK124" s="130"/>
      <c r="AL124" s="130"/>
      <c r="AM124" s="130"/>
      <c r="AN124" s="130"/>
      <c r="AO124" s="130"/>
      <c r="AP124" s="130"/>
      <c r="AQ124" s="130"/>
      <c r="AR124" s="130"/>
      <c r="AS124" s="130"/>
      <c r="AT124" s="131"/>
      <c r="AU124" s="127"/>
      <c r="AV124" s="66"/>
    </row>
    <row r="125" spans="2:49" ht="15.75" customHeight="1">
      <c r="B125" s="1" t="s">
        <v>701</v>
      </c>
      <c r="C125" s="1" t="s">
        <v>702</v>
      </c>
      <c r="D125" s="3">
        <f>AV132</f>
        <v>0.38428239637226341</v>
      </c>
      <c r="E125" s="54" t="str">
        <f>"-"</f>
        <v>-</v>
      </c>
      <c r="F125" s="126"/>
      <c r="H125" s="127"/>
      <c r="I125" s="130"/>
      <c r="J125" s="130"/>
      <c r="K125" s="130"/>
      <c r="L125" s="130"/>
      <c r="M125" s="130"/>
      <c r="N125" s="130"/>
      <c r="O125" s="130"/>
      <c r="P125" s="130"/>
      <c r="Q125" s="130"/>
      <c r="R125" s="130"/>
      <c r="S125" s="130"/>
      <c r="T125" s="130"/>
      <c r="U125" s="130"/>
      <c r="V125" s="130"/>
      <c r="W125" s="130"/>
      <c r="X125" s="130"/>
      <c r="Y125" s="130"/>
      <c r="Z125" s="130"/>
      <c r="AA125" s="130"/>
      <c r="AB125" s="130"/>
      <c r="AC125" s="130"/>
      <c r="AD125" s="130"/>
      <c r="AE125" s="130"/>
      <c r="AF125" s="130"/>
      <c r="AG125" s="130"/>
      <c r="AH125" s="130"/>
      <c r="AI125" s="130"/>
      <c r="AJ125" s="130"/>
      <c r="AK125" s="130"/>
      <c r="AL125" s="130"/>
      <c r="AM125" s="130"/>
      <c r="AN125" s="130"/>
      <c r="AO125" s="130"/>
      <c r="AP125" s="130"/>
      <c r="AQ125" s="130"/>
      <c r="AR125" s="130"/>
      <c r="AS125" s="130"/>
      <c r="AT125" s="131"/>
      <c r="AU125" s="127"/>
      <c r="AV125" s="66"/>
    </row>
    <row r="126" spans="2:49" ht="15.75" customHeight="1">
      <c r="B126" s="1" t="s">
        <v>703</v>
      </c>
      <c r="C126" s="1" t="s">
        <v>704</v>
      </c>
      <c r="D126" s="49">
        <f>D125*D116/(4*(D115-D49))*100</f>
        <v>4.2310999653115573</v>
      </c>
      <c r="E126" s="1" t="s">
        <v>155</v>
      </c>
      <c r="F126" s="126"/>
      <c r="H126" s="127" t="s">
        <v>705</v>
      </c>
      <c r="I126" s="131">
        <f t="shared" ref="I126:AT126" si="1">20*LOG10(I123)</f>
        <v>46.31921290423022</v>
      </c>
      <c r="J126" s="131">
        <f t="shared" si="1"/>
        <v>40.298612990950595</v>
      </c>
      <c r="K126" s="131">
        <f t="shared" si="1"/>
        <v>36.776787809836968</v>
      </c>
      <c r="L126" s="131">
        <f t="shared" si="1"/>
        <v>34.27801307767097</v>
      </c>
      <c r="M126" s="131">
        <f t="shared" si="1"/>
        <v>32.339812817509838</v>
      </c>
      <c r="N126" s="131">
        <f t="shared" si="1"/>
        <v>30.756187896557343</v>
      </c>
      <c r="O126" s="131">
        <f t="shared" si="1"/>
        <v>29.417252103945074</v>
      </c>
      <c r="P126" s="131">
        <f t="shared" si="1"/>
        <v>28.257413164391345</v>
      </c>
      <c r="Q126" s="131">
        <f t="shared" si="1"/>
        <v>27.234362715443719</v>
      </c>
      <c r="R126" s="131">
        <f t="shared" si="1"/>
        <v>26.319212904230213</v>
      </c>
      <c r="S126" s="131">
        <f t="shared" si="1"/>
        <v>20.298612990950588</v>
      </c>
      <c r="T126" s="131">
        <f t="shared" si="1"/>
        <v>16.776787809836968</v>
      </c>
      <c r="U126" s="131">
        <f t="shared" si="1"/>
        <v>14.278013077670966</v>
      </c>
      <c r="V126" s="131">
        <f t="shared" si="1"/>
        <v>12.339812817509838</v>
      </c>
      <c r="W126" s="131">
        <f t="shared" si="1"/>
        <v>10.756187896557341</v>
      </c>
      <c r="X126" s="131">
        <f t="shared" si="1"/>
        <v>9.4172521039450778</v>
      </c>
      <c r="Y126" s="131">
        <f t="shared" si="1"/>
        <v>8.2574131643913411</v>
      </c>
      <c r="Z126" s="131">
        <f t="shared" si="1"/>
        <v>7.2343627154437158</v>
      </c>
      <c r="AA126" s="131">
        <f t="shared" si="1"/>
        <v>6.3192129042302136</v>
      </c>
      <c r="AB126" s="131">
        <f t="shared" si="1"/>
        <v>0.2986129909505898</v>
      </c>
      <c r="AC126" s="131">
        <f t="shared" si="1"/>
        <v>-3.223212190163034</v>
      </c>
      <c r="AD126" s="131">
        <f t="shared" si="1"/>
        <v>-5.7219869223290338</v>
      </c>
      <c r="AE126" s="131">
        <f t="shared" si="1"/>
        <v>-7.6601871824901622</v>
      </c>
      <c r="AF126" s="131">
        <f t="shared" si="1"/>
        <v>-9.2438121034426572</v>
      </c>
      <c r="AG126" s="131">
        <f t="shared" si="1"/>
        <v>-10.582747896054922</v>
      </c>
      <c r="AH126" s="131">
        <f t="shared" si="1"/>
        <v>-11.742586835608657</v>
      </c>
      <c r="AI126" s="131">
        <f t="shared" si="1"/>
        <v>-12.765637284556284</v>
      </c>
      <c r="AJ126" s="131">
        <f t="shared" si="1"/>
        <v>-13.680787095769787</v>
      </c>
      <c r="AK126" s="131">
        <f t="shared" si="1"/>
        <v>-19.701387009049412</v>
      </c>
      <c r="AL126" s="131">
        <f t="shared" si="1"/>
        <v>-23.223212190163032</v>
      </c>
      <c r="AM126" s="131">
        <f t="shared" si="1"/>
        <v>-25.721986922329037</v>
      </c>
      <c r="AN126" s="131">
        <f t="shared" si="1"/>
        <v>-27.660187182490162</v>
      </c>
      <c r="AO126" s="131">
        <f t="shared" si="1"/>
        <v>-29.243812103442657</v>
      </c>
      <c r="AP126" s="131">
        <f t="shared" si="1"/>
        <v>-30.582747896054919</v>
      </c>
      <c r="AQ126" s="131">
        <f t="shared" si="1"/>
        <v>-31.742586835608655</v>
      </c>
      <c r="AR126" s="131">
        <f t="shared" si="1"/>
        <v>-32.765637284556284</v>
      </c>
      <c r="AS126" s="131">
        <f t="shared" si="1"/>
        <v>-33.680787095769787</v>
      </c>
      <c r="AT126" s="131">
        <f t="shared" si="1"/>
        <v>1.4231486955451706</v>
      </c>
      <c r="AU126" s="127" t="s">
        <v>705</v>
      </c>
      <c r="AV126" s="66"/>
    </row>
    <row r="127" spans="2:49" ht="15.75" customHeight="1">
      <c r="F127" s="126"/>
      <c r="H127" s="127" t="s">
        <v>706</v>
      </c>
      <c r="I127" s="127">
        <v>-90</v>
      </c>
      <c r="J127" s="127">
        <v>-90</v>
      </c>
      <c r="K127" s="127">
        <v>-90</v>
      </c>
      <c r="L127" s="127">
        <v>-90</v>
      </c>
      <c r="M127" s="127">
        <v>-90</v>
      </c>
      <c r="N127" s="127">
        <v>-90</v>
      </c>
      <c r="O127" s="127">
        <v>-90</v>
      </c>
      <c r="P127" s="127">
        <v>-90</v>
      </c>
      <c r="Q127" s="127">
        <v>-90</v>
      </c>
      <c r="R127" s="127">
        <v>-90</v>
      </c>
      <c r="S127" s="127">
        <v>-90</v>
      </c>
      <c r="T127" s="127">
        <v>-90</v>
      </c>
      <c r="U127" s="127">
        <v>-90</v>
      </c>
      <c r="V127" s="127">
        <v>-90</v>
      </c>
      <c r="W127" s="127">
        <v>-90</v>
      </c>
      <c r="X127" s="127">
        <v>-90</v>
      </c>
      <c r="Y127" s="127">
        <v>-90</v>
      </c>
      <c r="Z127" s="127">
        <v>-90</v>
      </c>
      <c r="AA127" s="127">
        <v>-90</v>
      </c>
      <c r="AB127" s="127">
        <v>-90</v>
      </c>
      <c r="AC127" s="127">
        <v>-90</v>
      </c>
      <c r="AD127" s="127">
        <v>-90</v>
      </c>
      <c r="AE127" s="127">
        <v>-90</v>
      </c>
      <c r="AF127" s="127">
        <v>-90</v>
      </c>
      <c r="AG127" s="127">
        <v>-90</v>
      </c>
      <c r="AH127" s="127">
        <v>-90</v>
      </c>
      <c r="AI127" s="127">
        <v>-90</v>
      </c>
      <c r="AJ127" s="127">
        <v>-90</v>
      </c>
      <c r="AK127" s="127">
        <v>-90</v>
      </c>
      <c r="AL127" s="127">
        <v>-90</v>
      </c>
      <c r="AM127" s="127">
        <v>-90</v>
      </c>
      <c r="AN127" s="127">
        <v>-90</v>
      </c>
      <c r="AO127" s="127">
        <v>-90</v>
      </c>
      <c r="AP127" s="127">
        <v>-90</v>
      </c>
      <c r="AQ127" s="127">
        <v>-90</v>
      </c>
      <c r="AR127" s="127">
        <v>-90</v>
      </c>
      <c r="AS127" s="127">
        <v>-90</v>
      </c>
      <c r="AT127" s="127">
        <v>-90</v>
      </c>
      <c r="AU127" s="127" t="s">
        <v>706</v>
      </c>
      <c r="AV127" s="66"/>
    </row>
    <row r="128" spans="2:49" ht="15.75" customHeight="1">
      <c r="B128" s="1" t="s">
        <v>707</v>
      </c>
      <c r="C128" s="1" t="s">
        <v>708</v>
      </c>
      <c r="D128" s="49">
        <f>('Device Setting'!D57/D4)*(1/(2*PI()*D110))*(1/D5)*D125*1000</f>
        <v>51.913006105006289</v>
      </c>
      <c r="E128" s="1" t="s">
        <v>386</v>
      </c>
      <c r="F128" s="126"/>
      <c r="H128" s="127"/>
      <c r="I128" s="127"/>
      <c r="J128" s="127"/>
      <c r="K128" s="127"/>
      <c r="L128" s="127"/>
      <c r="M128" s="127"/>
      <c r="N128" s="127"/>
      <c r="O128" s="127"/>
      <c r="P128" s="127"/>
      <c r="Q128" s="127"/>
      <c r="R128" s="127"/>
      <c r="S128" s="127"/>
      <c r="T128" s="127"/>
      <c r="U128" s="127"/>
      <c r="V128" s="127"/>
      <c r="W128" s="127"/>
      <c r="X128" s="127"/>
      <c r="Y128" s="127"/>
      <c r="Z128" s="127"/>
      <c r="AA128" s="127"/>
      <c r="AB128" s="127"/>
      <c r="AC128" s="127"/>
      <c r="AD128" s="127"/>
      <c r="AE128" s="127"/>
      <c r="AF128" s="127"/>
      <c r="AG128" s="127"/>
      <c r="AH128" s="127"/>
      <c r="AI128" s="127"/>
      <c r="AJ128" s="127"/>
      <c r="AK128" s="127"/>
      <c r="AL128" s="127"/>
      <c r="AM128" s="127"/>
      <c r="AN128" s="127"/>
      <c r="AO128" s="127"/>
      <c r="AP128" s="127"/>
      <c r="AQ128" s="127"/>
      <c r="AR128" s="127"/>
      <c r="AS128" s="127"/>
      <c r="AT128" s="127"/>
      <c r="AU128" s="127"/>
      <c r="AV128" s="66"/>
    </row>
    <row r="129" spans="2:49" ht="15.75" customHeight="1">
      <c r="B129" s="1" t="s">
        <v>709</v>
      </c>
      <c r="C129" s="1" t="s">
        <v>710</v>
      </c>
      <c r="D129" s="49">
        <f>D128/(1000*2*0.01)</f>
        <v>2.5956503052503144</v>
      </c>
      <c r="E129" s="54" t="s">
        <v>452</v>
      </c>
      <c r="F129" s="126"/>
      <c r="H129" s="66"/>
      <c r="I129" s="66"/>
      <c r="J129" s="66"/>
      <c r="K129" s="66"/>
      <c r="L129" s="66"/>
      <c r="M129" s="66"/>
      <c r="N129" s="66"/>
      <c r="O129" s="66"/>
      <c r="P129" s="66"/>
      <c r="Q129" s="66"/>
      <c r="R129" s="66"/>
      <c r="S129" s="66"/>
      <c r="T129" s="66"/>
      <c r="U129" s="66"/>
      <c r="V129" s="66"/>
      <c r="W129" s="66"/>
      <c r="X129" s="66"/>
      <c r="Y129" s="66"/>
      <c r="Z129" s="66"/>
      <c r="AA129" s="66"/>
      <c r="AB129" s="66"/>
      <c r="AC129" s="66"/>
      <c r="AD129" s="66"/>
      <c r="AE129" s="66"/>
      <c r="AF129" s="66"/>
      <c r="AG129" s="66"/>
      <c r="AH129" s="66"/>
      <c r="AI129" s="66"/>
      <c r="AJ129" s="66"/>
      <c r="AK129" s="66"/>
      <c r="AL129" s="66"/>
      <c r="AM129" s="66"/>
      <c r="AN129" s="66"/>
      <c r="AO129" s="66"/>
      <c r="AP129" s="66"/>
      <c r="AQ129" s="66"/>
      <c r="AR129" s="66"/>
      <c r="AS129" s="66"/>
      <c r="AT129" s="127"/>
      <c r="AU129" s="66"/>
      <c r="AV129" s="66"/>
    </row>
    <row r="130" spans="2:49" ht="15.75" customHeight="1">
      <c r="C130" s="1" t="s">
        <v>1021</v>
      </c>
      <c r="D130" s="55">
        <f>SQRT(D103*D104-D102*(D103+D104))</f>
        <v>202.44780167831257</v>
      </c>
      <c r="E130" s="1" t="s">
        <v>142</v>
      </c>
      <c r="F130" s="126"/>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c r="AE130" s="66"/>
      <c r="AF130" s="66"/>
      <c r="AG130" s="66"/>
      <c r="AH130" s="66"/>
      <c r="AI130" s="66"/>
      <c r="AJ130" s="66"/>
      <c r="AK130" s="66"/>
      <c r="AL130" s="66"/>
      <c r="AM130" s="66"/>
      <c r="AN130" s="66"/>
      <c r="AO130" s="66"/>
      <c r="AP130" s="66"/>
      <c r="AQ130" s="66"/>
      <c r="AR130" s="66"/>
      <c r="AS130" s="66"/>
      <c r="AT130" s="127"/>
      <c r="AU130" s="66"/>
      <c r="AV130" s="66"/>
    </row>
    <row r="131" spans="2:49" ht="15.75" customHeight="1">
      <c r="C131" s="1" t="s">
        <v>1022</v>
      </c>
      <c r="D131" s="55">
        <f>(D101/(2*PI()*D130))*(D117/(2*PI()*D130))*((1+(D130/D102)^2)/((1+(D130/D103)^2)*(1+(D130/D104)^2)))^0.5</f>
        <v>1.9548715648708491E-2</v>
      </c>
      <c r="E131" s="1" t="s">
        <v>181</v>
      </c>
      <c r="F131" s="12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c r="AP131" s="66"/>
      <c r="AQ131" s="66"/>
      <c r="AR131" s="66"/>
      <c r="AS131" s="66"/>
      <c r="AT131" s="127"/>
      <c r="AU131" s="66"/>
      <c r="AV131" s="66"/>
    </row>
    <row r="132" spans="2:49" ht="15.75" customHeight="1">
      <c r="C132" s="1" t="s">
        <v>1023</v>
      </c>
      <c r="D132" s="55">
        <f>-20*LOG10(D131)</f>
        <v>34.177635409865232</v>
      </c>
      <c r="E132" s="1" t="s">
        <v>1024</v>
      </c>
      <c r="F132" s="126"/>
      <c r="H132" s="127" t="s">
        <v>711</v>
      </c>
      <c r="I132" s="130">
        <f t="shared" ref="I132:AT132" si="2">($D$101/(2*PI()*I122))*(((1+(I122/$D$102)^2))/((1+(I122/$D$103)^2)*(1+(I122/$D$104)^2)))^0.5</f>
        <v>51.787099732974021</v>
      </c>
      <c r="J132" s="130">
        <f t="shared" si="2"/>
        <v>25.903993235845562</v>
      </c>
      <c r="K132" s="130">
        <f t="shared" si="2"/>
        <v>17.280925919578031</v>
      </c>
      <c r="L132" s="130">
        <f t="shared" si="2"/>
        <v>12.972860940569928</v>
      </c>
      <c r="M132" s="130">
        <f t="shared" si="2"/>
        <v>10.390788577152396</v>
      </c>
      <c r="N132" s="130">
        <f t="shared" si="2"/>
        <v>8.6717036556585843</v>
      </c>
      <c r="O132" s="130">
        <f t="shared" si="2"/>
        <v>7.4457451891139756</v>
      </c>
      <c r="P132" s="130">
        <f t="shared" si="2"/>
        <v>6.5279812922601641</v>
      </c>
      <c r="Q132" s="130">
        <f t="shared" si="2"/>
        <v>5.8156708243949691</v>
      </c>
      <c r="R132" s="130">
        <f t="shared" si="2"/>
        <v>5.2471680502925437</v>
      </c>
      <c r="S132" s="130">
        <f t="shared" si="2"/>
        <v>2.7245070860641878</v>
      </c>
      <c r="T132" s="130">
        <f t="shared" si="2"/>
        <v>1.9228809140413168</v>
      </c>
      <c r="U132" s="130">
        <f t="shared" si="2"/>
        <v>1.5465722296126103</v>
      </c>
      <c r="V132" s="130">
        <f t="shared" si="2"/>
        <v>1.3363267442230216</v>
      </c>
      <c r="W132" s="130">
        <f t="shared" si="2"/>
        <v>1.2060745452368442</v>
      </c>
      <c r="X132" s="130">
        <f t="shared" si="2"/>
        <v>1.1193679516186681</v>
      </c>
      <c r="Y132" s="130">
        <f t="shared" si="2"/>
        <v>1.0583648683493885</v>
      </c>
      <c r="Z132" s="130">
        <f t="shared" si="2"/>
        <v>1.0134429792159465</v>
      </c>
      <c r="AA132" s="130">
        <f t="shared" si="2"/>
        <v>0.97903673122818369</v>
      </c>
      <c r="AB132" s="130">
        <f t="shared" si="2"/>
        <v>0.82390763247184973</v>
      </c>
      <c r="AC132" s="130">
        <f t="shared" si="2"/>
        <v>0.73752707007249318</v>
      </c>
      <c r="AD132" s="130">
        <f t="shared" si="2"/>
        <v>0.66099956998199005</v>
      </c>
      <c r="AE132" s="130">
        <f t="shared" si="2"/>
        <v>0.59230207188008543</v>
      </c>
      <c r="AF132" s="130">
        <f t="shared" si="2"/>
        <v>0.53215813395696432</v>
      </c>
      <c r="AG132" s="130">
        <f t="shared" si="2"/>
        <v>0.48033665395630987</v>
      </c>
      <c r="AH132" s="130">
        <f t="shared" si="2"/>
        <v>0.43595689034029056</v>
      </c>
      <c r="AI132" s="130">
        <f t="shared" si="2"/>
        <v>0.39794199009108239</v>
      </c>
      <c r="AJ132" s="130">
        <f t="shared" si="2"/>
        <v>0.36525729129809814</v>
      </c>
      <c r="AK132" s="130">
        <f t="shared" si="2"/>
        <v>0.19350277345694369</v>
      </c>
      <c r="AL132" s="130">
        <f t="shared" si="2"/>
        <v>0.12787188049516435</v>
      </c>
      <c r="AM132" s="130">
        <f t="shared" si="2"/>
        <v>9.3451959949200664E-2</v>
      </c>
      <c r="AN132" s="130">
        <f t="shared" si="2"/>
        <v>7.219399526668431E-2</v>
      </c>
      <c r="AO132" s="130">
        <f t="shared" si="2"/>
        <v>5.7752298329296153E-2</v>
      </c>
      <c r="AP132" s="130">
        <f t="shared" si="2"/>
        <v>4.7329625478596066E-2</v>
      </c>
      <c r="AQ132" s="130">
        <f t="shared" si="2"/>
        <v>3.9493395597173152E-2</v>
      </c>
      <c r="AR132" s="130">
        <f t="shared" si="2"/>
        <v>3.3426910698525325E-2</v>
      </c>
      <c r="AS132" s="130">
        <f t="shared" si="2"/>
        <v>2.8626051429971724E-2</v>
      </c>
      <c r="AT132" s="130">
        <f t="shared" si="2"/>
        <v>0.84887272910671019</v>
      </c>
      <c r="AU132" s="127" t="s">
        <v>711</v>
      </c>
      <c r="AV132" s="131">
        <f>($D$101/(2*PI()*AV122))*(((1+(AV122/$D$102)^2))/((1+(AV122/$D$103)^2)*(1+(AV122/$D$104)^2)))^0.5</f>
        <v>0.38428239637226341</v>
      </c>
      <c r="AW132" s="129" t="s">
        <v>712</v>
      </c>
    </row>
    <row r="133" spans="2:49" ht="15.75" customHeight="1">
      <c r="C133" s="1" t="s">
        <v>1025</v>
      </c>
      <c r="D133" s="55">
        <v>10</v>
      </c>
      <c r="E133" s="1" t="s">
        <v>1024</v>
      </c>
      <c r="F133" s="126"/>
      <c r="H133" s="127" t="s">
        <v>713</v>
      </c>
      <c r="I133" s="132">
        <f t="shared" ref="I133:AT133" si="3">20*LOG10(I132)</f>
        <v>34.284431792385284</v>
      </c>
      <c r="J133" s="132">
        <f t="shared" si="3"/>
        <v>28.267334360091986</v>
      </c>
      <c r="K133" s="132">
        <f t="shared" si="3"/>
        <v>24.751340169096267</v>
      </c>
      <c r="L133" s="132">
        <f t="shared" si="3"/>
        <v>22.260715255972364</v>
      </c>
      <c r="M133" s="132">
        <f t="shared" si="3"/>
        <v>20.332970165214725</v>
      </c>
      <c r="N133" s="132">
        <f t="shared" si="3"/>
        <v>18.76208855982884</v>
      </c>
      <c r="O133" s="132">
        <f t="shared" si="3"/>
        <v>17.438163391192244</v>
      </c>
      <c r="P133" s="132">
        <f t="shared" si="3"/>
        <v>16.295578023127426</v>
      </c>
      <c r="Q133" s="132">
        <f t="shared" si="3"/>
        <v>15.291996336680509</v>
      </c>
      <c r="R133" s="132">
        <f t="shared" si="3"/>
        <v>14.398499470153203</v>
      </c>
      <c r="S133" s="132">
        <f t="shared" si="3"/>
        <v>8.7057588356234241</v>
      </c>
      <c r="T133" s="132">
        <f t="shared" si="3"/>
        <v>5.6790477755009459</v>
      </c>
      <c r="U133" s="132">
        <f t="shared" si="3"/>
        <v>3.7874041536402552</v>
      </c>
      <c r="V133" s="132">
        <f t="shared" si="3"/>
        <v>2.5182532026605258</v>
      </c>
      <c r="W133" s="132">
        <f t="shared" si="3"/>
        <v>1.6274830314472668</v>
      </c>
      <c r="X133" s="132">
        <f t="shared" si="3"/>
        <v>0.97945737114957332</v>
      </c>
      <c r="Y133" s="132">
        <f t="shared" si="3"/>
        <v>0.49270830659666831</v>
      </c>
      <c r="Z133" s="132">
        <f t="shared" si="3"/>
        <v>0.11598636776326458</v>
      </c>
      <c r="AA133" s="132">
        <f t="shared" si="3"/>
        <v>-0.18402028302885892</v>
      </c>
      <c r="AB133" s="132">
        <f t="shared" si="3"/>
        <v>-1.6824294785894853</v>
      </c>
      <c r="AC133" s="132">
        <f t="shared" si="3"/>
        <v>-2.6444406956779214</v>
      </c>
      <c r="AD133" s="132">
        <f t="shared" si="3"/>
        <v>-3.5959764609531435</v>
      </c>
      <c r="AE133" s="132">
        <f t="shared" si="3"/>
        <v>-4.5491349637769591</v>
      </c>
      <c r="AF133" s="132">
        <f t="shared" si="3"/>
        <v>-5.4791859067285689</v>
      </c>
      <c r="AG133" s="132">
        <f t="shared" si="3"/>
        <v>-6.3690854313438425</v>
      </c>
      <c r="AH133" s="132">
        <f t="shared" si="3"/>
        <v>-7.2111290776088328</v>
      </c>
      <c r="AI133" s="132">
        <f t="shared" si="3"/>
        <v>-8.0036046499598843</v>
      </c>
      <c r="AJ133" s="132">
        <f t="shared" si="3"/>
        <v>-8.7480221176515993</v>
      </c>
      <c r="AK133" s="132">
        <f t="shared" si="3"/>
        <v>-14.266256117974841</v>
      </c>
      <c r="AL133" s="132">
        <f t="shared" si="3"/>
        <v>-17.864498960064736</v>
      </c>
      <c r="AM133" s="132">
        <f t="shared" si="3"/>
        <v>-20.588231716372512</v>
      </c>
      <c r="AN133" s="132">
        <f t="shared" si="3"/>
        <v>-22.829978467165134</v>
      </c>
      <c r="AO133" s="132">
        <f t="shared" si="3"/>
        <v>-24.768614555341728</v>
      </c>
      <c r="AP133" s="132">
        <f t="shared" si="3"/>
        <v>-26.497338642194155</v>
      </c>
      <c r="AQ133" s="132">
        <f t="shared" si="3"/>
        <v>-28.0695104902642</v>
      </c>
      <c r="AR133" s="132">
        <f t="shared" si="3"/>
        <v>-29.518075177439457</v>
      </c>
      <c r="AS133" s="132">
        <f t="shared" si="3"/>
        <v>-30.864771055941546</v>
      </c>
      <c r="AT133" s="131">
        <f t="shared" si="3"/>
        <v>-1.4231483668519282</v>
      </c>
      <c r="AU133" s="127" t="s">
        <v>713</v>
      </c>
      <c r="AV133" s="66"/>
    </row>
    <row r="134" spans="2:49" ht="15.75" customHeight="1">
      <c r="C134" s="1" t="s">
        <v>1026</v>
      </c>
      <c r="D134" s="55">
        <f>D132/D133</f>
        <v>3.417763540986523</v>
      </c>
      <c r="E134" s="1" t="s">
        <v>181</v>
      </c>
      <c r="F134" s="126"/>
      <c r="H134" s="127" t="s">
        <v>714</v>
      </c>
      <c r="I134" s="133">
        <f t="shared" ref="I134:AT134" si="4">-90+(ATAN(I122/$D$102)/(2*PI())*360)-(ATAN(I122/$D$103)/(2*PI())*360)-(ATAN(I122/$D$104)/(2*PI())*360)</f>
        <v>-89.179321986667972</v>
      </c>
      <c r="J134" s="133">
        <f t="shared" si="4"/>
        <v>-88.359160731090057</v>
      </c>
      <c r="K134" s="133">
        <f t="shared" si="4"/>
        <v>-87.540031294882496</v>
      </c>
      <c r="L134" s="133">
        <f t="shared" si="4"/>
        <v>-86.722445361251872</v>
      </c>
      <c r="M134" s="133">
        <f t="shared" si="4"/>
        <v>-85.906909580243621</v>
      </c>
      <c r="N134" s="133">
        <f t="shared" si="4"/>
        <v>-85.093923954749428</v>
      </c>
      <c r="O134" s="133">
        <f t="shared" si="4"/>
        <v>-84.283980279897506</v>
      </c>
      <c r="P134" s="133">
        <f t="shared" si="4"/>
        <v>-83.477560647657043</v>
      </c>
      <c r="Q134" s="133">
        <f t="shared" si="4"/>
        <v>-82.675136027531238</v>
      </c>
      <c r="R134" s="133">
        <f t="shared" si="4"/>
        <v>-81.877164933117029</v>
      </c>
      <c r="S134" s="133">
        <f t="shared" si="4"/>
        <v>-74.232205945209941</v>
      </c>
      <c r="T134" s="133">
        <f t="shared" si="4"/>
        <v>-67.410882144690675</v>
      </c>
      <c r="U134" s="133">
        <f t="shared" si="4"/>
        <v>-61.574374203974791</v>
      </c>
      <c r="V134" s="133">
        <f t="shared" si="4"/>
        <v>-56.729210134442646</v>
      </c>
      <c r="W134" s="133">
        <f t="shared" si="4"/>
        <v>-52.789992251233052</v>
      </c>
      <c r="X134" s="133">
        <f t="shared" si="4"/>
        <v>-49.633917526690617</v>
      </c>
      <c r="Y134" s="133">
        <f t="shared" si="4"/>
        <v>-47.134209565346751</v>
      </c>
      <c r="Z134" s="133">
        <f t="shared" si="4"/>
        <v>-45.175938680408969</v>
      </c>
      <c r="AA134" s="133">
        <f t="shared" si="4"/>
        <v>-43.661265677362508</v>
      </c>
      <c r="AB134" s="133">
        <f t="shared" si="4"/>
        <v>-40.870521493484233</v>
      </c>
      <c r="AC134" s="133">
        <f t="shared" si="4"/>
        <v>-45.476823779817813</v>
      </c>
      <c r="AD134" s="133">
        <f t="shared" si="4"/>
        <v>-51.08287923363747</v>
      </c>
      <c r="AE134" s="133">
        <f t="shared" si="4"/>
        <v>-56.323419698428403</v>
      </c>
      <c r="AF134" s="133">
        <f t="shared" si="4"/>
        <v>-60.915444983658425</v>
      </c>
      <c r="AG134" s="133">
        <f t="shared" si="4"/>
        <v>-64.872180714176736</v>
      </c>
      <c r="AH134" s="133">
        <f t="shared" si="4"/>
        <v>-68.282713753187465</v>
      </c>
      <c r="AI134" s="133">
        <f t="shared" si="4"/>
        <v>-71.243784714899007</v>
      </c>
      <c r="AJ134" s="133">
        <f t="shared" si="4"/>
        <v>-73.840137029860443</v>
      </c>
      <c r="AK134" s="133">
        <f t="shared" si="4"/>
        <v>-89.730675821426743</v>
      </c>
      <c r="AL134" s="133">
        <f t="shared" si="4"/>
        <v>-98.895500170183055</v>
      </c>
      <c r="AM134" s="133">
        <f t="shared" si="4"/>
        <v>-105.92932259822499</v>
      </c>
      <c r="AN134" s="133">
        <f t="shared" si="4"/>
        <v>-111.86265233238059</v>
      </c>
      <c r="AO134" s="133">
        <f t="shared" si="4"/>
        <v>-117.0446979152406</v>
      </c>
      <c r="AP134" s="133">
        <f t="shared" si="4"/>
        <v>-121.63384678975552</v>
      </c>
      <c r="AQ134" s="133">
        <f t="shared" si="4"/>
        <v>-125.72282784492459</v>
      </c>
      <c r="AR134" s="133">
        <f t="shared" si="4"/>
        <v>-129.37800559152959</v>
      </c>
      <c r="AS134" s="133">
        <f t="shared" si="4"/>
        <v>-132.65303591329919</v>
      </c>
      <c r="AT134" s="133">
        <f t="shared" si="4"/>
        <v>-40.359815289805596</v>
      </c>
      <c r="AU134" s="127" t="s">
        <v>714</v>
      </c>
      <c r="AV134" s="66"/>
    </row>
    <row r="135" spans="2:49" ht="15.75" customHeight="1">
      <c r="F135" s="12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6"/>
      <c r="AK135" s="66"/>
      <c r="AL135" s="66"/>
      <c r="AM135" s="66"/>
      <c r="AN135" s="66"/>
      <c r="AO135" s="66"/>
      <c r="AP135" s="66"/>
      <c r="AQ135" s="66"/>
      <c r="AR135" s="66"/>
      <c r="AS135" s="66"/>
      <c r="AT135" s="127"/>
      <c r="AU135" s="66"/>
      <c r="AV135" s="66"/>
    </row>
    <row r="136" spans="2:49" ht="15.75" customHeight="1">
      <c r="F136" s="126"/>
      <c r="H136" s="66"/>
      <c r="I136" s="66"/>
      <c r="J136" s="66"/>
      <c r="K136" s="66"/>
      <c r="L136" s="66"/>
      <c r="M136" s="66"/>
      <c r="N136" s="66"/>
      <c r="O136" s="66"/>
      <c r="P136" s="66"/>
      <c r="Q136" s="66"/>
      <c r="R136" s="66"/>
      <c r="S136" s="66"/>
      <c r="T136" s="66"/>
      <c r="U136" s="66"/>
      <c r="V136" s="66"/>
      <c r="W136" s="66"/>
      <c r="X136" s="66"/>
      <c r="Y136" s="66"/>
      <c r="Z136" s="66"/>
      <c r="AA136" s="66"/>
      <c r="AB136" s="66"/>
      <c r="AC136" s="66"/>
      <c r="AD136" s="66"/>
      <c r="AE136" s="66"/>
      <c r="AF136" s="66"/>
      <c r="AG136" s="66"/>
      <c r="AH136" s="66"/>
      <c r="AI136" s="66"/>
      <c r="AJ136" s="66"/>
      <c r="AK136" s="66"/>
      <c r="AL136" s="66"/>
      <c r="AM136" s="66"/>
      <c r="AN136" s="66"/>
      <c r="AO136" s="66"/>
      <c r="AP136" s="66"/>
      <c r="AQ136" s="66"/>
      <c r="AR136" s="66"/>
      <c r="AS136" s="66"/>
      <c r="AT136" s="127"/>
      <c r="AU136" s="66"/>
      <c r="AV136" s="66"/>
    </row>
    <row r="137" spans="2:49" ht="15.75" customHeight="1">
      <c r="F137" s="126"/>
      <c r="H137" s="66"/>
      <c r="I137" s="66"/>
      <c r="J137" s="66"/>
      <c r="K137" s="66"/>
      <c r="L137" s="66"/>
      <c r="M137" s="66"/>
      <c r="N137" s="66"/>
      <c r="O137" s="66"/>
      <c r="P137" s="66"/>
      <c r="Q137" s="66"/>
      <c r="R137" s="66"/>
      <c r="S137" s="66"/>
      <c r="T137" s="66"/>
      <c r="U137" s="66"/>
      <c r="V137" s="66"/>
      <c r="W137" s="66"/>
      <c r="X137" s="66"/>
      <c r="Y137" s="66"/>
      <c r="Z137" s="66"/>
      <c r="AA137" s="66"/>
      <c r="AB137" s="66"/>
      <c r="AC137" s="66"/>
      <c r="AD137" s="66"/>
      <c r="AE137" s="66"/>
      <c r="AF137" s="66"/>
      <c r="AG137" s="66"/>
      <c r="AH137" s="66"/>
      <c r="AI137" s="66"/>
      <c r="AJ137" s="66"/>
      <c r="AK137" s="66"/>
      <c r="AL137" s="66"/>
      <c r="AM137" s="66"/>
      <c r="AN137" s="66"/>
      <c r="AO137" s="66"/>
      <c r="AP137" s="66"/>
      <c r="AQ137" s="66"/>
      <c r="AR137" s="66"/>
      <c r="AS137" s="66"/>
      <c r="AT137" s="134" t="s">
        <v>715</v>
      </c>
      <c r="AU137" s="66"/>
      <c r="AV137" s="66"/>
    </row>
    <row r="138" spans="2:49" ht="15.75" customHeight="1">
      <c r="F138" s="126"/>
      <c r="H138" s="127" t="s">
        <v>716</v>
      </c>
      <c r="I138" s="128">
        <f t="shared" ref="I138:AT138" si="5">20*LOG10(I123*I132)</f>
        <v>80.603644696615504</v>
      </c>
      <c r="J138" s="128">
        <f t="shared" si="5"/>
        <v>68.565947351042581</v>
      </c>
      <c r="K138" s="128">
        <f t="shared" si="5"/>
        <v>61.528127978933227</v>
      </c>
      <c r="L138" s="128">
        <f t="shared" si="5"/>
        <v>56.538728333643327</v>
      </c>
      <c r="M138" s="128">
        <f t="shared" si="5"/>
        <v>52.67278298272457</v>
      </c>
      <c r="N138" s="128">
        <f t="shared" si="5"/>
        <v>49.518276456386175</v>
      </c>
      <c r="O138" s="128">
        <f t="shared" si="5"/>
        <v>46.855415495137322</v>
      </c>
      <c r="P138" s="128">
        <f t="shared" si="5"/>
        <v>44.552991187518771</v>
      </c>
      <c r="Q138" s="128">
        <f t="shared" si="5"/>
        <v>42.526359052124228</v>
      </c>
      <c r="R138" s="128">
        <f t="shared" si="5"/>
        <v>40.717712374383417</v>
      </c>
      <c r="S138" s="128">
        <f t="shared" si="5"/>
        <v>29.004371826574015</v>
      </c>
      <c r="T138" s="128">
        <f t="shared" si="5"/>
        <v>22.455835585337912</v>
      </c>
      <c r="U138" s="128">
        <f t="shared" si="5"/>
        <v>18.065417231311223</v>
      </c>
      <c r="V138" s="128">
        <f t="shared" si="5"/>
        <v>14.858066020170364</v>
      </c>
      <c r="W138" s="128">
        <f t="shared" si="5"/>
        <v>12.383670928004609</v>
      </c>
      <c r="X138" s="128">
        <f t="shared" si="5"/>
        <v>10.396709475094649</v>
      </c>
      <c r="Y138" s="128">
        <f t="shared" si="5"/>
        <v>8.7501214709880095</v>
      </c>
      <c r="Z138" s="128">
        <f t="shared" si="5"/>
        <v>7.3503490832069796</v>
      </c>
      <c r="AA138" s="128">
        <f t="shared" si="5"/>
        <v>6.1351926212013543</v>
      </c>
      <c r="AB138" s="128">
        <f t="shared" si="5"/>
        <v>-1.383816487638895</v>
      </c>
      <c r="AC138" s="128">
        <f t="shared" si="5"/>
        <v>-5.8676528858409549</v>
      </c>
      <c r="AD138" s="128">
        <f t="shared" si="5"/>
        <v>-9.3179633832821764</v>
      </c>
      <c r="AE138" s="128">
        <f t="shared" si="5"/>
        <v>-12.209322146267121</v>
      </c>
      <c r="AF138" s="128">
        <f t="shared" si="5"/>
        <v>-14.722998010171226</v>
      </c>
      <c r="AG138" s="128">
        <f t="shared" si="5"/>
        <v>-16.951833327398763</v>
      </c>
      <c r="AH138" s="128">
        <f t="shared" si="5"/>
        <v>-18.95371591321749</v>
      </c>
      <c r="AI138" s="128">
        <f t="shared" si="5"/>
        <v>-20.76924193451617</v>
      </c>
      <c r="AJ138" s="128">
        <f t="shared" si="5"/>
        <v>-22.428809213421385</v>
      </c>
      <c r="AK138" s="128">
        <f t="shared" si="5"/>
        <v>-33.967643127024246</v>
      </c>
      <c r="AL138" s="128">
        <f t="shared" si="5"/>
        <v>-41.087711150227769</v>
      </c>
      <c r="AM138" s="128">
        <f t="shared" si="5"/>
        <v>-46.310218638701542</v>
      </c>
      <c r="AN138" s="128">
        <f t="shared" si="5"/>
        <v>-50.490165649655296</v>
      </c>
      <c r="AO138" s="128">
        <f t="shared" si="5"/>
        <v>-54.012426658784385</v>
      </c>
      <c r="AP138" s="128">
        <f t="shared" si="5"/>
        <v>-57.080086538249077</v>
      </c>
      <c r="AQ138" s="128">
        <f t="shared" si="5"/>
        <v>-59.812097325872855</v>
      </c>
      <c r="AR138" s="128">
        <f t="shared" si="5"/>
        <v>-62.283712461995734</v>
      </c>
      <c r="AS138" s="128">
        <f t="shared" si="5"/>
        <v>-64.545558151711333</v>
      </c>
      <c r="AT138" s="128">
        <f t="shared" si="5"/>
        <v>3.2869324220920641E-7</v>
      </c>
      <c r="AU138" s="127" t="s">
        <v>716</v>
      </c>
      <c r="AV138" s="66"/>
    </row>
    <row r="139" spans="2:49" ht="15.75" customHeight="1">
      <c r="F139" s="126"/>
      <c r="H139" s="127" t="s">
        <v>717</v>
      </c>
      <c r="I139" s="133">
        <f t="shared" ref="I139:AT139" si="6">-180+(ATAN(I122/$D$102)/(2*PI())*360)-(ATAN(I122/$D$103)/(2*PI())*360)-(ATAN(I122/$D$104)/(2*PI())*360)</f>
        <v>-179.17932198666799</v>
      </c>
      <c r="J139" s="133">
        <f t="shared" si="6"/>
        <v>-178.35916073109004</v>
      </c>
      <c r="K139" s="133">
        <f t="shared" si="6"/>
        <v>-177.54003129488251</v>
      </c>
      <c r="L139" s="133">
        <f t="shared" si="6"/>
        <v>-176.72244536125186</v>
      </c>
      <c r="M139" s="133">
        <f t="shared" si="6"/>
        <v>-175.90690958024362</v>
      </c>
      <c r="N139" s="133">
        <f t="shared" si="6"/>
        <v>-175.09392395474941</v>
      </c>
      <c r="O139" s="133">
        <f t="shared" si="6"/>
        <v>-174.28398027989749</v>
      </c>
      <c r="P139" s="133">
        <f t="shared" si="6"/>
        <v>-173.47756064765704</v>
      </c>
      <c r="Q139" s="133">
        <f t="shared" si="6"/>
        <v>-172.67513602753124</v>
      </c>
      <c r="R139" s="133">
        <f t="shared" si="6"/>
        <v>-171.87716493311703</v>
      </c>
      <c r="S139" s="133">
        <f t="shared" si="6"/>
        <v>-164.23220594520993</v>
      </c>
      <c r="T139" s="133">
        <f t="shared" si="6"/>
        <v>-157.41088214469067</v>
      </c>
      <c r="U139" s="133">
        <f t="shared" si="6"/>
        <v>-151.5743742039748</v>
      </c>
      <c r="V139" s="133">
        <f t="shared" si="6"/>
        <v>-146.72921013444267</v>
      </c>
      <c r="W139" s="133">
        <f t="shared" si="6"/>
        <v>-142.78999225123306</v>
      </c>
      <c r="X139" s="133">
        <f t="shared" si="6"/>
        <v>-139.63391752669062</v>
      </c>
      <c r="Y139" s="133">
        <f t="shared" si="6"/>
        <v>-137.13420956534674</v>
      </c>
      <c r="Z139" s="133">
        <f t="shared" si="6"/>
        <v>-135.17593868040896</v>
      </c>
      <c r="AA139" s="133">
        <f t="shared" si="6"/>
        <v>-133.66126567736251</v>
      </c>
      <c r="AB139" s="133">
        <f t="shared" si="6"/>
        <v>-130.87052149348426</v>
      </c>
      <c r="AC139" s="133">
        <f t="shared" si="6"/>
        <v>-135.47682377981783</v>
      </c>
      <c r="AD139" s="133">
        <f t="shared" si="6"/>
        <v>-141.08287923363747</v>
      </c>
      <c r="AE139" s="133">
        <f t="shared" si="6"/>
        <v>-146.32341969842841</v>
      </c>
      <c r="AF139" s="133">
        <f t="shared" si="6"/>
        <v>-150.9154449836584</v>
      </c>
      <c r="AG139" s="133">
        <f t="shared" si="6"/>
        <v>-154.87218071417675</v>
      </c>
      <c r="AH139" s="133">
        <f t="shared" si="6"/>
        <v>-158.28271375318747</v>
      </c>
      <c r="AI139" s="133">
        <f t="shared" si="6"/>
        <v>-161.24378471489899</v>
      </c>
      <c r="AJ139" s="133">
        <f t="shared" si="6"/>
        <v>-163.84013702986044</v>
      </c>
      <c r="AK139" s="133">
        <f t="shared" si="6"/>
        <v>-179.73067582142676</v>
      </c>
      <c r="AL139" s="133">
        <f t="shared" si="6"/>
        <v>-188.89550017018306</v>
      </c>
      <c r="AM139" s="133">
        <f t="shared" si="6"/>
        <v>-195.92932259822499</v>
      </c>
      <c r="AN139" s="133">
        <f t="shared" si="6"/>
        <v>-201.86265233238058</v>
      </c>
      <c r="AO139" s="133">
        <f t="shared" si="6"/>
        <v>-207.04469791524059</v>
      </c>
      <c r="AP139" s="133">
        <f t="shared" si="6"/>
        <v>-211.63384678975552</v>
      </c>
      <c r="AQ139" s="133">
        <f t="shared" si="6"/>
        <v>-215.72282784492461</v>
      </c>
      <c r="AR139" s="133">
        <f t="shared" si="6"/>
        <v>-219.37800559152959</v>
      </c>
      <c r="AS139" s="133">
        <f t="shared" si="6"/>
        <v>-222.65303591329922</v>
      </c>
      <c r="AT139" s="133">
        <f t="shared" si="6"/>
        <v>-130.3598152898056</v>
      </c>
      <c r="AU139" s="127" t="s">
        <v>717</v>
      </c>
      <c r="AV139" s="66"/>
    </row>
    <row r="140" spans="2:49" ht="15" customHeight="1">
      <c r="F140" s="126"/>
      <c r="H140" s="66"/>
      <c r="I140" s="135"/>
      <c r="J140" s="135"/>
      <c r="K140" s="135"/>
      <c r="L140" s="135"/>
      <c r="M140" s="135"/>
      <c r="N140" s="135"/>
      <c r="O140" s="135"/>
      <c r="P140" s="135"/>
      <c r="Q140" s="135"/>
      <c r="R140" s="135"/>
      <c r="S140" s="135"/>
      <c r="T140" s="135"/>
      <c r="U140" s="135"/>
      <c r="V140" s="135"/>
      <c r="W140" s="135"/>
      <c r="X140" s="135"/>
      <c r="Y140" s="135"/>
      <c r="Z140" s="135"/>
      <c r="AA140" s="135"/>
      <c r="AB140" s="135"/>
      <c r="AC140" s="135"/>
      <c r="AD140" s="135"/>
      <c r="AE140" s="135"/>
      <c r="AF140" s="135"/>
      <c r="AG140" s="135"/>
      <c r="AH140" s="135"/>
      <c r="AI140" s="135"/>
      <c r="AJ140" s="135"/>
      <c r="AK140" s="135"/>
      <c r="AL140" s="135"/>
      <c r="AM140" s="135"/>
      <c r="AN140" s="135"/>
      <c r="AO140" s="135"/>
      <c r="AP140" s="135"/>
      <c r="AQ140" s="135"/>
      <c r="AR140" s="135"/>
      <c r="AS140" s="135"/>
      <c r="AT140" s="135"/>
      <c r="AU140" s="66"/>
      <c r="AV140" s="66"/>
    </row>
    <row r="141" spans="2:49" ht="15.75" customHeight="1">
      <c r="F141" s="126"/>
      <c r="H141" s="134">
        <v>1</v>
      </c>
      <c r="I141" s="136">
        <v>0.1</v>
      </c>
      <c r="J141" s="136">
        <v>1000</v>
      </c>
      <c r="K141" s="136">
        <f t="shared" ref="K141:K167" si="7">((($D$101/(2*PI()*I141))*(((1+(I141/$D$102)^2))/((1+(I141/$D$103)^2)*(1+(I141/$D$104)^2)))^0.5)*$D$117/(2*PI()*I141))-1</f>
        <v>10718.69021090515</v>
      </c>
      <c r="L141" s="136">
        <f t="shared" ref="L141:L167" si="8">(($D$101/(2*PI()*J141))*(((1+(J141/$D$102)^2))/((1+(J141/$D$103)^2)*(1+(J141/$D$104)^2)))^0.5*$D$117/(2*PI()*J141))-1</f>
        <v>-0.99940745397044251</v>
      </c>
      <c r="M141" s="136">
        <f t="shared" ref="M141:M167" si="9">(I141+J141)/2</f>
        <v>500.05</v>
      </c>
      <c r="N141" s="136">
        <f t="shared" ref="N141:N167" si="10">(($D$101/(2*PI()*M141))*(((1+(M141/$D$102)^2))/((1+(M141/$D$103)^2)*(1+(M141/$D$104)^2)))^0.5*$D$117/(2*PI()*M141))-1</f>
        <v>-0.99701189022653036</v>
      </c>
      <c r="O141" s="66"/>
      <c r="P141" s="66"/>
      <c r="Q141" s="66"/>
      <c r="R141" s="66"/>
      <c r="S141" s="66"/>
      <c r="T141" s="66"/>
      <c r="U141" s="66"/>
      <c r="V141" s="66"/>
      <c r="W141" s="66"/>
      <c r="X141" s="66"/>
      <c r="Y141" s="66"/>
      <c r="Z141" s="66"/>
      <c r="AA141" s="66"/>
      <c r="AB141" s="66"/>
      <c r="AC141" s="66"/>
      <c r="AD141" s="66"/>
      <c r="AE141" s="66"/>
      <c r="AF141" s="66"/>
      <c r="AG141" s="66"/>
      <c r="AH141" s="66"/>
      <c r="AI141" s="66"/>
      <c r="AJ141" s="66"/>
      <c r="AK141" s="66"/>
      <c r="AL141" s="66"/>
      <c r="AM141" s="66"/>
      <c r="AN141" s="66"/>
      <c r="AO141" s="66"/>
      <c r="AP141" s="66"/>
      <c r="AQ141" s="66"/>
      <c r="AR141" s="66"/>
      <c r="AS141" s="66"/>
      <c r="AT141" s="66"/>
      <c r="AU141" s="66"/>
      <c r="AV141" s="66"/>
    </row>
    <row r="142" spans="2:49" ht="15.75" customHeight="1">
      <c r="F142" s="126"/>
      <c r="H142" s="134">
        <v>2</v>
      </c>
      <c r="I142" s="136">
        <f t="shared" ref="I142:I167" si="11">IF(N141&lt;0,I141,M141)</f>
        <v>0.1</v>
      </c>
      <c r="J142" s="136">
        <f t="shared" ref="J142:J167" si="12">IF(N141&lt;0,M141,J141)</f>
        <v>500.05</v>
      </c>
      <c r="K142" s="136">
        <f t="shared" si="7"/>
        <v>10718.69021090515</v>
      </c>
      <c r="L142" s="136">
        <f t="shared" si="8"/>
        <v>-0.99701189022653036</v>
      </c>
      <c r="M142" s="136">
        <f t="shared" si="9"/>
        <v>250.07500000000002</v>
      </c>
      <c r="N142" s="136">
        <f t="shared" si="10"/>
        <v>-0.98720625788700089</v>
      </c>
      <c r="O142" s="66"/>
      <c r="P142" s="66"/>
      <c r="Q142" s="66"/>
      <c r="R142" s="66"/>
      <c r="S142" s="66"/>
      <c r="T142" s="66"/>
      <c r="U142" s="66"/>
      <c r="V142" s="66"/>
      <c r="W142" s="66"/>
      <c r="X142" s="66"/>
      <c r="Y142" s="66"/>
      <c r="Z142" s="66"/>
      <c r="AA142" s="66"/>
      <c r="AB142" s="66"/>
      <c r="AC142" s="66"/>
      <c r="AD142" s="66"/>
      <c r="AE142" s="66"/>
      <c r="AF142" s="66"/>
      <c r="AG142" s="66"/>
      <c r="AH142" s="66"/>
      <c r="AI142" s="66"/>
      <c r="AJ142" s="66"/>
      <c r="AK142" s="66"/>
      <c r="AL142" s="66"/>
      <c r="AM142" s="66"/>
      <c r="AN142" s="66"/>
      <c r="AO142" s="66"/>
      <c r="AP142" s="66"/>
      <c r="AQ142" s="66"/>
      <c r="AR142" s="66"/>
      <c r="AS142" s="66"/>
      <c r="AT142" s="66"/>
      <c r="AU142" s="66"/>
      <c r="AV142" s="66"/>
    </row>
    <row r="143" spans="2:49" ht="15.75" customHeight="1">
      <c r="F143" s="126"/>
      <c r="H143" s="134">
        <v>3</v>
      </c>
      <c r="I143" s="136">
        <f t="shared" si="11"/>
        <v>0.1</v>
      </c>
      <c r="J143" s="136">
        <f t="shared" si="12"/>
        <v>250.07500000000002</v>
      </c>
      <c r="K143" s="136">
        <f t="shared" si="7"/>
        <v>10718.69021090515</v>
      </c>
      <c r="L143" s="136">
        <f t="shared" si="8"/>
        <v>-0.98720625788700089</v>
      </c>
      <c r="M143" s="136">
        <f t="shared" si="9"/>
        <v>125.08750000000001</v>
      </c>
      <c r="N143" s="136">
        <f t="shared" si="10"/>
        <v>-0.95017138763056164</v>
      </c>
      <c r="O143" s="66"/>
      <c r="P143" s="66"/>
      <c r="Q143" s="66"/>
      <c r="R143" s="66"/>
      <c r="S143" s="66"/>
      <c r="T143" s="66"/>
      <c r="U143" s="66"/>
      <c r="V143" s="66"/>
      <c r="W143" s="66"/>
      <c r="X143" s="66"/>
      <c r="Y143" s="66"/>
      <c r="Z143" s="66"/>
      <c r="AA143" s="66"/>
      <c r="AB143" s="66"/>
      <c r="AC143" s="66"/>
      <c r="AD143" s="66"/>
      <c r="AE143" s="66"/>
      <c r="AF143" s="66"/>
      <c r="AG143" s="66"/>
      <c r="AH143" s="66"/>
      <c r="AI143" s="66"/>
      <c r="AJ143" s="66"/>
      <c r="AK143" s="66"/>
      <c r="AL143" s="66"/>
      <c r="AM143" s="66"/>
      <c r="AN143" s="66"/>
      <c r="AO143" s="66"/>
      <c r="AP143" s="66"/>
      <c r="AQ143" s="66"/>
      <c r="AR143" s="66"/>
      <c r="AS143" s="66"/>
      <c r="AT143" s="66"/>
      <c r="AU143" s="66"/>
      <c r="AV143" s="66"/>
    </row>
    <row r="144" spans="2:49" ht="15.75" customHeight="1">
      <c r="F144" s="126"/>
      <c r="H144" s="134">
        <v>4</v>
      </c>
      <c r="I144" s="136">
        <f t="shared" si="11"/>
        <v>0.1</v>
      </c>
      <c r="J144" s="136">
        <f t="shared" si="12"/>
        <v>125.08750000000001</v>
      </c>
      <c r="K144" s="136">
        <f t="shared" si="7"/>
        <v>10718.69021090515</v>
      </c>
      <c r="L144" s="136">
        <f t="shared" si="8"/>
        <v>-0.95017138763056164</v>
      </c>
      <c r="M144" s="136">
        <f t="shared" si="9"/>
        <v>62.59375</v>
      </c>
      <c r="N144" s="136">
        <f t="shared" si="10"/>
        <v>-0.82871701984018642</v>
      </c>
      <c r="O144" s="66"/>
      <c r="P144" s="66"/>
      <c r="Q144" s="66"/>
      <c r="R144" s="66"/>
      <c r="S144" s="66"/>
      <c r="T144" s="66"/>
      <c r="U144" s="66"/>
      <c r="V144" s="66"/>
      <c r="W144" s="66"/>
      <c r="X144" s="66"/>
      <c r="Y144" s="66"/>
      <c r="Z144" s="66"/>
      <c r="AA144" s="66"/>
      <c r="AB144" s="66"/>
      <c r="AC144" s="66"/>
      <c r="AD144" s="66"/>
      <c r="AE144" s="66"/>
      <c r="AF144" s="66"/>
      <c r="AG144" s="66"/>
      <c r="AH144" s="66"/>
      <c r="AI144" s="66"/>
      <c r="AJ144" s="66"/>
      <c r="AK144" s="66"/>
      <c r="AL144" s="66"/>
      <c r="AM144" s="66"/>
      <c r="AN144" s="66"/>
      <c r="AO144" s="66"/>
      <c r="AP144" s="66"/>
      <c r="AQ144" s="66"/>
      <c r="AR144" s="66"/>
      <c r="AS144" s="66"/>
      <c r="AT144" s="66"/>
      <c r="AU144" s="66"/>
      <c r="AV144" s="66"/>
    </row>
    <row r="145" spans="6:48" ht="15.75" customHeight="1">
      <c r="F145" s="126"/>
      <c r="H145" s="134">
        <v>5</v>
      </c>
      <c r="I145" s="136">
        <f t="shared" si="11"/>
        <v>0.1</v>
      </c>
      <c r="J145" s="136">
        <f t="shared" si="12"/>
        <v>62.59375</v>
      </c>
      <c r="K145" s="136">
        <f t="shared" si="7"/>
        <v>10718.69021090515</v>
      </c>
      <c r="L145" s="136">
        <f t="shared" si="8"/>
        <v>-0.82871701984018642</v>
      </c>
      <c r="M145" s="136">
        <f t="shared" si="9"/>
        <v>31.346875000000001</v>
      </c>
      <c r="N145" s="136">
        <f t="shared" si="10"/>
        <v>-0.52007365007926354</v>
      </c>
      <c r="O145" s="66"/>
      <c r="P145" s="66"/>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row>
    <row r="146" spans="6:48" ht="15.75" customHeight="1">
      <c r="F146" s="126"/>
      <c r="H146" s="134">
        <v>6</v>
      </c>
      <c r="I146" s="136">
        <f t="shared" si="11"/>
        <v>0.1</v>
      </c>
      <c r="J146" s="136">
        <f t="shared" si="12"/>
        <v>31.346875000000001</v>
      </c>
      <c r="K146" s="136">
        <f t="shared" si="7"/>
        <v>10718.69021090515</v>
      </c>
      <c r="L146" s="136">
        <f t="shared" si="8"/>
        <v>-0.52007365007926354</v>
      </c>
      <c r="M146" s="136">
        <f t="shared" si="9"/>
        <v>15.723437500000001</v>
      </c>
      <c r="N146" s="136">
        <f t="shared" si="10"/>
        <v>0.14609366495508325</v>
      </c>
      <c r="O146" s="66"/>
      <c r="P146" s="66"/>
      <c r="Q146" s="66"/>
      <c r="R146" s="66"/>
      <c r="S146" s="66"/>
      <c r="T146" s="66"/>
      <c r="U146" s="66"/>
      <c r="V146" s="66"/>
      <c r="W146" s="66"/>
      <c r="X146" s="66"/>
      <c r="Y146" s="66"/>
      <c r="Z146" s="66"/>
      <c r="AA146" s="66"/>
      <c r="AB146" s="66"/>
      <c r="AC146" s="66"/>
      <c r="AD146" s="66"/>
      <c r="AE146" s="66"/>
      <c r="AF146" s="66"/>
      <c r="AG146" s="66"/>
      <c r="AH146" s="66"/>
      <c r="AI146" s="66"/>
      <c r="AJ146" s="66"/>
      <c r="AK146" s="66"/>
      <c r="AL146" s="66"/>
      <c r="AM146" s="66"/>
      <c r="AN146" s="66"/>
      <c r="AO146" s="66"/>
      <c r="AP146" s="66"/>
      <c r="AQ146" s="66"/>
      <c r="AR146" s="66"/>
      <c r="AS146" s="66"/>
      <c r="AT146" s="66"/>
      <c r="AU146" s="66"/>
      <c r="AV146" s="66"/>
    </row>
    <row r="147" spans="6:48" ht="15.75" customHeight="1">
      <c r="F147" s="126"/>
      <c r="H147" s="134">
        <v>7</v>
      </c>
      <c r="I147" s="136">
        <f t="shared" si="11"/>
        <v>15.723437500000001</v>
      </c>
      <c r="J147" s="136">
        <f t="shared" si="12"/>
        <v>31.346875000000001</v>
      </c>
      <c r="K147" s="136">
        <f t="shared" si="7"/>
        <v>0.14609366495508325</v>
      </c>
      <c r="L147" s="136">
        <f t="shared" si="8"/>
        <v>-0.52007365007926354</v>
      </c>
      <c r="M147" s="136">
        <f t="shared" si="9"/>
        <v>23.53515625</v>
      </c>
      <c r="N147" s="136">
        <f t="shared" si="10"/>
        <v>-0.30389002704313672</v>
      </c>
      <c r="O147" s="66"/>
      <c r="P147" s="66"/>
      <c r="Q147" s="66"/>
      <c r="R147" s="66"/>
      <c r="S147" s="66"/>
      <c r="T147" s="66"/>
      <c r="U147" s="66"/>
      <c r="V147" s="66"/>
      <c r="W147" s="66"/>
      <c r="X147" s="66"/>
      <c r="Y147" s="66"/>
      <c r="Z147" s="66"/>
      <c r="AA147" s="66"/>
      <c r="AB147" s="66"/>
      <c r="AC147" s="66"/>
      <c r="AD147" s="66"/>
      <c r="AE147" s="66"/>
      <c r="AF147" s="66"/>
      <c r="AG147" s="66"/>
      <c r="AH147" s="66"/>
      <c r="AI147" s="66"/>
      <c r="AJ147" s="66"/>
      <c r="AK147" s="66"/>
      <c r="AL147" s="66"/>
      <c r="AM147" s="66"/>
      <c r="AN147" s="66"/>
      <c r="AO147" s="66"/>
      <c r="AP147" s="66"/>
      <c r="AQ147" s="66"/>
      <c r="AR147" s="66"/>
      <c r="AS147" s="66"/>
      <c r="AT147" s="66"/>
      <c r="AU147" s="66"/>
      <c r="AV147" s="66"/>
    </row>
    <row r="148" spans="6:48" ht="15.75" customHeight="1">
      <c r="F148" s="126"/>
      <c r="H148" s="134">
        <v>8</v>
      </c>
      <c r="I148" s="136">
        <f t="shared" si="11"/>
        <v>15.723437500000001</v>
      </c>
      <c r="J148" s="136">
        <f t="shared" si="12"/>
        <v>23.53515625</v>
      </c>
      <c r="K148" s="136">
        <f t="shared" si="7"/>
        <v>0.14609366495508325</v>
      </c>
      <c r="L148" s="136">
        <f t="shared" si="8"/>
        <v>-0.30389002704313672</v>
      </c>
      <c r="M148" s="136">
        <f t="shared" si="9"/>
        <v>19.629296875000001</v>
      </c>
      <c r="N148" s="136">
        <f t="shared" si="10"/>
        <v>-0.12734806957334077</v>
      </c>
      <c r="O148" s="66"/>
      <c r="P148" s="66"/>
      <c r="Q148" s="66"/>
      <c r="R148" s="66"/>
      <c r="S148" s="66"/>
      <c r="T148" s="66"/>
      <c r="U148" s="66"/>
      <c r="V148" s="66"/>
      <c r="W148" s="66"/>
      <c r="X148" s="66"/>
      <c r="Y148" s="66"/>
      <c r="Z148" s="66"/>
      <c r="AA148" s="66"/>
      <c r="AB148" s="66"/>
      <c r="AC148" s="66"/>
      <c r="AD148" s="66"/>
      <c r="AE148" s="66"/>
      <c r="AF148" s="66"/>
      <c r="AG148" s="66"/>
      <c r="AH148" s="66"/>
      <c r="AI148" s="66"/>
      <c r="AJ148" s="66"/>
      <c r="AK148" s="66"/>
      <c r="AL148" s="66"/>
      <c r="AM148" s="66"/>
      <c r="AN148" s="66"/>
      <c r="AO148" s="66"/>
      <c r="AP148" s="66"/>
      <c r="AQ148" s="66"/>
      <c r="AR148" s="66"/>
      <c r="AS148" s="66"/>
      <c r="AT148" s="66"/>
      <c r="AU148" s="66"/>
      <c r="AV148" s="66"/>
    </row>
    <row r="149" spans="6:48" ht="15.75" customHeight="1">
      <c r="F149" s="126"/>
      <c r="H149" s="134">
        <v>9</v>
      </c>
      <c r="I149" s="136">
        <f t="shared" si="11"/>
        <v>15.723437500000001</v>
      </c>
      <c r="J149" s="136">
        <f t="shared" si="12"/>
        <v>19.629296875000001</v>
      </c>
      <c r="K149" s="136">
        <f t="shared" si="7"/>
        <v>0.14609366495508325</v>
      </c>
      <c r="L149" s="136">
        <f t="shared" si="8"/>
        <v>-0.12734806957334077</v>
      </c>
      <c r="M149" s="136">
        <f t="shared" si="9"/>
        <v>17.676367187500002</v>
      </c>
      <c r="N149" s="136">
        <f t="shared" si="10"/>
        <v>-7.2922162214166253E-3</v>
      </c>
      <c r="O149" s="66"/>
      <c r="P149" s="66"/>
      <c r="Q149" s="66"/>
      <c r="R149" s="66"/>
      <c r="S149" s="66"/>
      <c r="T149" s="66"/>
      <c r="U149" s="66"/>
      <c r="V149" s="66"/>
      <c r="W149" s="66"/>
      <c r="X149" s="66"/>
      <c r="Y149" s="66"/>
      <c r="Z149" s="66"/>
      <c r="AA149" s="66"/>
      <c r="AB149" s="66"/>
      <c r="AC149" s="66"/>
      <c r="AD149" s="66"/>
      <c r="AE149" s="66"/>
      <c r="AF149" s="66"/>
      <c r="AG149" s="66"/>
      <c r="AH149" s="66"/>
      <c r="AI149" s="66"/>
      <c r="AJ149" s="66"/>
      <c r="AK149" s="66"/>
      <c r="AL149" s="66"/>
      <c r="AM149" s="66"/>
      <c r="AN149" s="66"/>
      <c r="AO149" s="66"/>
      <c r="AP149" s="66"/>
      <c r="AQ149" s="66"/>
      <c r="AR149" s="66"/>
      <c r="AS149" s="66"/>
      <c r="AT149" s="66"/>
      <c r="AU149" s="66"/>
      <c r="AV149" s="66"/>
    </row>
    <row r="150" spans="6:48" ht="15.75" customHeight="1">
      <c r="F150" s="126"/>
      <c r="H150" s="134">
        <v>10</v>
      </c>
      <c r="I150" s="136">
        <f t="shared" si="11"/>
        <v>15.723437500000001</v>
      </c>
      <c r="J150" s="136">
        <f t="shared" si="12"/>
        <v>17.676367187500002</v>
      </c>
      <c r="K150" s="136">
        <f t="shared" si="7"/>
        <v>0.14609366495508325</v>
      </c>
      <c r="L150" s="136">
        <f t="shared" si="8"/>
        <v>-7.2922162214166253E-3</v>
      </c>
      <c r="M150" s="136">
        <f t="shared" si="9"/>
        <v>16.699902343750001</v>
      </c>
      <c r="N150" s="136">
        <f t="shared" si="10"/>
        <v>6.4392880927940155E-2</v>
      </c>
      <c r="O150" s="66"/>
      <c r="P150" s="66"/>
      <c r="Q150" s="66"/>
      <c r="R150" s="66"/>
      <c r="S150" s="66"/>
      <c r="T150" s="66"/>
      <c r="U150" s="66"/>
      <c r="V150" s="66"/>
      <c r="W150" s="66"/>
      <c r="X150" s="66"/>
      <c r="Y150" s="66"/>
      <c r="Z150" s="66"/>
      <c r="AA150" s="66"/>
      <c r="AB150" s="66"/>
      <c r="AC150" s="66"/>
      <c r="AD150" s="66"/>
      <c r="AE150" s="66"/>
      <c r="AF150" s="66"/>
      <c r="AG150" s="66"/>
      <c r="AH150" s="66"/>
      <c r="AI150" s="66"/>
      <c r="AJ150" s="66"/>
      <c r="AK150" s="66"/>
      <c r="AL150" s="66"/>
      <c r="AM150" s="66"/>
      <c r="AN150" s="66"/>
      <c r="AO150" s="66"/>
      <c r="AP150" s="66"/>
      <c r="AQ150" s="66"/>
      <c r="AR150" s="66"/>
      <c r="AS150" s="66"/>
      <c r="AT150" s="66"/>
      <c r="AU150" s="66"/>
      <c r="AV150" s="66"/>
    </row>
    <row r="151" spans="6:48" ht="15.75" customHeight="1">
      <c r="F151" s="126"/>
      <c r="H151" s="134">
        <v>11</v>
      </c>
      <c r="I151" s="136">
        <f t="shared" si="11"/>
        <v>16.699902343750001</v>
      </c>
      <c r="J151" s="136">
        <f t="shared" si="12"/>
        <v>17.676367187500002</v>
      </c>
      <c r="K151" s="136">
        <f t="shared" si="7"/>
        <v>6.4392880927940155E-2</v>
      </c>
      <c r="L151" s="136">
        <f t="shared" si="8"/>
        <v>-7.2922162214166253E-3</v>
      </c>
      <c r="M151" s="136">
        <f t="shared" si="9"/>
        <v>17.188134765625001</v>
      </c>
      <c r="N151" s="136">
        <f t="shared" si="10"/>
        <v>2.7420961890728623E-2</v>
      </c>
      <c r="O151" s="66"/>
      <c r="P151" s="66"/>
      <c r="Q151" s="66"/>
      <c r="R151" s="66"/>
      <c r="S151" s="66"/>
      <c r="T151" s="66"/>
      <c r="U151" s="66"/>
      <c r="V151" s="66"/>
      <c r="W151" s="66"/>
      <c r="X151" s="66"/>
      <c r="Y151" s="66"/>
      <c r="Z151" s="66"/>
      <c r="AA151" s="66"/>
      <c r="AB151" s="66"/>
      <c r="AC151" s="66"/>
      <c r="AD151" s="66"/>
      <c r="AE151" s="66"/>
      <c r="AF151" s="66"/>
      <c r="AG151" s="66"/>
      <c r="AH151" s="66"/>
      <c r="AI151" s="66"/>
      <c r="AJ151" s="66"/>
      <c r="AK151" s="66"/>
      <c r="AL151" s="66"/>
      <c r="AM151" s="66"/>
      <c r="AN151" s="66"/>
      <c r="AO151" s="66"/>
      <c r="AP151" s="66"/>
      <c r="AQ151" s="66"/>
      <c r="AR151" s="66"/>
      <c r="AS151" s="66"/>
      <c r="AT151" s="66"/>
      <c r="AU151" s="66"/>
      <c r="AV151" s="66"/>
    </row>
    <row r="152" spans="6:48" ht="15.75" customHeight="1">
      <c r="F152" s="126"/>
      <c r="H152" s="134">
        <v>12</v>
      </c>
      <c r="I152" s="136">
        <f t="shared" si="11"/>
        <v>17.188134765625001</v>
      </c>
      <c r="J152" s="136">
        <f t="shared" si="12"/>
        <v>17.676367187500002</v>
      </c>
      <c r="K152" s="136">
        <f t="shared" si="7"/>
        <v>2.7420961890728623E-2</v>
      </c>
      <c r="L152" s="136">
        <f t="shared" si="8"/>
        <v>-7.2922162214166253E-3</v>
      </c>
      <c r="M152" s="136">
        <f t="shared" si="9"/>
        <v>17.4322509765625</v>
      </c>
      <c r="N152" s="136">
        <f t="shared" si="10"/>
        <v>9.7956101741119017E-3</v>
      </c>
      <c r="O152" s="66"/>
      <c r="P152" s="66"/>
      <c r="Q152" s="66"/>
      <c r="R152" s="66"/>
      <c r="S152" s="66"/>
      <c r="T152" s="66"/>
      <c r="U152" s="66"/>
      <c r="V152" s="66"/>
      <c r="W152" s="66"/>
      <c r="X152" s="66"/>
      <c r="Y152" s="66"/>
      <c r="Z152" s="66"/>
      <c r="AA152" s="66"/>
      <c r="AB152" s="66"/>
      <c r="AC152" s="66"/>
      <c r="AD152" s="66"/>
      <c r="AE152" s="66"/>
      <c r="AF152" s="66"/>
      <c r="AG152" s="66"/>
      <c r="AH152" s="66"/>
      <c r="AI152" s="66"/>
      <c r="AJ152" s="66"/>
      <c r="AK152" s="66"/>
      <c r="AL152" s="66"/>
      <c r="AM152" s="66"/>
      <c r="AN152" s="66"/>
      <c r="AO152" s="66"/>
      <c r="AP152" s="66"/>
      <c r="AQ152" s="66"/>
      <c r="AR152" s="66"/>
      <c r="AS152" s="66"/>
      <c r="AT152" s="66"/>
      <c r="AU152" s="66"/>
      <c r="AV152" s="66"/>
    </row>
    <row r="153" spans="6:48" ht="15.75" customHeight="1">
      <c r="F153" s="126"/>
      <c r="H153" s="134">
        <v>13</v>
      </c>
      <c r="I153" s="136">
        <f t="shared" si="11"/>
        <v>17.4322509765625</v>
      </c>
      <c r="J153" s="136">
        <f t="shared" si="12"/>
        <v>17.676367187500002</v>
      </c>
      <c r="K153" s="136">
        <f t="shared" si="7"/>
        <v>9.7956101741119017E-3</v>
      </c>
      <c r="L153" s="136">
        <f t="shared" si="8"/>
        <v>-7.2922162214166253E-3</v>
      </c>
      <c r="M153" s="136">
        <f t="shared" si="9"/>
        <v>17.554309082031253</v>
      </c>
      <c r="N153" s="136">
        <f t="shared" si="10"/>
        <v>1.1861079502635263E-3</v>
      </c>
      <c r="O153" s="66"/>
      <c r="P153" s="66"/>
      <c r="Q153" s="66"/>
      <c r="R153" s="66"/>
      <c r="S153" s="66"/>
      <c r="T153" s="66"/>
      <c r="U153" s="66"/>
      <c r="V153" s="66"/>
      <c r="W153" s="66"/>
      <c r="X153" s="66"/>
      <c r="Y153" s="66"/>
      <c r="Z153" s="66"/>
      <c r="AA153" s="66"/>
      <c r="AB153" s="66"/>
      <c r="AC153" s="66"/>
      <c r="AD153" s="66"/>
      <c r="AE153" s="66"/>
      <c r="AF153" s="66"/>
      <c r="AG153" s="66"/>
      <c r="AH153" s="66"/>
      <c r="AI153" s="66"/>
      <c r="AJ153" s="66"/>
      <c r="AK153" s="66"/>
      <c r="AL153" s="66"/>
      <c r="AM153" s="66"/>
      <c r="AN153" s="66"/>
      <c r="AO153" s="66"/>
      <c r="AP153" s="66"/>
      <c r="AQ153" s="66"/>
      <c r="AR153" s="66"/>
      <c r="AS153" s="66"/>
      <c r="AT153" s="66"/>
      <c r="AU153" s="66"/>
      <c r="AV153" s="66"/>
    </row>
    <row r="154" spans="6:48" ht="15.75" customHeight="1">
      <c r="F154" s="126"/>
      <c r="H154" s="134">
        <v>14</v>
      </c>
      <c r="I154" s="136">
        <f t="shared" si="11"/>
        <v>17.554309082031253</v>
      </c>
      <c r="J154" s="136">
        <f t="shared" si="12"/>
        <v>17.676367187500002</v>
      </c>
      <c r="K154" s="136">
        <f t="shared" si="7"/>
        <v>1.1861079502635263E-3</v>
      </c>
      <c r="L154" s="136">
        <f t="shared" si="8"/>
        <v>-7.2922162214166253E-3</v>
      </c>
      <c r="M154" s="136">
        <f t="shared" si="9"/>
        <v>17.615338134765629</v>
      </c>
      <c r="N154" s="136">
        <f t="shared" si="10"/>
        <v>-3.0692568182041358E-3</v>
      </c>
      <c r="O154" s="66"/>
      <c r="P154" s="66"/>
      <c r="Q154" s="66"/>
      <c r="R154" s="66"/>
      <c r="S154" s="66"/>
      <c r="T154" s="66"/>
      <c r="U154" s="66"/>
      <c r="V154" s="66"/>
      <c r="W154" s="66"/>
      <c r="X154" s="66"/>
      <c r="Y154" s="66"/>
      <c r="Z154" s="66"/>
      <c r="AA154" s="66"/>
      <c r="AB154" s="66"/>
      <c r="AC154" s="66"/>
      <c r="AD154" s="66"/>
      <c r="AE154" s="66"/>
      <c r="AF154" s="66"/>
      <c r="AG154" s="66"/>
      <c r="AH154" s="66"/>
      <c r="AI154" s="66"/>
      <c r="AJ154" s="66"/>
      <c r="AK154" s="66"/>
      <c r="AL154" s="66"/>
      <c r="AM154" s="66"/>
      <c r="AN154" s="66"/>
      <c r="AO154" s="66"/>
      <c r="AP154" s="66"/>
      <c r="AQ154" s="66"/>
      <c r="AR154" s="66"/>
      <c r="AS154" s="66"/>
      <c r="AT154" s="66"/>
      <c r="AU154" s="66"/>
      <c r="AV154" s="66"/>
    </row>
    <row r="155" spans="6:48" ht="15.75" customHeight="1">
      <c r="F155" s="126"/>
      <c r="H155" s="134">
        <v>15</v>
      </c>
      <c r="I155" s="136">
        <f t="shared" si="11"/>
        <v>17.554309082031253</v>
      </c>
      <c r="J155" s="136">
        <f t="shared" si="12"/>
        <v>17.615338134765629</v>
      </c>
      <c r="K155" s="136">
        <f t="shared" si="7"/>
        <v>1.1861079502635263E-3</v>
      </c>
      <c r="L155" s="136">
        <f t="shared" si="8"/>
        <v>-3.0692568182041358E-3</v>
      </c>
      <c r="M155" s="136">
        <f t="shared" si="9"/>
        <v>17.584823608398441</v>
      </c>
      <c r="N155" s="136">
        <f t="shared" si="10"/>
        <v>-9.4564918154238509E-4</v>
      </c>
      <c r="O155" s="66"/>
      <c r="P155" s="66"/>
      <c r="Q155" s="66"/>
      <c r="R155" s="66"/>
      <c r="S155" s="66"/>
      <c r="T155" s="66"/>
      <c r="U155" s="66"/>
      <c r="V155" s="66"/>
      <c r="W155" s="66"/>
      <c r="X155" s="66"/>
      <c r="Y155" s="66"/>
      <c r="Z155" s="66"/>
      <c r="AA155" s="66"/>
      <c r="AB155" s="66"/>
      <c r="AC155" s="66"/>
      <c r="AD155" s="66"/>
      <c r="AE155" s="66"/>
      <c r="AF155" s="66"/>
      <c r="AG155" s="66"/>
      <c r="AH155" s="66"/>
      <c r="AI155" s="66"/>
      <c r="AJ155" s="66"/>
      <c r="AK155" s="66"/>
      <c r="AL155" s="66"/>
      <c r="AM155" s="66"/>
      <c r="AN155" s="66"/>
      <c r="AO155" s="66"/>
      <c r="AP155" s="66"/>
      <c r="AQ155" s="66"/>
      <c r="AR155" s="66"/>
      <c r="AS155" s="66"/>
      <c r="AT155" s="66"/>
      <c r="AU155" s="66"/>
      <c r="AV155" s="66"/>
    </row>
    <row r="156" spans="6:48" ht="15.75" customHeight="1">
      <c r="F156" s="126"/>
      <c r="H156" s="134">
        <v>16</v>
      </c>
      <c r="I156" s="136">
        <f t="shared" si="11"/>
        <v>17.554309082031253</v>
      </c>
      <c r="J156" s="136">
        <f t="shared" si="12"/>
        <v>17.584823608398441</v>
      </c>
      <c r="K156" s="136">
        <f t="shared" si="7"/>
        <v>1.1861079502635263E-3</v>
      </c>
      <c r="L156" s="136">
        <f t="shared" si="8"/>
        <v>-9.4564918154238509E-4</v>
      </c>
      <c r="M156" s="136">
        <f t="shared" si="9"/>
        <v>17.569566345214845</v>
      </c>
      <c r="N156" s="136">
        <f t="shared" si="10"/>
        <v>1.1920766662520954E-4</v>
      </c>
      <c r="O156" s="66"/>
      <c r="P156" s="66"/>
      <c r="Q156" s="66"/>
      <c r="R156" s="66"/>
      <c r="S156" s="66"/>
      <c r="T156" s="66"/>
      <c r="U156" s="66"/>
      <c r="V156" s="66"/>
      <c r="W156" s="66"/>
      <c r="X156" s="66"/>
      <c r="Y156" s="66"/>
      <c r="Z156" s="66"/>
      <c r="AA156" s="66"/>
      <c r="AB156" s="66"/>
      <c r="AC156" s="66"/>
      <c r="AD156" s="66"/>
      <c r="AE156" s="66"/>
      <c r="AF156" s="66"/>
      <c r="AG156" s="66"/>
      <c r="AH156" s="66"/>
      <c r="AI156" s="66"/>
      <c r="AJ156" s="66"/>
      <c r="AK156" s="66"/>
      <c r="AL156" s="66"/>
      <c r="AM156" s="66"/>
      <c r="AN156" s="66"/>
      <c r="AO156" s="66"/>
      <c r="AP156" s="66"/>
      <c r="AQ156" s="66"/>
      <c r="AR156" s="66"/>
      <c r="AS156" s="66"/>
      <c r="AT156" s="66"/>
      <c r="AU156" s="66"/>
      <c r="AV156" s="66"/>
    </row>
    <row r="157" spans="6:48" ht="15.75" customHeight="1">
      <c r="F157" s="126"/>
      <c r="H157" s="134">
        <v>17</v>
      </c>
      <c r="I157" s="136">
        <f t="shared" si="11"/>
        <v>17.569566345214845</v>
      </c>
      <c r="J157" s="136">
        <f t="shared" si="12"/>
        <v>17.584823608398441</v>
      </c>
      <c r="K157" s="136">
        <f t="shared" si="7"/>
        <v>1.1920766662520954E-4</v>
      </c>
      <c r="L157" s="136">
        <f t="shared" si="8"/>
        <v>-9.4564918154238509E-4</v>
      </c>
      <c r="M157" s="136">
        <f t="shared" si="9"/>
        <v>17.577194976806645</v>
      </c>
      <c r="N157" s="136">
        <f t="shared" si="10"/>
        <v>-4.134758070833966E-4</v>
      </c>
      <c r="O157" s="66"/>
      <c r="P157" s="66"/>
      <c r="Q157" s="66"/>
      <c r="R157" s="66"/>
      <c r="S157" s="66"/>
      <c r="T157" s="66"/>
      <c r="U157" s="66"/>
      <c r="V157" s="66"/>
      <c r="W157" s="66"/>
      <c r="X157" s="66"/>
      <c r="Y157" s="66"/>
      <c r="Z157" s="66"/>
      <c r="AA157" s="66"/>
      <c r="AB157" s="66"/>
      <c r="AC157" s="66"/>
      <c r="AD157" s="66"/>
      <c r="AE157" s="66"/>
      <c r="AF157" s="66"/>
      <c r="AG157" s="66"/>
      <c r="AH157" s="66"/>
      <c r="AI157" s="66"/>
      <c r="AJ157" s="66"/>
      <c r="AK157" s="66"/>
      <c r="AL157" s="66"/>
      <c r="AM157" s="66"/>
      <c r="AN157" s="66"/>
      <c r="AO157" s="66"/>
      <c r="AP157" s="66"/>
      <c r="AQ157" s="66"/>
      <c r="AR157" s="66"/>
      <c r="AS157" s="66"/>
      <c r="AT157" s="66"/>
      <c r="AU157" s="66"/>
      <c r="AV157" s="66"/>
    </row>
    <row r="158" spans="6:48" ht="15.75" customHeight="1">
      <c r="F158" s="126"/>
      <c r="H158" s="134">
        <v>18</v>
      </c>
      <c r="I158" s="136">
        <f t="shared" si="11"/>
        <v>17.569566345214845</v>
      </c>
      <c r="J158" s="136">
        <f t="shared" si="12"/>
        <v>17.577194976806645</v>
      </c>
      <c r="K158" s="136">
        <f t="shared" si="7"/>
        <v>1.1920766662520954E-4</v>
      </c>
      <c r="L158" s="136">
        <f t="shared" si="8"/>
        <v>-4.134758070833966E-4</v>
      </c>
      <c r="M158" s="136">
        <f t="shared" si="9"/>
        <v>17.573380661010745</v>
      </c>
      <c r="N158" s="136">
        <f t="shared" si="10"/>
        <v>-1.4719788005179701E-4</v>
      </c>
      <c r="O158" s="66"/>
      <c r="P158" s="66"/>
      <c r="Q158" s="66"/>
      <c r="R158" s="66"/>
      <c r="S158" s="66"/>
      <c r="T158" s="66"/>
      <c r="U158" s="66"/>
      <c r="V158" s="66"/>
      <c r="W158" s="66"/>
      <c r="X158" s="66"/>
      <c r="Y158" s="66"/>
      <c r="Z158" s="66"/>
      <c r="AA158" s="66"/>
      <c r="AB158" s="66"/>
      <c r="AC158" s="66"/>
      <c r="AD158" s="66"/>
      <c r="AE158" s="66"/>
      <c r="AF158" s="66"/>
      <c r="AG158" s="66"/>
      <c r="AH158" s="66"/>
      <c r="AI158" s="66"/>
      <c r="AJ158" s="66"/>
      <c r="AK158" s="66"/>
      <c r="AL158" s="66"/>
      <c r="AM158" s="66"/>
      <c r="AN158" s="66"/>
      <c r="AO158" s="66"/>
      <c r="AP158" s="66"/>
      <c r="AQ158" s="66"/>
      <c r="AR158" s="66"/>
      <c r="AS158" s="66"/>
      <c r="AT158" s="66"/>
      <c r="AU158" s="66"/>
      <c r="AV158" s="66"/>
    </row>
    <row r="159" spans="6:48" ht="15.75" customHeight="1">
      <c r="F159" s="126"/>
      <c r="H159" s="134">
        <v>19</v>
      </c>
      <c r="I159" s="136">
        <f t="shared" si="11"/>
        <v>17.569566345214845</v>
      </c>
      <c r="J159" s="136">
        <f t="shared" si="12"/>
        <v>17.573380661010745</v>
      </c>
      <c r="K159" s="136">
        <f t="shared" si="7"/>
        <v>1.1920766662520954E-4</v>
      </c>
      <c r="L159" s="136">
        <f t="shared" si="8"/>
        <v>-1.4719788005179701E-4</v>
      </c>
      <c r="M159" s="136">
        <f t="shared" si="9"/>
        <v>17.571473503112795</v>
      </c>
      <c r="N159" s="136">
        <f t="shared" si="10"/>
        <v>-1.4011065101016129E-5</v>
      </c>
      <c r="O159" s="66"/>
      <c r="P159" s="66"/>
      <c r="Q159" s="66"/>
      <c r="R159" s="66"/>
      <c r="S159" s="66"/>
      <c r="T159" s="66"/>
      <c r="U159" s="66"/>
      <c r="V159" s="66"/>
      <c r="W159" s="66"/>
      <c r="X159" s="66"/>
      <c r="Y159" s="66"/>
      <c r="Z159" s="66"/>
      <c r="AA159" s="66"/>
      <c r="AB159" s="66"/>
      <c r="AC159" s="66"/>
      <c r="AD159" s="66"/>
      <c r="AE159" s="66"/>
      <c r="AF159" s="66"/>
      <c r="AG159" s="66"/>
      <c r="AH159" s="66"/>
      <c r="AI159" s="66"/>
      <c r="AJ159" s="66"/>
      <c r="AK159" s="66"/>
      <c r="AL159" s="66"/>
      <c r="AM159" s="66"/>
      <c r="AN159" s="66"/>
      <c r="AO159" s="66"/>
      <c r="AP159" s="66"/>
      <c r="AQ159" s="66"/>
      <c r="AR159" s="66"/>
      <c r="AS159" s="66"/>
      <c r="AT159" s="66"/>
      <c r="AU159" s="66"/>
      <c r="AV159" s="66"/>
    </row>
    <row r="160" spans="6:48" ht="15.75" customHeight="1">
      <c r="F160" s="126"/>
      <c r="H160" s="134">
        <v>20</v>
      </c>
      <c r="I160" s="136">
        <f t="shared" si="11"/>
        <v>17.569566345214845</v>
      </c>
      <c r="J160" s="136">
        <f t="shared" si="12"/>
        <v>17.571473503112795</v>
      </c>
      <c r="K160" s="136">
        <f t="shared" si="7"/>
        <v>1.1920766662520954E-4</v>
      </c>
      <c r="L160" s="136">
        <f t="shared" si="8"/>
        <v>-1.4011065101016129E-5</v>
      </c>
      <c r="M160" s="136">
        <f t="shared" si="9"/>
        <v>17.570519924163818</v>
      </c>
      <c r="N160" s="136">
        <f t="shared" si="10"/>
        <v>5.2594310423703661E-5</v>
      </c>
      <c r="O160" s="66"/>
      <c r="P160" s="66"/>
      <c r="Q160" s="66"/>
      <c r="R160" s="66"/>
      <c r="S160" s="66"/>
      <c r="T160" s="66"/>
      <c r="U160" s="66"/>
      <c r="V160" s="66"/>
      <c r="W160" s="66"/>
      <c r="X160" s="66"/>
      <c r="Y160" s="66"/>
      <c r="Z160" s="66"/>
      <c r="AA160" s="66"/>
      <c r="AB160" s="66"/>
      <c r="AC160" s="66"/>
      <c r="AD160" s="66"/>
      <c r="AE160" s="66"/>
      <c r="AF160" s="66"/>
      <c r="AG160" s="66"/>
      <c r="AH160" s="66"/>
      <c r="AI160" s="66"/>
      <c r="AJ160" s="66"/>
      <c r="AK160" s="66"/>
      <c r="AL160" s="66"/>
      <c r="AM160" s="66"/>
      <c r="AN160" s="66"/>
      <c r="AO160" s="66"/>
      <c r="AP160" s="66"/>
      <c r="AQ160" s="66"/>
      <c r="AR160" s="66"/>
      <c r="AS160" s="66"/>
      <c r="AT160" s="66"/>
      <c r="AU160" s="66"/>
      <c r="AV160" s="66"/>
    </row>
    <row r="161" spans="6:48" ht="15.75" customHeight="1">
      <c r="F161" s="126"/>
      <c r="H161" s="134">
        <v>21</v>
      </c>
      <c r="I161" s="136">
        <f t="shared" si="11"/>
        <v>17.570519924163818</v>
      </c>
      <c r="J161" s="136">
        <f t="shared" si="12"/>
        <v>17.571473503112795</v>
      </c>
      <c r="K161" s="136">
        <f t="shared" si="7"/>
        <v>5.2594310423703661E-5</v>
      </c>
      <c r="L161" s="136">
        <f t="shared" si="8"/>
        <v>-1.4011065101016129E-5</v>
      </c>
      <c r="M161" s="136">
        <f t="shared" si="9"/>
        <v>17.570996713638309</v>
      </c>
      <c r="N161" s="136">
        <f t="shared" si="10"/>
        <v>1.9290625169254838E-5</v>
      </c>
      <c r="O161" s="66"/>
      <c r="P161" s="66"/>
      <c r="Q161" s="66"/>
      <c r="R161" s="66"/>
      <c r="S161" s="66"/>
      <c r="T161" s="66"/>
      <c r="U161" s="66"/>
      <c r="V161" s="66"/>
      <c r="W161" s="66"/>
      <c r="X161" s="66"/>
      <c r="Y161" s="66"/>
      <c r="Z161" s="66"/>
      <c r="AA161" s="66"/>
      <c r="AB161" s="66"/>
      <c r="AC161" s="66"/>
      <c r="AD161" s="66"/>
      <c r="AE161" s="66"/>
      <c r="AF161" s="66"/>
      <c r="AG161" s="66"/>
      <c r="AH161" s="66"/>
      <c r="AI161" s="66"/>
      <c r="AJ161" s="66"/>
      <c r="AK161" s="66"/>
      <c r="AL161" s="66"/>
      <c r="AM161" s="66"/>
      <c r="AN161" s="66"/>
      <c r="AO161" s="66"/>
      <c r="AP161" s="66"/>
      <c r="AQ161" s="66"/>
      <c r="AR161" s="66"/>
      <c r="AS161" s="66"/>
      <c r="AT161" s="66"/>
      <c r="AU161" s="66"/>
      <c r="AV161" s="66"/>
    </row>
    <row r="162" spans="6:48" ht="15.75" customHeight="1">
      <c r="F162" s="126"/>
      <c r="H162" s="134">
        <v>22</v>
      </c>
      <c r="I162" s="136">
        <f t="shared" si="11"/>
        <v>17.570996713638309</v>
      </c>
      <c r="J162" s="136">
        <f t="shared" si="12"/>
        <v>17.571473503112795</v>
      </c>
      <c r="K162" s="136">
        <f t="shared" si="7"/>
        <v>1.9290625169254838E-5</v>
      </c>
      <c r="L162" s="136">
        <f t="shared" si="8"/>
        <v>-1.4011065101016129E-5</v>
      </c>
      <c r="M162" s="136">
        <f t="shared" si="9"/>
        <v>17.571235108375554</v>
      </c>
      <c r="N162" s="136">
        <f t="shared" si="10"/>
        <v>2.6395306724769085E-6</v>
      </c>
      <c r="O162" s="66"/>
      <c r="P162" s="66"/>
      <c r="Q162" s="66"/>
      <c r="R162" s="66"/>
      <c r="S162" s="66"/>
      <c r="T162" s="66"/>
      <c r="U162" s="66"/>
      <c r="V162" s="66"/>
      <c r="W162" s="66"/>
      <c r="X162" s="66"/>
      <c r="Y162" s="66"/>
      <c r="Z162" s="66"/>
      <c r="AA162" s="66"/>
      <c r="AB162" s="66"/>
      <c r="AC162" s="66"/>
      <c r="AD162" s="66"/>
      <c r="AE162" s="66"/>
      <c r="AF162" s="66"/>
      <c r="AG162" s="66"/>
      <c r="AH162" s="66"/>
      <c r="AI162" s="66"/>
      <c r="AJ162" s="66"/>
      <c r="AK162" s="66"/>
      <c r="AL162" s="66"/>
      <c r="AM162" s="66"/>
      <c r="AN162" s="66"/>
      <c r="AO162" s="66"/>
      <c r="AP162" s="66"/>
      <c r="AQ162" s="66"/>
      <c r="AR162" s="66"/>
      <c r="AS162" s="66"/>
      <c r="AT162" s="66"/>
      <c r="AU162" s="66"/>
      <c r="AV162" s="66"/>
    </row>
    <row r="163" spans="6:48" ht="15.75" customHeight="1">
      <c r="F163" s="126"/>
      <c r="H163" s="134">
        <v>23</v>
      </c>
      <c r="I163" s="136">
        <f t="shared" si="11"/>
        <v>17.571235108375554</v>
      </c>
      <c r="J163" s="136">
        <f t="shared" si="12"/>
        <v>17.571473503112795</v>
      </c>
      <c r="K163" s="136">
        <f t="shared" si="7"/>
        <v>2.6395306724769085E-6</v>
      </c>
      <c r="L163" s="136">
        <f t="shared" si="8"/>
        <v>-1.4011065101016129E-5</v>
      </c>
      <c r="M163" s="136">
        <f t="shared" si="9"/>
        <v>17.571354305744173</v>
      </c>
      <c r="N163" s="136">
        <f t="shared" si="10"/>
        <v>-5.6858295531814207E-6</v>
      </c>
      <c r="O163" s="66"/>
      <c r="P163" s="66"/>
      <c r="Q163" s="66"/>
      <c r="R163" s="66"/>
      <c r="S163" s="66"/>
      <c r="T163" s="66"/>
      <c r="U163" s="66"/>
      <c r="V163" s="66"/>
      <c r="W163" s="66"/>
      <c r="X163" s="66"/>
      <c r="Y163" s="66"/>
      <c r="Z163" s="66"/>
      <c r="AA163" s="66"/>
      <c r="AB163" s="66"/>
      <c r="AC163" s="66"/>
      <c r="AD163" s="66"/>
      <c r="AE163" s="66"/>
      <c r="AF163" s="66"/>
      <c r="AG163" s="66"/>
      <c r="AH163" s="66"/>
      <c r="AI163" s="66"/>
      <c r="AJ163" s="66"/>
      <c r="AK163" s="66"/>
      <c r="AL163" s="66"/>
      <c r="AM163" s="66"/>
      <c r="AN163" s="66"/>
      <c r="AO163" s="66"/>
      <c r="AP163" s="66"/>
      <c r="AQ163" s="66"/>
      <c r="AR163" s="66"/>
      <c r="AS163" s="66"/>
      <c r="AT163" s="66"/>
      <c r="AU163" s="66"/>
      <c r="AV163" s="66"/>
    </row>
    <row r="164" spans="6:48" ht="15.75" customHeight="1">
      <c r="F164" s="126"/>
      <c r="H164" s="134">
        <v>24</v>
      </c>
      <c r="I164" s="136">
        <f t="shared" si="11"/>
        <v>17.571235108375554</v>
      </c>
      <c r="J164" s="136">
        <f t="shared" si="12"/>
        <v>17.571354305744173</v>
      </c>
      <c r="K164" s="136">
        <f t="shared" si="7"/>
        <v>2.6395306724769085E-6</v>
      </c>
      <c r="L164" s="136">
        <f t="shared" si="8"/>
        <v>-5.6858295531814207E-6</v>
      </c>
      <c r="M164" s="136">
        <f t="shared" si="9"/>
        <v>17.571294707059863</v>
      </c>
      <c r="N164" s="136">
        <f t="shared" si="10"/>
        <v>-1.5231650248859196E-6</v>
      </c>
      <c r="O164" s="66"/>
      <c r="P164" s="66"/>
      <c r="Q164" s="66"/>
      <c r="R164" s="66"/>
      <c r="S164" s="66"/>
      <c r="T164" s="66"/>
      <c r="U164" s="66"/>
      <c r="V164" s="66"/>
      <c r="W164" s="66"/>
      <c r="X164" s="66"/>
      <c r="Y164" s="66"/>
      <c r="Z164" s="66"/>
      <c r="AA164" s="66"/>
      <c r="AB164" s="66"/>
      <c r="AC164" s="66"/>
      <c r="AD164" s="66"/>
      <c r="AE164" s="66"/>
      <c r="AF164" s="66"/>
      <c r="AG164" s="66"/>
      <c r="AH164" s="66"/>
      <c r="AI164" s="66"/>
      <c r="AJ164" s="66"/>
      <c r="AK164" s="66"/>
      <c r="AL164" s="66"/>
      <c r="AM164" s="66"/>
      <c r="AN164" s="66"/>
      <c r="AO164" s="66"/>
      <c r="AP164" s="66"/>
      <c r="AQ164" s="66"/>
      <c r="AR164" s="66"/>
      <c r="AS164" s="66"/>
      <c r="AT164" s="66"/>
      <c r="AU164" s="66"/>
      <c r="AV164" s="66"/>
    </row>
    <row r="165" spans="6:48" ht="15.75" customHeight="1">
      <c r="F165" s="126"/>
      <c r="H165" s="134">
        <v>25</v>
      </c>
      <c r="I165" s="136">
        <f t="shared" si="11"/>
        <v>17.571235108375554</v>
      </c>
      <c r="J165" s="136">
        <f t="shared" si="12"/>
        <v>17.571294707059863</v>
      </c>
      <c r="K165" s="136">
        <f t="shared" si="7"/>
        <v>2.6395306724769085E-6</v>
      </c>
      <c r="L165" s="136">
        <f t="shared" si="8"/>
        <v>-1.5231650248859196E-6</v>
      </c>
      <c r="M165" s="136">
        <f t="shared" si="9"/>
        <v>17.571264907717708</v>
      </c>
      <c r="N165" s="136">
        <f t="shared" si="10"/>
        <v>5.5817892730125607E-7</v>
      </c>
      <c r="O165" s="66"/>
      <c r="P165" s="66"/>
      <c r="Q165" s="66"/>
      <c r="R165" s="66"/>
      <c r="S165" s="66"/>
      <c r="T165" s="66"/>
      <c r="U165" s="66"/>
      <c r="V165" s="66"/>
      <c r="W165" s="66"/>
      <c r="X165" s="66"/>
      <c r="Y165" s="66"/>
      <c r="Z165" s="66"/>
      <c r="AA165" s="66"/>
      <c r="AB165" s="66"/>
      <c r="AC165" s="66"/>
      <c r="AD165" s="66"/>
      <c r="AE165" s="66"/>
      <c r="AF165" s="66"/>
      <c r="AG165" s="66"/>
      <c r="AH165" s="66"/>
      <c r="AI165" s="66"/>
      <c r="AJ165" s="66"/>
      <c r="AK165" s="66"/>
      <c r="AL165" s="66"/>
      <c r="AM165" s="66"/>
      <c r="AN165" s="66"/>
      <c r="AO165" s="66"/>
      <c r="AP165" s="66"/>
      <c r="AQ165" s="66"/>
      <c r="AR165" s="66"/>
      <c r="AS165" s="66"/>
      <c r="AT165" s="66"/>
      <c r="AU165" s="66"/>
      <c r="AV165" s="66"/>
    </row>
    <row r="166" spans="6:48" ht="15.75" customHeight="1">
      <c r="F166" s="126"/>
      <c r="H166" s="134">
        <v>26</v>
      </c>
      <c r="I166" s="136">
        <f t="shared" si="11"/>
        <v>17.571264907717708</v>
      </c>
      <c r="J166" s="136">
        <f t="shared" si="12"/>
        <v>17.571294707059863</v>
      </c>
      <c r="K166" s="136">
        <f t="shared" si="7"/>
        <v>5.5817892730125607E-7</v>
      </c>
      <c r="L166" s="136">
        <f t="shared" si="8"/>
        <v>-1.5231650248859196E-6</v>
      </c>
      <c r="M166" s="136">
        <f t="shared" si="9"/>
        <v>17.571279807388784</v>
      </c>
      <c r="N166" s="136">
        <f t="shared" si="10"/>
        <v>-4.8249402273548014E-7</v>
      </c>
      <c r="O166" s="66"/>
      <c r="P166" s="66"/>
      <c r="Q166" s="66"/>
      <c r="R166" s="66"/>
      <c r="S166" s="66"/>
      <c r="T166" s="66"/>
      <c r="U166" s="66"/>
      <c r="V166" s="66"/>
      <c r="W166" s="66"/>
      <c r="X166" s="66"/>
      <c r="Y166" s="66"/>
      <c r="Z166" s="66"/>
      <c r="AA166" s="66"/>
      <c r="AB166" s="66"/>
      <c r="AC166" s="66"/>
      <c r="AD166" s="66"/>
      <c r="AE166" s="66"/>
      <c r="AF166" s="66"/>
      <c r="AG166" s="66"/>
      <c r="AH166" s="66"/>
      <c r="AI166" s="66"/>
      <c r="AJ166" s="66"/>
      <c r="AK166" s="66"/>
      <c r="AL166" s="66"/>
      <c r="AM166" s="66"/>
      <c r="AN166" s="66"/>
      <c r="AO166" s="66"/>
      <c r="AP166" s="66"/>
      <c r="AQ166" s="66"/>
      <c r="AR166" s="66"/>
      <c r="AS166" s="66"/>
      <c r="AT166" s="66"/>
      <c r="AU166" s="66"/>
      <c r="AV166" s="66"/>
    </row>
    <row r="167" spans="6:48" ht="15.75" customHeight="1">
      <c r="F167" s="126"/>
      <c r="H167" s="134">
        <v>27</v>
      </c>
      <c r="I167" s="136">
        <f t="shared" si="11"/>
        <v>17.571264907717708</v>
      </c>
      <c r="J167" s="136">
        <f t="shared" si="12"/>
        <v>17.571279807388784</v>
      </c>
      <c r="K167" s="136">
        <f t="shared" si="7"/>
        <v>5.5817892730125607E-7</v>
      </c>
      <c r="L167" s="136">
        <f t="shared" si="8"/>
        <v>-4.8249402273548014E-7</v>
      </c>
      <c r="M167" s="136">
        <f t="shared" si="9"/>
        <v>17.571272357553248</v>
      </c>
      <c r="N167" s="136">
        <f t="shared" si="10"/>
        <v>3.7842208699956359E-8</v>
      </c>
      <c r="O167" s="66"/>
      <c r="P167" s="66"/>
      <c r="Q167" s="66"/>
      <c r="R167" s="66"/>
      <c r="S167" s="66"/>
      <c r="T167" s="66"/>
      <c r="U167" s="66"/>
      <c r="V167" s="66"/>
      <c r="W167" s="66"/>
      <c r="X167" s="66"/>
      <c r="Y167" s="66"/>
      <c r="Z167" s="66"/>
      <c r="AA167" s="66"/>
      <c r="AB167" s="66"/>
      <c r="AC167" s="66"/>
      <c r="AD167" s="66"/>
      <c r="AE167" s="66"/>
      <c r="AF167" s="66"/>
      <c r="AG167" s="66"/>
      <c r="AH167" s="66"/>
      <c r="AI167" s="66"/>
      <c r="AJ167" s="66"/>
      <c r="AK167" s="66"/>
      <c r="AL167" s="66"/>
      <c r="AM167" s="66"/>
      <c r="AN167" s="66"/>
      <c r="AO167" s="66"/>
      <c r="AP167" s="66"/>
      <c r="AQ167" s="66"/>
      <c r="AR167" s="66"/>
      <c r="AS167" s="66"/>
      <c r="AT167" s="66"/>
      <c r="AU167" s="66"/>
      <c r="AV167" s="66"/>
    </row>
    <row r="168" spans="6:48" ht="15.75" customHeight="1">
      <c r="F168" s="126"/>
      <c r="H168" s="134"/>
      <c r="I168" s="136"/>
      <c r="J168" s="136"/>
      <c r="K168" s="136"/>
      <c r="L168" s="136"/>
      <c r="M168" s="136"/>
      <c r="N168" s="136"/>
      <c r="O168" s="66"/>
      <c r="P168" s="66"/>
      <c r="Q168" s="66"/>
      <c r="R168" s="66"/>
      <c r="S168" s="66"/>
      <c r="T168" s="66"/>
      <c r="U168" s="66"/>
      <c r="V168" s="66"/>
      <c r="W168" s="66"/>
      <c r="X168" s="66"/>
      <c r="Y168" s="66"/>
      <c r="Z168" s="66"/>
      <c r="AA168" s="66"/>
      <c r="AB168" s="66"/>
      <c r="AC168" s="66"/>
      <c r="AD168" s="66"/>
      <c r="AE168" s="66"/>
      <c r="AF168" s="66"/>
      <c r="AG168" s="66"/>
      <c r="AH168" s="66"/>
      <c r="AI168" s="66"/>
      <c r="AJ168" s="66"/>
      <c r="AK168" s="66"/>
      <c r="AL168" s="66"/>
      <c r="AM168" s="66"/>
      <c r="AN168" s="66"/>
      <c r="AO168" s="66"/>
      <c r="AP168" s="66"/>
      <c r="AQ168" s="66"/>
      <c r="AR168" s="66"/>
      <c r="AS168" s="66"/>
      <c r="AT168" s="66"/>
      <c r="AU168" s="66"/>
      <c r="AV168" s="66"/>
    </row>
    <row r="169" spans="6:48" ht="15.75" customHeight="1">
      <c r="F169" s="126"/>
      <c r="H169" s="134"/>
      <c r="I169" s="136"/>
      <c r="J169" s="136"/>
      <c r="K169" s="136"/>
      <c r="L169" s="136"/>
      <c r="M169" s="136"/>
      <c r="N169" s="136"/>
      <c r="O169" s="66"/>
      <c r="P169" s="66"/>
      <c r="Q169" s="66"/>
      <c r="R169" s="66"/>
      <c r="S169" s="66"/>
      <c r="T169" s="66"/>
      <c r="U169" s="66"/>
      <c r="V169" s="66"/>
      <c r="W169" s="66"/>
      <c r="X169" s="66"/>
      <c r="Y169" s="66"/>
      <c r="Z169" s="66"/>
      <c r="AA169" s="66"/>
      <c r="AB169" s="66"/>
      <c r="AC169" s="66"/>
      <c r="AD169" s="66"/>
      <c r="AE169" s="66"/>
      <c r="AF169" s="66"/>
      <c r="AG169" s="66"/>
      <c r="AH169" s="66"/>
      <c r="AI169" s="66"/>
      <c r="AJ169" s="66"/>
      <c r="AK169" s="66"/>
      <c r="AL169" s="66"/>
      <c r="AM169" s="66"/>
      <c r="AN169" s="66"/>
      <c r="AO169" s="66"/>
      <c r="AP169" s="66"/>
      <c r="AQ169" s="66"/>
      <c r="AR169" s="66"/>
      <c r="AS169" s="66"/>
      <c r="AT169" s="66"/>
      <c r="AU169" s="66"/>
      <c r="AV169" s="66"/>
    </row>
    <row r="170" spans="6:48" ht="15.75" customHeight="1">
      <c r="F170" s="126"/>
      <c r="H170" s="134"/>
      <c r="I170" s="136"/>
      <c r="J170" s="136"/>
      <c r="K170" s="136"/>
      <c r="L170" s="136"/>
      <c r="M170" s="136"/>
      <c r="N170" s="136"/>
      <c r="O170" s="66"/>
      <c r="P170" s="66"/>
      <c r="Q170" s="66"/>
      <c r="R170" s="66"/>
      <c r="S170" s="66"/>
      <c r="T170" s="66"/>
      <c r="U170" s="66"/>
      <c r="V170" s="66"/>
      <c r="W170" s="66"/>
      <c r="X170" s="66"/>
      <c r="Y170" s="66"/>
      <c r="Z170" s="66"/>
      <c r="AA170" s="66"/>
      <c r="AB170" s="66"/>
      <c r="AC170" s="66"/>
      <c r="AD170" s="66"/>
      <c r="AE170" s="66"/>
      <c r="AF170" s="66"/>
      <c r="AG170" s="66"/>
      <c r="AH170" s="66"/>
      <c r="AI170" s="66"/>
      <c r="AJ170" s="66"/>
      <c r="AK170" s="66"/>
      <c r="AL170" s="66"/>
      <c r="AM170" s="66"/>
      <c r="AN170" s="66"/>
      <c r="AO170" s="66"/>
      <c r="AP170" s="66"/>
      <c r="AQ170" s="66"/>
      <c r="AR170" s="66"/>
      <c r="AS170" s="66"/>
      <c r="AT170" s="66"/>
      <c r="AU170" s="66"/>
      <c r="AV170" s="66"/>
    </row>
    <row r="171" spans="6:48" ht="15.75" customHeight="1">
      <c r="F171" s="126"/>
      <c r="H171" s="134"/>
      <c r="I171" s="136"/>
      <c r="J171" s="136"/>
      <c r="K171" s="136"/>
      <c r="L171" s="136"/>
      <c r="M171" s="136"/>
      <c r="N171" s="136"/>
      <c r="O171" s="66"/>
      <c r="P171" s="66"/>
      <c r="Q171" s="66"/>
      <c r="R171" s="66"/>
      <c r="S171" s="66"/>
      <c r="T171" s="66"/>
      <c r="U171" s="66"/>
      <c r="V171" s="66"/>
      <c r="W171" s="66"/>
      <c r="X171" s="66"/>
      <c r="Y171" s="66"/>
      <c r="Z171" s="66"/>
      <c r="AA171" s="66"/>
      <c r="AB171" s="66"/>
      <c r="AC171" s="66"/>
      <c r="AD171" s="66"/>
      <c r="AE171" s="66"/>
      <c r="AF171" s="66"/>
      <c r="AG171" s="66"/>
      <c r="AH171" s="66"/>
      <c r="AI171" s="66"/>
      <c r="AJ171" s="66"/>
      <c r="AK171" s="66"/>
      <c r="AL171" s="66"/>
      <c r="AM171" s="66"/>
      <c r="AN171" s="66"/>
      <c r="AO171" s="66"/>
      <c r="AP171" s="66"/>
      <c r="AQ171" s="66"/>
      <c r="AR171" s="66"/>
      <c r="AS171" s="66"/>
      <c r="AT171" s="66"/>
      <c r="AU171" s="66"/>
      <c r="AV171" s="66"/>
    </row>
    <row r="172" spans="6:48" ht="15.75" customHeight="1">
      <c r="F172" s="126"/>
      <c r="H172" s="134"/>
      <c r="I172" s="136"/>
      <c r="J172" s="136"/>
      <c r="K172" s="136"/>
      <c r="L172" s="136"/>
      <c r="M172" s="136"/>
      <c r="N172" s="136"/>
      <c r="O172" s="66"/>
      <c r="P172" s="66"/>
      <c r="Q172" s="66"/>
      <c r="R172" s="66"/>
      <c r="S172" s="66"/>
      <c r="T172" s="66"/>
      <c r="U172" s="66"/>
      <c r="V172" s="66"/>
      <c r="W172" s="66"/>
      <c r="X172" s="66"/>
      <c r="Y172" s="66"/>
      <c r="Z172" s="66"/>
      <c r="AA172" s="66"/>
      <c r="AB172" s="66"/>
      <c r="AC172" s="66"/>
      <c r="AD172" s="66"/>
      <c r="AE172" s="66"/>
      <c r="AF172" s="66"/>
      <c r="AG172" s="66"/>
      <c r="AH172" s="66"/>
      <c r="AI172" s="66"/>
      <c r="AJ172" s="66"/>
      <c r="AK172" s="66"/>
      <c r="AL172" s="66"/>
      <c r="AM172" s="66"/>
      <c r="AN172" s="66"/>
      <c r="AO172" s="66"/>
      <c r="AP172" s="66"/>
      <c r="AQ172" s="66"/>
      <c r="AR172" s="66"/>
      <c r="AS172" s="66"/>
      <c r="AT172" s="66"/>
      <c r="AU172" s="66"/>
      <c r="AV172" s="66"/>
    </row>
    <row r="173" spans="6:48" ht="15.75" customHeight="1">
      <c r="F173" s="126"/>
      <c r="H173" s="134"/>
      <c r="I173" s="136"/>
      <c r="J173" s="136"/>
      <c r="K173" s="136"/>
      <c r="L173" s="136"/>
      <c r="M173" s="136"/>
      <c r="N173" s="136"/>
      <c r="O173" s="66"/>
      <c r="P173" s="66"/>
      <c r="Q173" s="66"/>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row>
    <row r="174" spans="6:48" ht="15.75" customHeight="1">
      <c r="F174" s="126"/>
      <c r="H174" s="134"/>
      <c r="I174" s="136"/>
      <c r="J174" s="136"/>
      <c r="K174" s="136"/>
      <c r="L174" s="136"/>
      <c r="M174" s="136"/>
      <c r="N174" s="136"/>
      <c r="O174" s="66"/>
      <c r="P174" s="66"/>
      <c r="Q174" s="66"/>
      <c r="R174" s="66"/>
      <c r="S174" s="66"/>
      <c r="T174" s="66"/>
      <c r="U174" s="66"/>
      <c r="V174" s="66"/>
      <c r="W174" s="66"/>
      <c r="X174" s="66"/>
      <c r="Y174" s="66"/>
      <c r="Z174" s="66"/>
      <c r="AA174" s="66"/>
      <c r="AB174" s="66"/>
      <c r="AC174" s="66"/>
      <c r="AD174" s="66"/>
      <c r="AE174" s="66"/>
      <c r="AF174" s="66"/>
      <c r="AG174" s="66"/>
      <c r="AH174" s="66"/>
      <c r="AI174" s="66"/>
      <c r="AJ174" s="66"/>
      <c r="AK174" s="66"/>
      <c r="AL174" s="66"/>
      <c r="AM174" s="66"/>
      <c r="AN174" s="66"/>
      <c r="AO174" s="66"/>
      <c r="AP174" s="66"/>
      <c r="AQ174" s="66"/>
      <c r="AR174" s="66"/>
      <c r="AS174" s="66"/>
      <c r="AT174" s="66"/>
      <c r="AU174" s="66"/>
      <c r="AV174" s="66"/>
    </row>
    <row r="175" spans="6:48" ht="15.75" customHeight="1">
      <c r="F175" s="126"/>
      <c r="H175" s="134"/>
      <c r="I175" s="136"/>
      <c r="J175" s="136"/>
      <c r="K175" s="136"/>
      <c r="L175" s="136"/>
      <c r="M175" s="136"/>
      <c r="N175" s="136"/>
      <c r="O175" s="66"/>
      <c r="P175" s="66"/>
      <c r="Q175" s="66"/>
      <c r="R175" s="66"/>
      <c r="S175" s="66"/>
      <c r="T175" s="66"/>
      <c r="U175" s="66"/>
      <c r="V175" s="66"/>
      <c r="W175" s="66"/>
      <c r="X175" s="66"/>
      <c r="Y175" s="66"/>
      <c r="Z175" s="66"/>
      <c r="AA175" s="66"/>
      <c r="AB175" s="66"/>
      <c r="AC175" s="66"/>
      <c r="AD175" s="66"/>
      <c r="AE175" s="66"/>
      <c r="AF175" s="66"/>
      <c r="AG175" s="66"/>
      <c r="AH175" s="66"/>
      <c r="AI175" s="66"/>
      <c r="AJ175" s="66"/>
      <c r="AK175" s="66"/>
      <c r="AL175" s="66"/>
      <c r="AM175" s="66"/>
      <c r="AN175" s="66"/>
      <c r="AO175" s="66"/>
      <c r="AP175" s="66"/>
      <c r="AQ175" s="66"/>
      <c r="AR175" s="66"/>
      <c r="AS175" s="66"/>
      <c r="AT175" s="66"/>
      <c r="AU175" s="66"/>
      <c r="AV175" s="66"/>
    </row>
    <row r="176" spans="6:48" ht="15.75" customHeight="1">
      <c r="F176" s="126"/>
      <c r="H176" s="134"/>
      <c r="I176" s="136"/>
      <c r="J176" s="136"/>
      <c r="K176" s="136"/>
      <c r="L176" s="136"/>
      <c r="M176" s="136"/>
      <c r="N176" s="136"/>
      <c r="O176" s="66"/>
      <c r="P176" s="66"/>
      <c r="Q176" s="66"/>
      <c r="R176" s="66"/>
      <c r="S176" s="66"/>
      <c r="T176" s="66"/>
      <c r="U176" s="66"/>
      <c r="V176" s="66"/>
      <c r="W176" s="66"/>
      <c r="X176" s="66"/>
      <c r="Y176" s="66"/>
      <c r="Z176" s="66"/>
      <c r="AA176" s="66"/>
      <c r="AB176" s="66"/>
      <c r="AC176" s="66"/>
      <c r="AD176" s="66"/>
      <c r="AE176" s="66"/>
      <c r="AF176" s="66"/>
      <c r="AG176" s="66"/>
      <c r="AH176" s="66"/>
      <c r="AI176" s="66"/>
      <c r="AJ176" s="66"/>
      <c r="AK176" s="66"/>
      <c r="AL176" s="66"/>
      <c r="AM176" s="66"/>
      <c r="AN176" s="66"/>
      <c r="AO176" s="66"/>
      <c r="AP176" s="66"/>
      <c r="AQ176" s="66"/>
      <c r="AR176" s="66"/>
      <c r="AS176" s="66"/>
      <c r="AT176" s="66"/>
      <c r="AU176" s="66"/>
      <c r="AV176" s="66"/>
    </row>
    <row r="177" spans="6:48" ht="15.75" customHeight="1">
      <c r="F177" s="126"/>
      <c r="H177" s="134"/>
      <c r="I177" s="136"/>
      <c r="J177" s="136"/>
      <c r="K177" s="136"/>
      <c r="L177" s="136"/>
      <c r="M177" s="136"/>
      <c r="N177" s="136"/>
      <c r="O177" s="66"/>
      <c r="P177" s="66"/>
      <c r="Q177" s="66"/>
      <c r="R177" s="66"/>
      <c r="S177" s="66"/>
      <c r="T177" s="66"/>
      <c r="U177" s="66"/>
      <c r="V177" s="66"/>
      <c r="W177" s="66"/>
      <c r="X177" s="66"/>
      <c r="Y177" s="66"/>
      <c r="Z177" s="66"/>
      <c r="AA177" s="66"/>
      <c r="AB177" s="66"/>
      <c r="AC177" s="66"/>
      <c r="AD177" s="66"/>
      <c r="AE177" s="66"/>
      <c r="AF177" s="66"/>
      <c r="AG177" s="66"/>
      <c r="AH177" s="66"/>
      <c r="AI177" s="66"/>
      <c r="AJ177" s="66"/>
      <c r="AK177" s="66"/>
      <c r="AL177" s="66"/>
      <c r="AM177" s="66"/>
      <c r="AN177" s="66"/>
      <c r="AO177" s="66"/>
      <c r="AP177" s="66"/>
      <c r="AQ177" s="66"/>
      <c r="AR177" s="66"/>
      <c r="AS177" s="66"/>
      <c r="AT177" s="66"/>
      <c r="AU177" s="66"/>
      <c r="AV177" s="66"/>
    </row>
    <row r="178" spans="6:48" ht="15.75" customHeight="1">
      <c r="F178" s="126"/>
      <c r="H178" s="134"/>
      <c r="I178" s="136"/>
      <c r="J178" s="136"/>
      <c r="K178" s="136"/>
      <c r="L178" s="136"/>
      <c r="M178" s="136"/>
      <c r="N178" s="136"/>
      <c r="O178" s="66"/>
      <c r="P178" s="66"/>
      <c r="Q178" s="66"/>
      <c r="R178" s="66"/>
      <c r="S178" s="66"/>
      <c r="T178" s="66"/>
      <c r="U178" s="66"/>
      <c r="V178" s="66"/>
      <c r="W178" s="66"/>
      <c r="X178" s="66"/>
      <c r="Y178" s="66"/>
      <c r="Z178" s="66"/>
      <c r="AA178" s="66"/>
      <c r="AB178" s="66"/>
      <c r="AC178" s="66"/>
      <c r="AD178" s="66"/>
      <c r="AE178" s="66"/>
      <c r="AF178" s="66"/>
      <c r="AG178" s="66"/>
      <c r="AH178" s="66"/>
      <c r="AI178" s="66"/>
      <c r="AJ178" s="66"/>
      <c r="AK178" s="66"/>
      <c r="AL178" s="66"/>
      <c r="AM178" s="66"/>
      <c r="AN178" s="66"/>
      <c r="AO178" s="66"/>
      <c r="AP178" s="66"/>
      <c r="AQ178" s="66"/>
      <c r="AR178" s="66"/>
      <c r="AS178" s="66"/>
      <c r="AT178" s="66"/>
      <c r="AU178" s="66"/>
      <c r="AV178" s="66"/>
    </row>
    <row r="179" spans="6:48" ht="15.75" customHeight="1">
      <c r="H179" s="134"/>
      <c r="I179" s="136"/>
      <c r="J179" s="136"/>
      <c r="K179" s="136"/>
      <c r="L179" s="136"/>
      <c r="M179" s="136"/>
      <c r="N179" s="136"/>
      <c r="O179" s="66"/>
      <c r="P179" s="66"/>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row>
    <row r="180" spans="6:48" ht="15.75" customHeight="1">
      <c r="H180" s="134"/>
      <c r="I180" s="136"/>
      <c r="J180" s="136"/>
      <c r="K180" s="136"/>
      <c r="L180" s="136"/>
      <c r="M180" s="136"/>
      <c r="N180" s="136"/>
      <c r="O180" s="66"/>
      <c r="P180" s="66"/>
      <c r="Q180" s="66"/>
      <c r="R180" s="66"/>
      <c r="S180" s="66"/>
      <c r="T180" s="66"/>
      <c r="U180" s="66"/>
      <c r="V180" s="66"/>
      <c r="W180" s="66"/>
      <c r="X180" s="66"/>
      <c r="Y180" s="66"/>
      <c r="Z180" s="66"/>
      <c r="AA180" s="66"/>
      <c r="AB180" s="66"/>
      <c r="AC180" s="66"/>
      <c r="AD180" s="66"/>
      <c r="AE180" s="66"/>
      <c r="AF180" s="66"/>
      <c r="AG180" s="66"/>
      <c r="AH180" s="66"/>
      <c r="AI180" s="66"/>
      <c r="AJ180" s="66"/>
      <c r="AK180" s="66"/>
      <c r="AL180" s="66"/>
      <c r="AM180" s="66"/>
      <c r="AN180" s="66"/>
      <c r="AO180" s="66"/>
      <c r="AP180" s="66"/>
      <c r="AQ180" s="66"/>
      <c r="AR180" s="66"/>
      <c r="AS180" s="66"/>
      <c r="AT180" s="66"/>
      <c r="AU180" s="66"/>
      <c r="AV180" s="66"/>
    </row>
    <row r="181" spans="6:48" ht="15" customHeight="1">
      <c r="H181" s="66"/>
      <c r="I181" s="66"/>
      <c r="J181" s="66"/>
      <c r="K181" s="66"/>
      <c r="L181" s="66"/>
      <c r="M181" s="66"/>
      <c r="N181" s="66"/>
      <c r="O181" s="66"/>
      <c r="P181" s="66"/>
      <c r="Q181" s="66"/>
      <c r="R181" s="66"/>
      <c r="S181" s="66"/>
      <c r="T181" s="66"/>
      <c r="U181" s="66"/>
      <c r="V181" s="66"/>
      <c r="W181" s="66"/>
      <c r="X181" s="66"/>
      <c r="Y181" s="66"/>
      <c r="Z181" s="66"/>
      <c r="AA181" s="66"/>
      <c r="AB181" s="66"/>
      <c r="AC181" s="66"/>
      <c r="AD181" s="66"/>
      <c r="AE181" s="66"/>
      <c r="AF181" s="66"/>
      <c r="AG181" s="66"/>
      <c r="AH181" s="66"/>
      <c r="AI181" s="66"/>
      <c r="AJ181" s="66"/>
      <c r="AK181" s="66"/>
      <c r="AL181" s="66"/>
      <c r="AM181" s="66"/>
      <c r="AN181" s="66"/>
      <c r="AO181" s="66"/>
      <c r="AP181" s="66"/>
      <c r="AQ181" s="66"/>
      <c r="AR181" s="66"/>
      <c r="AS181" s="66"/>
      <c r="AT181" s="66"/>
      <c r="AU181" s="66"/>
      <c r="AV181" s="66"/>
    </row>
    <row r="182" spans="6:48" ht="15" customHeight="1">
      <c r="H182" s="66"/>
      <c r="I182" s="66"/>
      <c r="J182" s="66"/>
      <c r="K182" s="66"/>
      <c r="L182" s="66"/>
      <c r="M182" s="66"/>
      <c r="N182" s="66"/>
      <c r="O182" s="66"/>
      <c r="P182" s="66"/>
      <c r="Q182" s="66"/>
      <c r="R182" s="66"/>
      <c r="S182" s="66"/>
      <c r="T182" s="66"/>
      <c r="U182" s="66"/>
      <c r="V182" s="66"/>
      <c r="W182" s="66"/>
      <c r="X182" s="66"/>
      <c r="Y182" s="66"/>
      <c r="Z182" s="66"/>
      <c r="AA182" s="66"/>
      <c r="AB182" s="66"/>
      <c r="AC182" s="66"/>
      <c r="AD182" s="66"/>
      <c r="AE182" s="66"/>
      <c r="AF182" s="66"/>
      <c r="AG182" s="66"/>
      <c r="AH182" s="66"/>
      <c r="AI182" s="66"/>
      <c r="AJ182" s="66"/>
      <c r="AK182" s="66"/>
      <c r="AL182" s="66"/>
      <c r="AM182" s="66"/>
      <c r="AN182" s="66"/>
      <c r="AO182" s="66"/>
      <c r="AP182" s="66"/>
      <c r="AQ182" s="66"/>
      <c r="AR182" s="66"/>
      <c r="AS182" s="66"/>
      <c r="AT182" s="66"/>
      <c r="AU182" s="66"/>
      <c r="AV182" s="66"/>
    </row>
    <row r="183" spans="6:48" ht="15" customHeight="1">
      <c r="H183" s="66"/>
      <c r="I183" s="66"/>
      <c r="J183" s="66"/>
      <c r="K183" s="66"/>
      <c r="L183" s="66"/>
      <c r="M183" s="66"/>
      <c r="N183" s="66"/>
      <c r="O183" s="66"/>
      <c r="P183" s="66"/>
      <c r="Q183" s="66"/>
      <c r="R183" s="66"/>
      <c r="S183" s="66"/>
      <c r="T183" s="66"/>
      <c r="U183" s="66"/>
      <c r="V183" s="66"/>
      <c r="W183" s="66"/>
      <c r="X183" s="66"/>
      <c r="Y183" s="66"/>
      <c r="Z183" s="66"/>
      <c r="AA183" s="66"/>
      <c r="AB183" s="66"/>
      <c r="AC183" s="66"/>
      <c r="AD183" s="66"/>
      <c r="AE183" s="66"/>
      <c r="AF183" s="66"/>
      <c r="AG183" s="66"/>
      <c r="AH183" s="66"/>
      <c r="AI183" s="66"/>
      <c r="AJ183" s="66"/>
      <c r="AK183" s="66"/>
      <c r="AL183" s="66"/>
      <c r="AM183" s="66"/>
      <c r="AN183" s="66"/>
      <c r="AO183" s="66"/>
      <c r="AP183" s="66"/>
      <c r="AQ183" s="66"/>
      <c r="AR183" s="66"/>
      <c r="AS183" s="66"/>
      <c r="AT183" s="66"/>
      <c r="AU183" s="66"/>
      <c r="AV183" s="66"/>
    </row>
    <row r="184" spans="6:48" ht="15" customHeight="1">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row>
    <row r="185" spans="6:48" ht="15" customHeight="1">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row>
    <row r="186" spans="6:48" ht="15" customHeight="1">
      <c r="H186" s="66"/>
      <c r="I186" s="66"/>
      <c r="J186" s="66"/>
      <c r="K186" s="66"/>
      <c r="L186" s="66"/>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row>
    <row r="187" spans="6:48" ht="15" customHeight="1">
      <c r="H187" s="66"/>
      <c r="I187" s="66"/>
      <c r="J187" s="66"/>
      <c r="K187" s="66"/>
      <c r="L187" s="66"/>
      <c r="M187" s="66"/>
      <c r="N187" s="66"/>
      <c r="O187" s="66"/>
      <c r="P187" s="66"/>
      <c r="Q187" s="66"/>
      <c r="R187" s="66"/>
      <c r="S187" s="66"/>
      <c r="T187" s="66"/>
      <c r="U187" s="66"/>
      <c r="V187" s="66"/>
      <c r="W187" s="66"/>
      <c r="X187" s="66"/>
      <c r="Y187" s="66"/>
      <c r="Z187" s="66"/>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row>
    <row r="188" spans="6:48" ht="15" customHeight="1">
      <c r="H188" s="66"/>
      <c r="I188" s="66"/>
      <c r="J188" s="66"/>
      <c r="K188" s="66"/>
      <c r="L188" s="66"/>
      <c r="M188" s="66"/>
      <c r="N188" s="66"/>
      <c r="O188" s="66"/>
      <c r="P188" s="66"/>
      <c r="Q188" s="66"/>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c r="AO188" s="66"/>
      <c r="AP188" s="66"/>
      <c r="AQ188" s="66"/>
      <c r="AR188" s="66"/>
      <c r="AS188" s="66"/>
      <c r="AT188" s="66"/>
      <c r="AU188" s="66"/>
      <c r="AV188" s="66"/>
    </row>
    <row r="189" spans="6:48" ht="15" customHeight="1">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row>
    <row r="190" spans="6:48" ht="15" customHeight="1">
      <c r="H190" s="66"/>
      <c r="I190" s="66"/>
      <c r="J190" s="66"/>
      <c r="K190" s="66"/>
      <c r="L190" s="66"/>
      <c r="M190" s="66"/>
      <c r="N190" s="66"/>
      <c r="O190" s="66"/>
      <c r="P190" s="66"/>
      <c r="Q190" s="66"/>
      <c r="R190" s="66"/>
      <c r="S190" s="66"/>
      <c r="T190" s="66"/>
      <c r="U190" s="66"/>
      <c r="V190" s="66"/>
      <c r="W190" s="66"/>
      <c r="X190" s="66"/>
      <c r="Y190" s="66"/>
      <c r="Z190" s="66"/>
      <c r="AA190" s="66"/>
      <c r="AB190" s="66"/>
      <c r="AC190" s="66"/>
      <c r="AD190" s="66"/>
      <c r="AE190" s="66"/>
      <c r="AF190" s="66"/>
      <c r="AG190" s="66"/>
      <c r="AH190" s="66"/>
      <c r="AI190" s="66"/>
      <c r="AJ190" s="66"/>
      <c r="AK190" s="66"/>
      <c r="AL190" s="66"/>
      <c r="AM190" s="66"/>
      <c r="AN190" s="66"/>
      <c r="AO190" s="66"/>
      <c r="AP190" s="66"/>
      <c r="AQ190" s="66"/>
      <c r="AR190" s="66"/>
      <c r="AS190" s="66"/>
      <c r="AT190" s="66"/>
      <c r="AU190" s="66"/>
      <c r="AV190" s="66"/>
    </row>
    <row r="191" spans="6:48" ht="15" customHeight="1">
      <c r="H191" s="66"/>
      <c r="I191" s="66"/>
      <c r="J191" s="66"/>
      <c r="K191" s="66"/>
      <c r="L191" s="66"/>
      <c r="M191" s="66"/>
      <c r="N191" s="66"/>
      <c r="O191" s="66"/>
      <c r="P191" s="66"/>
      <c r="Q191" s="66"/>
      <c r="R191" s="66"/>
      <c r="S191" s="66"/>
      <c r="T191" s="66"/>
      <c r="U191" s="66"/>
      <c r="V191" s="66"/>
      <c r="W191" s="66"/>
      <c r="X191" s="66"/>
      <c r="Y191" s="66"/>
      <c r="Z191" s="66"/>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row>
    <row r="192" spans="6:48" ht="15" customHeight="1">
      <c r="H192" s="66"/>
      <c r="I192" s="66"/>
      <c r="J192" s="66"/>
      <c r="K192" s="66"/>
      <c r="L192" s="66"/>
      <c r="M192" s="66"/>
      <c r="N192" s="66"/>
      <c r="O192" s="66"/>
      <c r="P192" s="66"/>
      <c r="Q192" s="66"/>
      <c r="R192" s="66"/>
      <c r="S192" s="66"/>
      <c r="T192" s="66"/>
      <c r="U192" s="66"/>
      <c r="V192" s="66"/>
      <c r="W192" s="66"/>
      <c r="X192" s="66"/>
      <c r="Y192" s="66"/>
      <c r="Z192" s="66"/>
      <c r="AA192" s="66"/>
      <c r="AB192" s="66"/>
      <c r="AC192" s="66"/>
      <c r="AD192" s="66"/>
      <c r="AE192" s="66"/>
      <c r="AF192" s="66"/>
      <c r="AG192" s="66"/>
      <c r="AH192" s="66"/>
      <c r="AI192" s="66"/>
      <c r="AJ192" s="66"/>
      <c r="AK192" s="66"/>
      <c r="AL192" s="66"/>
      <c r="AM192" s="66"/>
      <c r="AN192" s="66"/>
      <c r="AO192" s="66"/>
      <c r="AP192" s="66"/>
      <c r="AQ192" s="66"/>
      <c r="AR192" s="66"/>
      <c r="AS192" s="66"/>
      <c r="AT192" s="66"/>
      <c r="AU192" s="66"/>
      <c r="AV192" s="66"/>
    </row>
    <row r="193" spans="8:48" ht="15" customHeight="1">
      <c r="H193" s="66"/>
      <c r="I193" s="66"/>
      <c r="J193" s="66"/>
      <c r="K193" s="66"/>
      <c r="L193" s="66"/>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row>
    <row r="194" spans="8:48" ht="15" customHeight="1">
      <c r="H194" s="66"/>
      <c r="I194" s="66"/>
      <c r="J194" s="66"/>
      <c r="K194" s="66"/>
      <c r="L194" s="66"/>
      <c r="M194" s="66"/>
      <c r="N194" s="66"/>
      <c r="O194" s="66"/>
      <c r="P194" s="66"/>
      <c r="Q194" s="66"/>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c r="AP194" s="66"/>
      <c r="AQ194" s="66"/>
      <c r="AR194" s="66"/>
      <c r="AS194" s="66"/>
      <c r="AT194" s="66"/>
      <c r="AU194" s="66"/>
      <c r="AV194" s="66"/>
    </row>
    <row r="195" spans="8:48" ht="15" customHeight="1">
      <c r="H195" s="66"/>
      <c r="I195" s="66"/>
      <c r="J195" s="66"/>
      <c r="K195" s="66"/>
      <c r="L195" s="66"/>
      <c r="M195" s="66"/>
      <c r="N195" s="66"/>
      <c r="O195" s="66"/>
      <c r="P195" s="66"/>
      <c r="Q195" s="66"/>
      <c r="R195" s="66"/>
      <c r="S195" s="66"/>
      <c r="T195" s="66"/>
      <c r="U195" s="66"/>
      <c r="V195" s="66"/>
      <c r="W195" s="66"/>
      <c r="X195" s="66"/>
      <c r="Y195" s="66"/>
      <c r="Z195" s="66"/>
      <c r="AA195" s="66"/>
      <c r="AB195" s="66"/>
      <c r="AC195" s="66"/>
      <c r="AD195" s="66"/>
      <c r="AE195" s="66"/>
      <c r="AF195" s="66"/>
      <c r="AG195" s="66"/>
      <c r="AH195" s="66"/>
      <c r="AI195" s="66"/>
      <c r="AJ195" s="66"/>
      <c r="AK195" s="66"/>
      <c r="AL195" s="66"/>
      <c r="AM195" s="66"/>
      <c r="AN195" s="66"/>
      <c r="AO195" s="66"/>
      <c r="AP195" s="66"/>
      <c r="AQ195" s="66"/>
      <c r="AR195" s="66"/>
      <c r="AS195" s="66"/>
      <c r="AT195" s="66"/>
      <c r="AU195" s="66"/>
      <c r="AV195" s="66"/>
    </row>
    <row r="196" spans="8:48" ht="15" customHeight="1">
      <c r="H196" s="66"/>
      <c r="I196" s="66"/>
      <c r="J196" s="66"/>
      <c r="K196" s="66"/>
      <c r="L196" s="66"/>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row>
    <row r="197" spans="8:48" ht="15" customHeight="1">
      <c r="H197" s="66"/>
      <c r="I197" s="66"/>
      <c r="J197" s="66"/>
      <c r="K197" s="66"/>
      <c r="L197" s="66"/>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row>
    <row r="198" spans="8:48" ht="15" customHeight="1">
      <c r="H198" s="66"/>
      <c r="I198" s="66"/>
      <c r="J198" s="66"/>
      <c r="K198" s="66"/>
      <c r="L198" s="66"/>
      <c r="M198" s="66"/>
      <c r="N198" s="66"/>
      <c r="O198" s="66"/>
      <c r="P198" s="66"/>
      <c r="Q198" s="66"/>
      <c r="R198" s="66"/>
      <c r="S198" s="66"/>
      <c r="T198" s="66"/>
      <c r="U198" s="66"/>
      <c r="V198" s="66"/>
      <c r="W198" s="66"/>
      <c r="X198" s="66"/>
      <c r="Y198" s="66"/>
      <c r="Z198" s="66"/>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row>
    <row r="199" spans="8:48" ht="15" customHeight="1">
      <c r="H199" s="66"/>
      <c r="I199" s="66"/>
      <c r="J199" s="66"/>
      <c r="K199" s="66"/>
      <c r="L199" s="66"/>
      <c r="M199" s="66"/>
      <c r="N199" s="66"/>
      <c r="O199" s="66"/>
      <c r="P199" s="66"/>
      <c r="Q199" s="66"/>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row>
    <row r="200" spans="8:48" ht="15" customHeight="1">
      <c r="H200" s="66"/>
      <c r="I200" s="66"/>
      <c r="J200" s="66"/>
      <c r="K200" s="66"/>
      <c r="L200" s="66"/>
      <c r="M200" s="66"/>
      <c r="N200" s="66"/>
      <c r="O200" s="66"/>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row>
    <row r="201" spans="8:48" ht="15.75" customHeight="1">
      <c r="H201" s="127"/>
      <c r="I201" s="66"/>
      <c r="J201" s="66"/>
      <c r="K201" s="66"/>
      <c r="L201" s="66"/>
      <c r="M201" s="66"/>
      <c r="N201" s="66"/>
      <c r="O201" s="66"/>
      <c r="P201" s="66"/>
      <c r="Q201" s="66"/>
      <c r="R201" s="66"/>
      <c r="S201" s="66"/>
      <c r="T201" s="66"/>
      <c r="U201" s="66"/>
      <c r="V201" s="66"/>
      <c r="W201" s="66"/>
      <c r="X201" s="66"/>
      <c r="Y201" s="66"/>
      <c r="Z201" s="66"/>
      <c r="AA201" s="66"/>
      <c r="AB201" s="66"/>
      <c r="AC201" s="66"/>
      <c r="AD201" s="66"/>
      <c r="AE201" s="66"/>
      <c r="AF201" s="66"/>
      <c r="AG201" s="66"/>
      <c r="AH201" s="66"/>
      <c r="AI201" s="66"/>
      <c r="AJ201" s="66"/>
      <c r="AK201" s="66"/>
      <c r="AL201" s="66"/>
      <c r="AM201" s="66"/>
      <c r="AN201" s="66"/>
      <c r="AO201" s="66"/>
      <c r="AP201" s="66"/>
      <c r="AQ201" s="66"/>
      <c r="AR201" s="66"/>
      <c r="AS201" s="66"/>
      <c r="AT201" s="66"/>
      <c r="AU201" s="66"/>
      <c r="AV201" s="66"/>
    </row>
    <row r="202" spans="8:48" ht="15.75" customHeight="1">
      <c r="H202" s="127"/>
      <c r="I202" s="66"/>
      <c r="J202" s="66"/>
      <c r="K202" s="66"/>
      <c r="L202" s="66"/>
      <c r="M202" s="66"/>
      <c r="N202" s="66"/>
      <c r="O202" s="66"/>
      <c r="P202" s="66"/>
      <c r="Q202" s="66"/>
      <c r="R202" s="66"/>
      <c r="S202" s="66"/>
      <c r="T202" s="66"/>
      <c r="U202" s="66"/>
      <c r="V202" s="66"/>
      <c r="W202" s="66"/>
      <c r="X202" s="66"/>
      <c r="Y202" s="66"/>
      <c r="Z202" s="66"/>
      <c r="AA202" s="66"/>
      <c r="AB202" s="66"/>
      <c r="AC202" s="66"/>
      <c r="AD202" s="66"/>
      <c r="AE202" s="66"/>
      <c r="AF202" s="66"/>
      <c r="AG202" s="66"/>
      <c r="AH202" s="66"/>
      <c r="AI202" s="66"/>
      <c r="AJ202" s="66"/>
      <c r="AK202" s="66"/>
      <c r="AL202" s="66"/>
      <c r="AM202" s="66"/>
      <c r="AN202" s="66"/>
      <c r="AO202" s="66"/>
      <c r="AP202" s="66"/>
      <c r="AQ202" s="66"/>
      <c r="AR202" s="66"/>
      <c r="AS202" s="66"/>
      <c r="AT202" s="66"/>
      <c r="AU202" s="66"/>
      <c r="AV202" s="66"/>
    </row>
    <row r="203" spans="8:48" ht="15.75" customHeight="1">
      <c r="H203" s="127"/>
      <c r="I203" s="66"/>
      <c r="J203" s="66"/>
      <c r="K203" s="66"/>
      <c r="L203" s="66"/>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c r="AJ203" s="66"/>
      <c r="AK203" s="66"/>
      <c r="AL203" s="66"/>
      <c r="AM203" s="66"/>
      <c r="AN203" s="66"/>
      <c r="AO203" s="66"/>
      <c r="AP203" s="66"/>
      <c r="AQ203" s="66"/>
      <c r="AR203" s="66"/>
      <c r="AS203" s="66"/>
      <c r="AT203" s="66"/>
      <c r="AU203" s="66"/>
      <c r="AV203" s="66"/>
    </row>
    <row r="204" spans="8:48" ht="15" customHeight="1">
      <c r="H204" s="66"/>
      <c r="I204" s="66"/>
      <c r="J204" s="66"/>
      <c r="K204" s="66"/>
      <c r="L204" s="66"/>
      <c r="M204" s="66"/>
      <c r="N204" s="66"/>
      <c r="O204" s="66"/>
      <c r="P204" s="66"/>
      <c r="Q204" s="66"/>
      <c r="R204" s="66"/>
      <c r="S204" s="66"/>
      <c r="T204" s="66"/>
      <c r="U204" s="66"/>
      <c r="V204" s="66"/>
      <c r="W204" s="66"/>
      <c r="X204" s="66"/>
      <c r="Y204" s="66"/>
      <c r="Z204" s="66"/>
      <c r="AA204" s="66"/>
      <c r="AB204" s="66"/>
      <c r="AC204" s="66"/>
      <c r="AD204" s="66"/>
      <c r="AE204" s="66"/>
      <c r="AF204" s="66"/>
      <c r="AG204" s="66"/>
      <c r="AH204" s="66"/>
      <c r="AI204" s="66"/>
      <c r="AJ204" s="66"/>
      <c r="AK204" s="66"/>
      <c r="AL204" s="66"/>
      <c r="AM204" s="66"/>
      <c r="AN204" s="66"/>
      <c r="AO204" s="66"/>
      <c r="AP204" s="66"/>
      <c r="AQ204" s="66"/>
      <c r="AR204" s="66"/>
      <c r="AS204" s="66"/>
      <c r="AT204" s="66"/>
      <c r="AU204" s="66"/>
      <c r="AV204" s="66"/>
    </row>
    <row r="205" spans="8:48" ht="15" customHeight="1">
      <c r="H205" s="66"/>
      <c r="I205" s="66"/>
      <c r="J205" s="66"/>
      <c r="K205" s="66"/>
      <c r="L205" s="66"/>
      <c r="M205" s="66"/>
      <c r="N205" s="66"/>
      <c r="O205" s="66"/>
      <c r="P205" s="66"/>
      <c r="Q205" s="66"/>
      <c r="R205" s="66"/>
      <c r="S205" s="66"/>
      <c r="T205" s="66"/>
      <c r="U205" s="66"/>
      <c r="V205" s="66"/>
      <c r="W205" s="66"/>
      <c r="X205" s="66"/>
      <c r="Y205" s="66"/>
      <c r="Z205" s="66"/>
      <c r="AA205" s="66"/>
      <c r="AB205" s="66"/>
      <c r="AC205" s="66"/>
      <c r="AD205" s="66"/>
      <c r="AE205" s="66"/>
      <c r="AF205" s="66"/>
      <c r="AG205" s="66"/>
      <c r="AH205" s="66"/>
      <c r="AI205" s="66"/>
      <c r="AJ205" s="66"/>
      <c r="AK205" s="66"/>
      <c r="AL205" s="66"/>
      <c r="AM205" s="66"/>
      <c r="AN205" s="66"/>
      <c r="AO205" s="66"/>
      <c r="AP205" s="66"/>
      <c r="AQ205" s="66"/>
      <c r="AR205" s="66"/>
      <c r="AS205" s="66"/>
      <c r="AT205" s="66"/>
      <c r="AU205" s="66"/>
      <c r="AV205" s="66"/>
    </row>
    <row r="206" spans="8:48" ht="15" customHeight="1">
      <c r="H206" s="66"/>
      <c r="I206" s="66"/>
      <c r="J206" s="66"/>
      <c r="K206" s="66"/>
      <c r="L206" s="66"/>
      <c r="M206" s="66"/>
      <c r="N206" s="66"/>
      <c r="O206" s="66"/>
      <c r="P206" s="66"/>
      <c r="Q206" s="66"/>
      <c r="R206" s="66"/>
      <c r="S206" s="66"/>
      <c r="T206" s="66"/>
      <c r="U206" s="66"/>
      <c r="V206" s="66"/>
      <c r="W206" s="66"/>
      <c r="X206" s="66"/>
      <c r="Y206" s="66"/>
      <c r="Z206" s="66"/>
      <c r="AA206" s="66"/>
      <c r="AB206" s="66"/>
      <c r="AC206" s="66"/>
      <c r="AD206" s="66"/>
      <c r="AE206" s="66"/>
      <c r="AF206" s="66"/>
      <c r="AG206" s="66"/>
      <c r="AH206" s="66"/>
      <c r="AI206" s="66"/>
      <c r="AJ206" s="66"/>
      <c r="AK206" s="66"/>
      <c r="AL206" s="66"/>
      <c r="AM206" s="66"/>
      <c r="AN206" s="66"/>
      <c r="AO206" s="66"/>
      <c r="AP206" s="66"/>
      <c r="AQ206" s="66"/>
      <c r="AR206" s="66"/>
      <c r="AS206" s="66"/>
      <c r="AT206" s="66"/>
      <c r="AU206" s="66"/>
      <c r="AV206" s="66"/>
    </row>
    <row r="207" spans="8:48" ht="15" customHeight="1">
      <c r="H207" s="66"/>
      <c r="I207" s="66"/>
      <c r="J207" s="66"/>
      <c r="K207" s="66"/>
      <c r="L207" s="66"/>
      <c r="M207" s="66"/>
      <c r="N207" s="66"/>
      <c r="O207" s="66"/>
      <c r="P207" s="66"/>
      <c r="Q207" s="66"/>
      <c r="R207" s="66"/>
      <c r="S207" s="66"/>
      <c r="T207" s="66"/>
      <c r="U207" s="66"/>
      <c r="V207" s="66"/>
      <c r="W207" s="66"/>
      <c r="X207" s="66"/>
      <c r="Y207" s="66"/>
      <c r="Z207" s="66"/>
      <c r="AA207" s="66"/>
      <c r="AB207" s="66"/>
      <c r="AC207" s="66"/>
      <c r="AD207" s="66"/>
      <c r="AE207" s="66"/>
      <c r="AF207" s="66"/>
      <c r="AG207" s="66"/>
      <c r="AH207" s="66"/>
      <c r="AI207" s="66"/>
      <c r="AJ207" s="66"/>
      <c r="AK207" s="66"/>
      <c r="AL207" s="66"/>
      <c r="AM207" s="66"/>
      <c r="AN207" s="66"/>
      <c r="AO207" s="66"/>
      <c r="AP207" s="66"/>
      <c r="AQ207" s="66"/>
      <c r="AR207" s="66"/>
      <c r="AS207" s="66"/>
      <c r="AT207" s="66"/>
      <c r="AU207" s="66"/>
      <c r="AV207" s="66"/>
    </row>
    <row r="208" spans="8:48" ht="15" customHeight="1">
      <c r="H208" s="66"/>
      <c r="I208" s="66"/>
      <c r="J208" s="66"/>
      <c r="K208" s="66"/>
      <c r="L208" s="66"/>
      <c r="M208" s="66"/>
      <c r="N208" s="66"/>
      <c r="O208" s="66"/>
      <c r="P208" s="66"/>
      <c r="Q208" s="66"/>
      <c r="R208" s="66"/>
      <c r="S208" s="66"/>
      <c r="T208" s="66"/>
      <c r="U208" s="66"/>
      <c r="V208" s="66"/>
      <c r="W208" s="66"/>
      <c r="X208" s="66"/>
      <c r="Y208" s="66"/>
      <c r="Z208" s="66"/>
      <c r="AA208" s="66"/>
      <c r="AB208" s="66"/>
      <c r="AC208" s="66"/>
      <c r="AD208" s="66"/>
      <c r="AE208" s="66"/>
      <c r="AF208" s="66"/>
      <c r="AG208" s="66"/>
      <c r="AH208" s="66"/>
      <c r="AI208" s="66"/>
      <c r="AJ208" s="66"/>
      <c r="AK208" s="66"/>
      <c r="AL208" s="66"/>
      <c r="AM208" s="66"/>
      <c r="AN208" s="66"/>
      <c r="AO208" s="66"/>
      <c r="AP208" s="66"/>
      <c r="AQ208" s="66"/>
      <c r="AR208" s="66"/>
      <c r="AS208" s="66"/>
      <c r="AT208" s="66"/>
      <c r="AU208" s="66"/>
      <c r="AV208" s="66"/>
    </row>
    <row r="209" spans="8:48" ht="15" customHeight="1">
      <c r="H209" s="66"/>
      <c r="I209" s="66"/>
      <c r="J209" s="66"/>
      <c r="K209" s="66"/>
      <c r="L209" s="66"/>
      <c r="M209" s="66"/>
      <c r="N209" s="66"/>
      <c r="O209" s="66"/>
      <c r="P209" s="66"/>
      <c r="Q209" s="66"/>
      <c r="R209" s="66"/>
      <c r="S209" s="66"/>
      <c r="T209" s="66"/>
      <c r="U209" s="66"/>
      <c r="V209" s="66"/>
      <c r="W209" s="66"/>
      <c r="X209" s="66"/>
      <c r="Y209" s="66"/>
      <c r="Z209" s="66"/>
      <c r="AA209" s="66"/>
      <c r="AB209" s="66"/>
      <c r="AC209" s="66"/>
      <c r="AD209" s="66"/>
      <c r="AE209" s="66"/>
      <c r="AF209" s="66"/>
      <c r="AG209" s="66"/>
      <c r="AH209" s="66"/>
      <c r="AI209" s="66"/>
      <c r="AJ209" s="66"/>
      <c r="AK209" s="66"/>
      <c r="AL209" s="66"/>
      <c r="AM209" s="66"/>
      <c r="AN209" s="66"/>
      <c r="AO209" s="66"/>
      <c r="AP209" s="66"/>
      <c r="AQ209" s="66"/>
      <c r="AR209" s="66"/>
      <c r="AS209" s="66"/>
      <c r="AT209" s="66"/>
      <c r="AU209" s="66"/>
      <c r="AV209" s="66"/>
    </row>
    <row r="210" spans="8:48" ht="15" customHeight="1">
      <c r="H210" s="66"/>
      <c r="I210" s="66"/>
      <c r="J210" s="66"/>
      <c r="K210" s="66"/>
      <c r="L210" s="66"/>
      <c r="M210" s="66"/>
      <c r="N210" s="66"/>
      <c r="O210" s="66"/>
      <c r="P210" s="66"/>
      <c r="Q210" s="66"/>
      <c r="R210" s="66"/>
      <c r="S210" s="66"/>
      <c r="T210" s="66"/>
      <c r="U210" s="66"/>
      <c r="V210" s="66"/>
      <c r="W210" s="66"/>
      <c r="X210" s="66"/>
      <c r="Y210" s="66"/>
      <c r="Z210" s="66"/>
      <c r="AA210" s="66"/>
      <c r="AB210" s="66"/>
      <c r="AC210" s="66"/>
      <c r="AD210" s="66"/>
      <c r="AE210" s="66"/>
      <c r="AF210" s="66"/>
      <c r="AG210" s="66"/>
      <c r="AH210" s="66"/>
      <c r="AI210" s="66"/>
      <c r="AJ210" s="66"/>
      <c r="AK210" s="66"/>
      <c r="AL210" s="66"/>
      <c r="AM210" s="66"/>
      <c r="AN210" s="66"/>
      <c r="AO210" s="66"/>
      <c r="AP210" s="66"/>
      <c r="AQ210" s="66"/>
      <c r="AR210" s="66"/>
      <c r="AS210" s="66"/>
      <c r="AT210" s="66"/>
      <c r="AU210" s="66"/>
      <c r="AV210" s="66"/>
    </row>
    <row r="211" spans="8:48" ht="15" customHeight="1">
      <c r="H211" s="66"/>
      <c r="I211" s="66"/>
      <c r="J211" s="66"/>
      <c r="K211" s="66"/>
      <c r="L211" s="66"/>
      <c r="M211" s="66"/>
      <c r="N211" s="66"/>
      <c r="O211" s="66"/>
      <c r="P211" s="66"/>
      <c r="Q211" s="66"/>
      <c r="R211" s="66"/>
      <c r="S211" s="66"/>
      <c r="T211" s="66"/>
      <c r="U211" s="66"/>
      <c r="V211" s="66"/>
      <c r="W211" s="66"/>
      <c r="X211" s="66"/>
      <c r="Y211" s="66"/>
      <c r="Z211" s="66"/>
      <c r="AA211" s="66"/>
      <c r="AB211" s="66"/>
      <c r="AC211" s="66"/>
      <c r="AD211" s="66"/>
      <c r="AE211" s="66"/>
      <c r="AF211" s="66"/>
      <c r="AG211" s="66"/>
      <c r="AH211" s="66"/>
      <c r="AI211" s="66"/>
      <c r="AJ211" s="66"/>
      <c r="AK211" s="66"/>
      <c r="AL211" s="66"/>
      <c r="AM211" s="66"/>
      <c r="AN211" s="66"/>
      <c r="AO211" s="66"/>
      <c r="AP211" s="66"/>
      <c r="AQ211" s="66"/>
      <c r="AR211" s="66"/>
      <c r="AS211" s="66"/>
      <c r="AT211" s="66"/>
      <c r="AU211" s="66"/>
      <c r="AV211" s="66"/>
    </row>
    <row r="212" spans="8:48" ht="15" customHeight="1">
      <c r="H212" s="66"/>
      <c r="I212" s="66"/>
      <c r="J212" s="66"/>
      <c r="K212" s="66"/>
      <c r="L212" s="66"/>
      <c r="M212" s="66"/>
      <c r="N212" s="66"/>
      <c r="O212" s="66"/>
      <c r="P212" s="66"/>
      <c r="Q212" s="66"/>
      <c r="R212" s="66"/>
      <c r="S212" s="66"/>
      <c r="T212" s="66"/>
      <c r="U212" s="66"/>
      <c r="V212" s="66"/>
      <c r="W212" s="66"/>
      <c r="X212" s="66"/>
      <c r="Y212" s="66"/>
      <c r="Z212" s="66"/>
      <c r="AA212" s="66"/>
      <c r="AB212" s="66"/>
      <c r="AC212" s="66"/>
      <c r="AD212" s="66"/>
      <c r="AE212" s="66"/>
      <c r="AF212" s="66"/>
      <c r="AG212" s="66"/>
      <c r="AH212" s="66"/>
      <c r="AI212" s="66"/>
      <c r="AJ212" s="66"/>
      <c r="AK212" s="66"/>
      <c r="AL212" s="66"/>
      <c r="AM212" s="66"/>
      <c r="AN212" s="66"/>
      <c r="AO212" s="66"/>
      <c r="AP212" s="66"/>
      <c r="AQ212" s="66"/>
      <c r="AR212" s="66"/>
      <c r="AS212" s="66"/>
      <c r="AT212" s="66"/>
      <c r="AU212" s="66"/>
      <c r="AV212" s="66"/>
    </row>
    <row r="213" spans="8:48" ht="15" customHeight="1">
      <c r="H213" s="66"/>
      <c r="I213" s="66"/>
      <c r="J213" s="66"/>
      <c r="K213" s="66"/>
      <c r="L213" s="66"/>
      <c r="M213" s="66"/>
      <c r="N213" s="66"/>
      <c r="O213" s="66"/>
      <c r="P213" s="66"/>
      <c r="Q213" s="66"/>
      <c r="R213" s="66"/>
      <c r="S213" s="66"/>
      <c r="T213" s="66"/>
      <c r="U213" s="66"/>
      <c r="V213" s="66"/>
      <c r="W213" s="66"/>
      <c r="X213" s="66"/>
      <c r="Y213" s="66"/>
      <c r="Z213" s="66"/>
      <c r="AA213" s="66"/>
      <c r="AB213" s="66"/>
      <c r="AC213" s="66"/>
      <c r="AD213" s="66"/>
      <c r="AE213" s="66"/>
      <c r="AF213" s="66"/>
      <c r="AG213" s="66"/>
      <c r="AH213" s="66"/>
      <c r="AI213" s="66"/>
      <c r="AJ213" s="66"/>
      <c r="AK213" s="66"/>
      <c r="AL213" s="66"/>
      <c r="AM213" s="66"/>
      <c r="AN213" s="66"/>
      <c r="AO213" s="66"/>
      <c r="AP213" s="66"/>
      <c r="AQ213" s="66"/>
      <c r="AR213" s="66"/>
      <c r="AS213" s="66"/>
      <c r="AT213" s="66"/>
      <c r="AU213" s="66"/>
      <c r="AV213" s="66"/>
    </row>
    <row r="214" spans="8:48" ht="15" customHeight="1">
      <c r="H214" s="66"/>
      <c r="I214" s="66"/>
      <c r="J214" s="66"/>
      <c r="K214" s="66"/>
      <c r="L214" s="66"/>
      <c r="M214" s="66"/>
      <c r="N214" s="66"/>
      <c r="O214" s="66"/>
      <c r="P214" s="66"/>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c r="AP214" s="66"/>
      <c r="AQ214" s="66"/>
      <c r="AR214" s="66"/>
      <c r="AS214" s="66"/>
      <c r="AT214" s="66"/>
      <c r="AU214" s="66"/>
      <c r="AV214" s="66"/>
    </row>
    <row r="215" spans="8:48" ht="15" customHeight="1">
      <c r="H215" s="66"/>
      <c r="I215" s="66"/>
      <c r="J215" s="66"/>
      <c r="K215" s="66"/>
      <c r="L215" s="66"/>
      <c r="M215" s="66"/>
      <c r="N215" s="66"/>
      <c r="O215" s="66"/>
      <c r="P215" s="66"/>
      <c r="Q215" s="66"/>
      <c r="R215" s="66"/>
      <c r="S215" s="66"/>
      <c r="T215" s="66"/>
      <c r="U215" s="66"/>
      <c r="V215" s="66"/>
      <c r="W215" s="66"/>
      <c r="X215" s="66"/>
      <c r="Y215" s="66"/>
      <c r="Z215" s="66"/>
      <c r="AA215" s="66"/>
      <c r="AB215" s="66"/>
      <c r="AC215" s="66"/>
      <c r="AD215" s="66"/>
      <c r="AE215" s="66"/>
      <c r="AF215" s="66"/>
      <c r="AG215" s="66"/>
      <c r="AH215" s="66"/>
      <c r="AI215" s="66"/>
      <c r="AJ215" s="66"/>
      <c r="AK215" s="66"/>
      <c r="AL215" s="66"/>
      <c r="AM215" s="66"/>
      <c r="AN215" s="66"/>
      <c r="AO215" s="66"/>
      <c r="AP215" s="66"/>
      <c r="AQ215" s="66"/>
      <c r="AR215" s="66"/>
      <c r="AS215" s="66"/>
      <c r="AT215" s="66"/>
      <c r="AU215" s="66"/>
      <c r="AV215" s="66"/>
    </row>
    <row r="216" spans="8:48" ht="15" customHeight="1">
      <c r="H216" s="66"/>
      <c r="I216" s="66"/>
      <c r="J216" s="66"/>
      <c r="K216" s="66"/>
      <c r="L216" s="66"/>
      <c r="M216" s="66"/>
      <c r="N216" s="66"/>
      <c r="O216" s="66"/>
      <c r="P216" s="66"/>
      <c r="Q216" s="66"/>
      <c r="R216" s="66"/>
      <c r="S216" s="66"/>
      <c r="T216" s="66"/>
      <c r="U216" s="66"/>
      <c r="V216" s="66"/>
      <c r="W216" s="66"/>
      <c r="X216" s="66"/>
      <c r="Y216" s="66"/>
      <c r="Z216" s="66"/>
      <c r="AA216" s="66"/>
      <c r="AB216" s="66"/>
      <c r="AC216" s="66"/>
      <c r="AD216" s="66"/>
      <c r="AE216" s="66"/>
      <c r="AF216" s="66"/>
      <c r="AG216" s="66"/>
      <c r="AH216" s="66"/>
      <c r="AI216" s="66"/>
      <c r="AJ216" s="66"/>
      <c r="AK216" s="66"/>
      <c r="AL216" s="66"/>
      <c r="AM216" s="66"/>
      <c r="AN216" s="66"/>
      <c r="AO216" s="66"/>
      <c r="AP216" s="66"/>
      <c r="AQ216" s="66"/>
      <c r="AR216" s="66"/>
      <c r="AS216" s="66"/>
      <c r="AT216" s="66"/>
      <c r="AU216" s="66"/>
      <c r="AV216" s="66"/>
    </row>
    <row r="217" spans="8:48" ht="15" customHeight="1">
      <c r="H217" s="66"/>
      <c r="I217" s="66"/>
      <c r="J217" s="66"/>
      <c r="K217" s="66"/>
      <c r="L217" s="66"/>
      <c r="M217" s="66"/>
      <c r="N217" s="66"/>
      <c r="O217" s="66"/>
      <c r="P217" s="66"/>
      <c r="Q217" s="66"/>
      <c r="R217" s="66"/>
      <c r="S217" s="66"/>
      <c r="T217" s="66"/>
      <c r="U217" s="66"/>
      <c r="V217" s="66"/>
      <c r="W217" s="66"/>
      <c r="X217" s="66"/>
      <c r="Y217" s="66"/>
      <c r="Z217" s="66"/>
      <c r="AA217" s="66"/>
      <c r="AB217" s="66"/>
      <c r="AC217" s="66"/>
      <c r="AD217" s="66"/>
      <c r="AE217" s="66"/>
      <c r="AF217" s="66"/>
      <c r="AG217" s="66"/>
      <c r="AH217" s="66"/>
      <c r="AI217" s="66"/>
      <c r="AJ217" s="66"/>
      <c r="AK217" s="66"/>
      <c r="AL217" s="66"/>
      <c r="AM217" s="66"/>
      <c r="AN217" s="66"/>
      <c r="AO217" s="66"/>
      <c r="AP217" s="66"/>
      <c r="AQ217" s="66"/>
      <c r="AR217" s="66"/>
      <c r="AS217" s="66"/>
      <c r="AT217" s="66"/>
      <c r="AU217" s="66"/>
      <c r="AV217" s="66"/>
    </row>
    <row r="218" spans="8:48" ht="15" customHeight="1">
      <c r="H218" s="66"/>
      <c r="I218" s="66"/>
      <c r="J218" s="66"/>
      <c r="K218" s="66"/>
      <c r="L218" s="66"/>
      <c r="M218" s="66"/>
      <c r="N218" s="66"/>
      <c r="O218" s="66"/>
      <c r="P218" s="66"/>
      <c r="Q218" s="66"/>
      <c r="R218" s="66"/>
      <c r="S218" s="66"/>
      <c r="T218" s="66"/>
      <c r="U218" s="66"/>
      <c r="V218" s="66"/>
      <c r="W218" s="66"/>
      <c r="X218" s="66"/>
      <c r="Y218" s="66"/>
      <c r="Z218" s="66"/>
      <c r="AA218" s="66"/>
      <c r="AB218" s="66"/>
      <c r="AC218" s="66"/>
      <c r="AD218" s="66"/>
      <c r="AE218" s="66"/>
      <c r="AF218" s="66"/>
      <c r="AG218" s="66"/>
      <c r="AH218" s="66"/>
      <c r="AI218" s="66"/>
      <c r="AJ218" s="66"/>
      <c r="AK218" s="66"/>
      <c r="AL218" s="66"/>
      <c r="AM218" s="66"/>
      <c r="AN218" s="66"/>
      <c r="AO218" s="66"/>
      <c r="AP218" s="66"/>
      <c r="AQ218" s="66"/>
      <c r="AR218" s="66"/>
      <c r="AS218" s="66"/>
      <c r="AT218" s="66"/>
      <c r="AU218" s="66"/>
      <c r="AV218" s="66"/>
    </row>
    <row r="219" spans="8:48" ht="15" customHeight="1">
      <c r="H219" s="66"/>
      <c r="I219" s="66"/>
      <c r="J219" s="66"/>
      <c r="K219" s="66"/>
      <c r="L219" s="66"/>
      <c r="M219" s="66"/>
      <c r="N219" s="66"/>
      <c r="O219" s="66"/>
      <c r="P219" s="66"/>
      <c r="Q219" s="66"/>
      <c r="R219" s="66"/>
      <c r="S219" s="66"/>
      <c r="T219" s="66"/>
      <c r="U219" s="66"/>
      <c r="V219" s="66"/>
      <c r="W219" s="66"/>
      <c r="X219" s="66"/>
      <c r="Y219" s="66"/>
      <c r="Z219" s="66"/>
      <c r="AA219" s="66"/>
      <c r="AB219" s="66"/>
      <c r="AC219" s="66"/>
      <c r="AD219" s="66"/>
      <c r="AE219" s="66"/>
      <c r="AF219" s="66"/>
      <c r="AG219" s="66"/>
      <c r="AH219" s="66"/>
      <c r="AI219" s="66"/>
      <c r="AJ219" s="66"/>
      <c r="AK219" s="66"/>
      <c r="AL219" s="66"/>
      <c r="AM219" s="66"/>
      <c r="AN219" s="66"/>
      <c r="AO219" s="66"/>
      <c r="AP219" s="66"/>
      <c r="AQ219" s="66"/>
      <c r="AR219" s="66"/>
      <c r="AS219" s="66"/>
      <c r="AT219" s="66"/>
      <c r="AU219" s="66"/>
      <c r="AV219" s="66"/>
    </row>
    <row r="220" spans="8:48" ht="15" customHeight="1">
      <c r="H220" s="66"/>
      <c r="I220" s="66"/>
      <c r="J220" s="66"/>
      <c r="K220" s="66"/>
      <c r="L220" s="66"/>
      <c r="M220" s="66"/>
      <c r="N220" s="66"/>
      <c r="O220" s="66"/>
      <c r="P220" s="66"/>
      <c r="Q220" s="66"/>
      <c r="R220" s="66"/>
      <c r="S220" s="66"/>
      <c r="T220" s="66"/>
      <c r="U220" s="66"/>
      <c r="V220" s="66"/>
      <c r="W220" s="66"/>
      <c r="X220" s="66"/>
      <c r="Y220" s="66"/>
      <c r="Z220" s="66"/>
      <c r="AA220" s="66"/>
      <c r="AB220" s="66"/>
      <c r="AC220" s="66"/>
      <c r="AD220" s="66"/>
      <c r="AE220" s="66"/>
      <c r="AF220" s="66"/>
      <c r="AG220" s="66"/>
      <c r="AH220" s="66"/>
      <c r="AI220" s="66"/>
      <c r="AJ220" s="66"/>
      <c r="AK220" s="66"/>
      <c r="AL220" s="66"/>
      <c r="AM220" s="66"/>
      <c r="AN220" s="66"/>
      <c r="AO220" s="66"/>
      <c r="AP220" s="66"/>
      <c r="AQ220" s="66"/>
      <c r="AR220" s="66"/>
      <c r="AS220" s="66"/>
      <c r="AT220" s="66"/>
      <c r="AU220" s="66"/>
      <c r="AV220" s="66"/>
    </row>
    <row r="221" spans="8:48" ht="15" customHeight="1">
      <c r="H221" s="66"/>
      <c r="I221" s="66"/>
      <c r="J221" s="66"/>
      <c r="K221" s="66"/>
      <c r="L221" s="66"/>
      <c r="M221" s="66"/>
      <c r="N221" s="66"/>
      <c r="O221" s="66"/>
      <c r="P221" s="66"/>
      <c r="Q221" s="66"/>
      <c r="R221" s="66"/>
      <c r="S221" s="66"/>
      <c r="T221" s="66"/>
      <c r="U221" s="66"/>
      <c r="V221" s="66"/>
      <c r="W221" s="66"/>
      <c r="X221" s="66"/>
      <c r="Y221" s="66"/>
      <c r="Z221" s="66"/>
      <c r="AA221" s="66"/>
      <c r="AB221" s="66"/>
      <c r="AC221" s="66"/>
      <c r="AD221" s="66"/>
      <c r="AE221" s="66"/>
      <c r="AF221" s="66"/>
      <c r="AG221" s="66"/>
      <c r="AH221" s="66"/>
      <c r="AI221" s="66"/>
      <c r="AJ221" s="66"/>
      <c r="AK221" s="66"/>
      <c r="AL221" s="66"/>
      <c r="AM221" s="66"/>
      <c r="AN221" s="66"/>
      <c r="AO221" s="66"/>
      <c r="AP221" s="66"/>
      <c r="AQ221" s="66"/>
      <c r="AR221" s="66"/>
      <c r="AS221" s="66"/>
      <c r="AT221" s="66"/>
      <c r="AU221" s="66"/>
      <c r="AV221" s="66"/>
    </row>
    <row r="222" spans="8:48" ht="15" customHeight="1">
      <c r="H222" s="66"/>
      <c r="I222" s="66"/>
      <c r="J222" s="66"/>
      <c r="K222" s="66"/>
      <c r="L222" s="66"/>
      <c r="M222" s="66"/>
      <c r="N222" s="66"/>
      <c r="O222" s="66"/>
      <c r="P222" s="66"/>
      <c r="Q222" s="66"/>
      <c r="R222" s="66"/>
      <c r="S222" s="66"/>
      <c r="T222" s="66"/>
      <c r="U222" s="66"/>
      <c r="V222" s="66"/>
      <c r="W222" s="66"/>
      <c r="X222" s="66"/>
      <c r="Y222" s="66"/>
      <c r="Z222" s="66"/>
      <c r="AA222" s="66"/>
      <c r="AB222" s="66"/>
      <c r="AC222" s="66"/>
      <c r="AD222" s="66"/>
      <c r="AE222" s="66"/>
      <c r="AF222" s="66"/>
      <c r="AG222" s="66"/>
      <c r="AH222" s="66"/>
      <c r="AI222" s="66"/>
      <c r="AJ222" s="66"/>
      <c r="AK222" s="66"/>
      <c r="AL222" s="66"/>
      <c r="AM222" s="66"/>
      <c r="AN222" s="66"/>
      <c r="AO222" s="66"/>
      <c r="AP222" s="66"/>
      <c r="AQ222" s="66"/>
      <c r="AR222" s="66"/>
      <c r="AS222" s="66"/>
      <c r="AT222" s="66"/>
      <c r="AU222" s="66"/>
      <c r="AV222" s="66"/>
    </row>
    <row r="223" spans="8:48" ht="15" customHeight="1">
      <c r="H223" s="66"/>
      <c r="I223" s="66"/>
      <c r="J223" s="66"/>
      <c r="K223" s="66"/>
      <c r="L223" s="66"/>
      <c r="M223" s="66"/>
      <c r="N223" s="66"/>
      <c r="O223" s="66"/>
      <c r="P223" s="66"/>
      <c r="Q223" s="66"/>
      <c r="R223" s="66"/>
      <c r="S223" s="66"/>
      <c r="T223" s="66"/>
      <c r="U223" s="66"/>
      <c r="V223" s="66"/>
      <c r="W223" s="66"/>
      <c r="X223" s="66"/>
      <c r="Y223" s="66"/>
      <c r="Z223" s="66"/>
      <c r="AA223" s="66"/>
      <c r="AB223" s="66"/>
      <c r="AC223" s="66"/>
      <c r="AD223" s="66"/>
      <c r="AE223" s="66"/>
      <c r="AF223" s="66"/>
      <c r="AG223" s="66"/>
      <c r="AH223" s="66"/>
      <c r="AI223" s="66"/>
      <c r="AJ223" s="66"/>
      <c r="AK223" s="66"/>
      <c r="AL223" s="66"/>
      <c r="AM223" s="66"/>
      <c r="AN223" s="66"/>
      <c r="AO223" s="66"/>
      <c r="AP223" s="66"/>
      <c r="AQ223" s="66"/>
      <c r="AR223" s="66"/>
      <c r="AS223" s="66"/>
      <c r="AT223" s="66"/>
      <c r="AU223" s="66"/>
      <c r="AV223" s="66"/>
    </row>
    <row r="224" spans="8:48" ht="15" customHeight="1">
      <c r="H224" s="66"/>
      <c r="I224" s="66"/>
      <c r="J224" s="66"/>
      <c r="K224" s="66"/>
      <c r="L224" s="66"/>
      <c r="M224" s="66"/>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c r="AL224" s="66"/>
      <c r="AM224" s="66"/>
      <c r="AN224" s="66"/>
      <c r="AO224" s="66"/>
      <c r="AP224" s="66"/>
      <c r="AQ224" s="66"/>
      <c r="AR224" s="66"/>
      <c r="AS224" s="66"/>
      <c r="AT224" s="66"/>
      <c r="AU224" s="66"/>
      <c r="AV224" s="66"/>
    </row>
    <row r="225" spans="8:48" ht="15" customHeight="1">
      <c r="H225" s="66"/>
      <c r="I225" s="66"/>
      <c r="J225" s="66"/>
      <c r="K225" s="66"/>
      <c r="L225" s="66"/>
      <c r="M225" s="66"/>
      <c r="N225" s="66"/>
      <c r="O225" s="66"/>
      <c r="P225" s="66"/>
      <c r="Q225" s="66"/>
      <c r="R225" s="66"/>
      <c r="S225" s="66"/>
      <c r="T225" s="66"/>
      <c r="U225" s="66"/>
      <c r="V225" s="66"/>
      <c r="W225" s="66"/>
      <c r="X225" s="66"/>
      <c r="Y225" s="66"/>
      <c r="Z225" s="66"/>
      <c r="AA225" s="66"/>
      <c r="AB225" s="66"/>
      <c r="AC225" s="66"/>
      <c r="AD225" s="66"/>
      <c r="AE225" s="66"/>
      <c r="AF225" s="66"/>
      <c r="AG225" s="66"/>
      <c r="AH225" s="66"/>
      <c r="AI225" s="66"/>
      <c r="AJ225" s="66"/>
      <c r="AK225" s="66"/>
      <c r="AL225" s="66"/>
      <c r="AM225" s="66"/>
      <c r="AN225" s="66"/>
      <c r="AO225" s="66"/>
      <c r="AP225" s="66"/>
      <c r="AQ225" s="66"/>
      <c r="AR225" s="66"/>
      <c r="AS225" s="66"/>
      <c r="AT225" s="66"/>
      <c r="AU225" s="66"/>
      <c r="AV225" s="66"/>
    </row>
    <row r="226" spans="8:48" ht="15" customHeight="1">
      <c r="H226" s="66"/>
      <c r="I226" s="66"/>
      <c r="J226" s="66"/>
      <c r="K226" s="66"/>
      <c r="L226" s="66"/>
      <c r="M226" s="66"/>
      <c r="N226" s="66"/>
      <c r="O226" s="66"/>
      <c r="P226" s="66"/>
      <c r="Q226" s="66"/>
      <c r="R226" s="66"/>
      <c r="S226" s="66"/>
      <c r="T226" s="66"/>
      <c r="U226" s="66"/>
      <c r="V226" s="66"/>
      <c r="W226" s="66"/>
      <c r="X226" s="66"/>
      <c r="Y226" s="66"/>
      <c r="Z226" s="66"/>
      <c r="AA226" s="66"/>
      <c r="AB226" s="66"/>
      <c r="AC226" s="66"/>
      <c r="AD226" s="66"/>
      <c r="AE226" s="66"/>
      <c r="AF226" s="66"/>
      <c r="AG226" s="66"/>
      <c r="AH226" s="66"/>
      <c r="AI226" s="66"/>
      <c r="AJ226" s="66"/>
      <c r="AK226" s="66"/>
      <c r="AL226" s="66"/>
      <c r="AM226" s="66"/>
      <c r="AN226" s="66"/>
      <c r="AO226" s="66"/>
      <c r="AP226" s="66"/>
      <c r="AQ226" s="66"/>
      <c r="AR226" s="66"/>
      <c r="AS226" s="66"/>
      <c r="AT226" s="66"/>
      <c r="AU226" s="66"/>
      <c r="AV226" s="66"/>
    </row>
    <row r="227" spans="8:48" ht="15" customHeight="1">
      <c r="H227" s="66"/>
      <c r="I227" s="66"/>
      <c r="J227" s="66"/>
      <c r="K227" s="66"/>
      <c r="L227" s="66"/>
      <c r="M227" s="66"/>
      <c r="N227" s="66"/>
      <c r="O227" s="66"/>
      <c r="P227" s="66"/>
      <c r="Q227" s="66"/>
      <c r="R227" s="66"/>
      <c r="S227" s="66"/>
      <c r="T227" s="66"/>
      <c r="U227" s="66"/>
      <c r="V227" s="66"/>
      <c r="W227" s="66"/>
      <c r="X227" s="66"/>
      <c r="Y227" s="66"/>
      <c r="Z227" s="66"/>
      <c r="AA227" s="66"/>
      <c r="AB227" s="66"/>
      <c r="AC227" s="66"/>
      <c r="AD227" s="66"/>
      <c r="AE227" s="66"/>
      <c r="AF227" s="66"/>
      <c r="AG227" s="66"/>
      <c r="AH227" s="66"/>
      <c r="AI227" s="66"/>
      <c r="AJ227" s="66"/>
      <c r="AK227" s="66"/>
      <c r="AL227" s="66"/>
      <c r="AM227" s="66"/>
      <c r="AN227" s="66"/>
      <c r="AO227" s="66"/>
      <c r="AP227" s="66"/>
      <c r="AQ227" s="66"/>
      <c r="AR227" s="66"/>
      <c r="AS227" s="66"/>
      <c r="AT227" s="66"/>
      <c r="AU227" s="66"/>
      <c r="AV227" s="66"/>
    </row>
    <row r="228" spans="8:48" ht="15" customHeight="1">
      <c r="H228" s="66"/>
      <c r="I228" s="66"/>
      <c r="J228" s="66"/>
      <c r="K228" s="66"/>
      <c r="L228" s="66"/>
      <c r="M228" s="66"/>
      <c r="N228" s="66"/>
      <c r="O228" s="66"/>
      <c r="P228" s="66"/>
      <c r="Q228" s="66"/>
      <c r="R228" s="66"/>
      <c r="S228" s="66"/>
      <c r="T228" s="66"/>
      <c r="U228" s="66"/>
      <c r="V228" s="66"/>
      <c r="W228" s="66"/>
      <c r="X228" s="66"/>
      <c r="Y228" s="66"/>
      <c r="Z228" s="66"/>
      <c r="AA228" s="66"/>
      <c r="AB228" s="66"/>
      <c r="AC228" s="66"/>
      <c r="AD228" s="66"/>
      <c r="AE228" s="66"/>
      <c r="AF228" s="66"/>
      <c r="AG228" s="66"/>
      <c r="AH228" s="66"/>
      <c r="AI228" s="66"/>
      <c r="AJ228" s="66"/>
      <c r="AK228" s="66"/>
      <c r="AL228" s="66"/>
      <c r="AM228" s="66"/>
      <c r="AN228" s="66"/>
      <c r="AO228" s="66"/>
      <c r="AP228" s="66"/>
      <c r="AQ228" s="66"/>
      <c r="AR228" s="66"/>
      <c r="AS228" s="66"/>
      <c r="AT228" s="66"/>
      <c r="AU228" s="66"/>
      <c r="AV228" s="66"/>
    </row>
    <row r="229" spans="8:48" ht="15" customHeight="1">
      <c r="H229" s="66"/>
      <c r="I229" s="66"/>
      <c r="J229" s="66"/>
      <c r="K229" s="66"/>
      <c r="L229" s="66"/>
      <c r="M229" s="66"/>
      <c r="N229" s="66"/>
      <c r="O229" s="66"/>
      <c r="P229" s="66"/>
      <c r="Q229" s="66"/>
      <c r="R229" s="66"/>
      <c r="S229" s="66"/>
      <c r="T229" s="66"/>
      <c r="U229" s="66"/>
      <c r="V229" s="66"/>
      <c r="W229" s="66"/>
      <c r="X229" s="66"/>
      <c r="Y229" s="66"/>
      <c r="Z229" s="66"/>
      <c r="AA229" s="66"/>
      <c r="AB229" s="66"/>
      <c r="AC229" s="66"/>
      <c r="AD229" s="66"/>
      <c r="AE229" s="66"/>
      <c r="AF229" s="66"/>
      <c r="AG229" s="66"/>
      <c r="AH229" s="66"/>
      <c r="AI229" s="66"/>
      <c r="AJ229" s="66"/>
      <c r="AK229" s="66"/>
      <c r="AL229" s="66"/>
      <c r="AM229" s="66"/>
      <c r="AN229" s="66"/>
      <c r="AO229" s="66"/>
      <c r="AP229" s="66"/>
      <c r="AQ229" s="66"/>
      <c r="AR229" s="66"/>
      <c r="AS229" s="66"/>
      <c r="AT229" s="66"/>
      <c r="AU229" s="66"/>
      <c r="AV229" s="66"/>
    </row>
    <row r="230" spans="8:48" ht="15" customHeight="1">
      <c r="H230" s="66"/>
      <c r="I230" s="66"/>
      <c r="J230" s="66"/>
      <c r="K230" s="66"/>
      <c r="L230" s="66"/>
      <c r="M230" s="66"/>
      <c r="N230" s="66"/>
      <c r="O230" s="66"/>
      <c r="P230" s="66"/>
      <c r="Q230" s="66"/>
      <c r="R230" s="66"/>
      <c r="S230" s="66"/>
      <c r="T230" s="66"/>
      <c r="U230" s="66"/>
      <c r="V230" s="66"/>
      <c r="W230" s="66"/>
      <c r="X230" s="66"/>
      <c r="Y230" s="66"/>
      <c r="Z230" s="66"/>
      <c r="AA230" s="66"/>
      <c r="AB230" s="66"/>
      <c r="AC230" s="66"/>
      <c r="AD230" s="66"/>
      <c r="AE230" s="66"/>
      <c r="AF230" s="66"/>
      <c r="AG230" s="66"/>
      <c r="AH230" s="66"/>
      <c r="AI230" s="66"/>
      <c r="AJ230" s="66"/>
      <c r="AK230" s="66"/>
      <c r="AL230" s="66"/>
      <c r="AM230" s="66"/>
      <c r="AN230" s="66"/>
      <c r="AO230" s="66"/>
      <c r="AP230" s="66"/>
      <c r="AQ230" s="66"/>
      <c r="AR230" s="66"/>
      <c r="AS230" s="66"/>
      <c r="AT230" s="66"/>
      <c r="AU230" s="66"/>
      <c r="AV230" s="66"/>
    </row>
    <row r="231" spans="8:48" ht="15" customHeight="1">
      <c r="H231" s="66"/>
      <c r="I231" s="66"/>
      <c r="J231" s="66"/>
      <c r="K231" s="66"/>
      <c r="L231" s="66"/>
      <c r="M231" s="66"/>
      <c r="N231" s="66"/>
      <c r="O231" s="66"/>
      <c r="P231" s="66"/>
      <c r="Q231" s="66"/>
      <c r="R231" s="66"/>
      <c r="S231" s="66"/>
      <c r="T231" s="66"/>
      <c r="U231" s="66"/>
      <c r="V231" s="66"/>
      <c r="W231" s="66"/>
      <c r="X231" s="66"/>
      <c r="Y231" s="66"/>
      <c r="Z231" s="66"/>
      <c r="AA231" s="66"/>
      <c r="AB231" s="66"/>
      <c r="AC231" s="66"/>
      <c r="AD231" s="66"/>
      <c r="AE231" s="66"/>
      <c r="AF231" s="66"/>
      <c r="AG231" s="66"/>
      <c r="AH231" s="66"/>
      <c r="AI231" s="66"/>
      <c r="AJ231" s="66"/>
      <c r="AK231" s="66"/>
      <c r="AL231" s="66"/>
      <c r="AM231" s="66"/>
      <c r="AN231" s="66"/>
      <c r="AO231" s="66"/>
      <c r="AP231" s="66"/>
      <c r="AQ231" s="66"/>
      <c r="AR231" s="66"/>
      <c r="AS231" s="66"/>
      <c r="AT231" s="66"/>
      <c r="AU231" s="66"/>
      <c r="AV231" s="66"/>
    </row>
    <row r="232" spans="8:48" ht="15" customHeight="1">
      <c r="H232" s="66"/>
      <c r="I232" s="66"/>
      <c r="J232" s="66"/>
      <c r="K232" s="66"/>
      <c r="L232" s="66"/>
      <c r="M232" s="66"/>
      <c r="N232" s="66"/>
      <c r="O232" s="66"/>
      <c r="P232" s="66"/>
      <c r="Q232" s="66"/>
      <c r="R232" s="66"/>
      <c r="S232" s="66"/>
      <c r="T232" s="66"/>
      <c r="U232" s="66"/>
      <c r="V232" s="66"/>
      <c r="W232" s="66"/>
      <c r="X232" s="66"/>
      <c r="Y232" s="66"/>
      <c r="Z232" s="66"/>
      <c r="AA232" s="66"/>
      <c r="AB232" s="66"/>
      <c r="AC232" s="66"/>
      <c r="AD232" s="66"/>
      <c r="AE232" s="66"/>
      <c r="AF232" s="66"/>
      <c r="AG232" s="66"/>
      <c r="AH232" s="66"/>
      <c r="AI232" s="66"/>
      <c r="AJ232" s="66"/>
      <c r="AK232" s="66"/>
      <c r="AL232" s="66"/>
      <c r="AM232" s="66"/>
      <c r="AN232" s="66"/>
      <c r="AO232" s="66"/>
      <c r="AP232" s="66"/>
      <c r="AQ232" s="66"/>
      <c r="AR232" s="66"/>
      <c r="AS232" s="66"/>
      <c r="AT232" s="66"/>
      <c r="AU232" s="66"/>
      <c r="AV232" s="66"/>
    </row>
    <row r="233" spans="8:48" ht="15" customHeight="1">
      <c r="H233" s="66"/>
      <c r="I233" s="66"/>
      <c r="J233" s="66"/>
      <c r="K233" s="66"/>
      <c r="L233" s="66"/>
      <c r="M233" s="66"/>
      <c r="N233" s="66"/>
      <c r="O233" s="66"/>
      <c r="P233" s="66"/>
      <c r="Q233" s="66"/>
      <c r="R233" s="66"/>
      <c r="S233" s="66"/>
      <c r="T233" s="66"/>
      <c r="U233" s="66"/>
      <c r="V233" s="66"/>
      <c r="W233" s="66"/>
      <c r="X233" s="66"/>
      <c r="Y233" s="66"/>
      <c r="Z233" s="66"/>
      <c r="AA233" s="66"/>
      <c r="AB233" s="66"/>
      <c r="AC233" s="66"/>
      <c r="AD233" s="66"/>
      <c r="AE233" s="66"/>
      <c r="AF233" s="66"/>
      <c r="AG233" s="66"/>
      <c r="AH233" s="66"/>
      <c r="AI233" s="66"/>
      <c r="AJ233" s="66"/>
      <c r="AK233" s="66"/>
      <c r="AL233" s="66"/>
      <c r="AM233" s="66"/>
      <c r="AN233" s="66"/>
      <c r="AO233" s="66"/>
      <c r="AP233" s="66"/>
      <c r="AQ233" s="66"/>
      <c r="AR233" s="66"/>
      <c r="AS233" s="66"/>
      <c r="AT233" s="66"/>
      <c r="AU233" s="66"/>
      <c r="AV233" s="66"/>
    </row>
    <row r="234" spans="8:48" ht="15" customHeight="1">
      <c r="H234" s="66"/>
      <c r="I234" s="66"/>
      <c r="J234" s="66"/>
      <c r="K234" s="66"/>
      <c r="L234" s="66"/>
      <c r="M234" s="66"/>
      <c r="N234" s="66"/>
      <c r="O234" s="66"/>
      <c r="P234" s="66"/>
      <c r="Q234" s="66"/>
      <c r="R234" s="66"/>
      <c r="S234" s="66"/>
      <c r="T234" s="66"/>
      <c r="U234" s="66"/>
      <c r="V234" s="66"/>
      <c r="W234" s="66"/>
      <c r="X234" s="66"/>
      <c r="Y234" s="66"/>
      <c r="Z234" s="66"/>
      <c r="AA234" s="66"/>
      <c r="AB234" s="66"/>
      <c r="AC234" s="66"/>
      <c r="AD234" s="66"/>
      <c r="AE234" s="66"/>
      <c r="AF234" s="66"/>
      <c r="AG234" s="66"/>
      <c r="AH234" s="66"/>
      <c r="AI234" s="66"/>
      <c r="AJ234" s="66"/>
      <c r="AK234" s="66"/>
      <c r="AL234" s="66"/>
      <c r="AM234" s="66"/>
      <c r="AN234" s="66"/>
      <c r="AO234" s="66"/>
      <c r="AP234" s="66"/>
      <c r="AQ234" s="66"/>
      <c r="AR234" s="66"/>
      <c r="AS234" s="66"/>
      <c r="AT234" s="66"/>
      <c r="AU234" s="66"/>
      <c r="AV234" s="66"/>
    </row>
    <row r="235" spans="8:48" ht="15" customHeight="1">
      <c r="H235" s="66"/>
      <c r="I235" s="66"/>
      <c r="J235" s="66"/>
      <c r="K235" s="66"/>
      <c r="L235" s="66"/>
      <c r="M235" s="66"/>
      <c r="N235" s="66"/>
      <c r="O235" s="66"/>
      <c r="P235" s="66"/>
      <c r="Q235" s="66"/>
      <c r="R235" s="66"/>
      <c r="S235" s="66"/>
      <c r="T235" s="66"/>
      <c r="U235" s="66"/>
      <c r="V235" s="66"/>
      <c r="W235" s="66"/>
      <c r="X235" s="66"/>
      <c r="Y235" s="66"/>
      <c r="Z235" s="66"/>
      <c r="AA235" s="66"/>
      <c r="AB235" s="66"/>
      <c r="AC235" s="66"/>
      <c r="AD235" s="66"/>
      <c r="AE235" s="66"/>
      <c r="AF235" s="66"/>
      <c r="AG235" s="66"/>
      <c r="AH235" s="66"/>
      <c r="AI235" s="66"/>
      <c r="AJ235" s="66"/>
      <c r="AK235" s="66"/>
      <c r="AL235" s="66"/>
      <c r="AM235" s="66"/>
      <c r="AN235" s="66"/>
      <c r="AO235" s="66"/>
      <c r="AP235" s="66"/>
      <c r="AQ235" s="66"/>
      <c r="AR235" s="66"/>
      <c r="AS235" s="66"/>
      <c r="AT235" s="66"/>
      <c r="AU235" s="66"/>
      <c r="AV235" s="66"/>
    </row>
    <row r="236" spans="8:48" ht="15" customHeight="1">
      <c r="H236" s="66"/>
      <c r="I236" s="66"/>
      <c r="J236" s="66"/>
      <c r="K236" s="66"/>
      <c r="L236" s="66"/>
      <c r="M236" s="66"/>
      <c r="N236" s="66"/>
      <c r="O236" s="66"/>
      <c r="P236" s="66"/>
      <c r="Q236" s="66"/>
      <c r="R236" s="66"/>
      <c r="S236" s="66"/>
      <c r="T236" s="66"/>
      <c r="U236" s="66"/>
      <c r="V236" s="66"/>
      <c r="W236" s="66"/>
      <c r="X236" s="66"/>
      <c r="Y236" s="66"/>
      <c r="Z236" s="66"/>
      <c r="AA236" s="66"/>
      <c r="AB236" s="66"/>
      <c r="AC236" s="66"/>
      <c r="AD236" s="66"/>
      <c r="AE236" s="66"/>
      <c r="AF236" s="66"/>
      <c r="AG236" s="66"/>
      <c r="AH236" s="66"/>
      <c r="AI236" s="66"/>
      <c r="AJ236" s="66"/>
      <c r="AK236" s="66"/>
      <c r="AL236" s="66"/>
      <c r="AM236" s="66"/>
      <c r="AN236" s="66"/>
      <c r="AO236" s="66"/>
      <c r="AP236" s="66"/>
      <c r="AQ236" s="66"/>
      <c r="AR236" s="66"/>
      <c r="AS236" s="66"/>
      <c r="AT236" s="66"/>
      <c r="AU236" s="66"/>
      <c r="AV236" s="66"/>
    </row>
    <row r="237" spans="8:48" ht="15" customHeight="1">
      <c r="H237" s="66"/>
      <c r="I237" s="66"/>
      <c r="J237" s="66"/>
      <c r="K237" s="66"/>
      <c r="L237" s="66"/>
      <c r="M237" s="66"/>
      <c r="N237" s="66"/>
      <c r="O237" s="66"/>
      <c r="P237" s="66"/>
      <c r="Q237" s="66"/>
      <c r="R237" s="66"/>
      <c r="S237" s="66"/>
      <c r="T237" s="66"/>
      <c r="U237" s="66"/>
      <c r="V237" s="66"/>
      <c r="W237" s="66"/>
      <c r="X237" s="66"/>
      <c r="Y237" s="66"/>
      <c r="Z237" s="66"/>
      <c r="AA237" s="66"/>
      <c r="AB237" s="66"/>
      <c r="AC237" s="66"/>
      <c r="AD237" s="66"/>
      <c r="AE237" s="66"/>
      <c r="AF237" s="66"/>
      <c r="AG237" s="66"/>
      <c r="AH237" s="66"/>
      <c r="AI237" s="66"/>
      <c r="AJ237" s="66"/>
      <c r="AK237" s="66"/>
      <c r="AL237" s="66"/>
      <c r="AM237" s="66"/>
      <c r="AN237" s="66"/>
      <c r="AO237" s="66"/>
      <c r="AP237" s="66"/>
      <c r="AQ237" s="66"/>
      <c r="AR237" s="66"/>
      <c r="AS237" s="66"/>
      <c r="AT237" s="66"/>
      <c r="AU237" s="66"/>
      <c r="AV237" s="66"/>
    </row>
    <row r="238" spans="8:48" ht="15" customHeight="1">
      <c r="H238" s="66"/>
      <c r="I238" s="66"/>
      <c r="J238" s="66"/>
      <c r="K238" s="66"/>
      <c r="L238" s="66"/>
      <c r="M238" s="66"/>
      <c r="N238" s="66"/>
      <c r="O238" s="66"/>
      <c r="P238" s="66"/>
      <c r="Q238" s="66"/>
      <c r="R238" s="66"/>
      <c r="S238" s="66"/>
      <c r="T238" s="66"/>
      <c r="U238" s="66"/>
      <c r="V238" s="66"/>
      <c r="W238" s="66"/>
      <c r="X238" s="66"/>
      <c r="Y238" s="66"/>
      <c r="Z238" s="66"/>
      <c r="AA238" s="66"/>
      <c r="AB238" s="66"/>
      <c r="AC238" s="66"/>
      <c r="AD238" s="66"/>
      <c r="AE238" s="66"/>
      <c r="AF238" s="66"/>
      <c r="AG238" s="66"/>
      <c r="AH238" s="66"/>
      <c r="AI238" s="66"/>
      <c r="AJ238" s="66"/>
      <c r="AK238" s="66"/>
      <c r="AL238" s="66"/>
      <c r="AM238" s="66"/>
      <c r="AN238" s="66"/>
      <c r="AO238" s="66"/>
      <c r="AP238" s="66"/>
      <c r="AQ238" s="66"/>
      <c r="AR238" s="66"/>
      <c r="AS238" s="66"/>
      <c r="AT238" s="66"/>
      <c r="AU238" s="66"/>
      <c r="AV238" s="66"/>
    </row>
    <row r="239" spans="8:48" ht="15" customHeight="1">
      <c r="H239" s="66"/>
      <c r="I239" s="66"/>
      <c r="J239" s="66"/>
      <c r="K239" s="66"/>
      <c r="L239" s="66"/>
      <c r="M239" s="66"/>
      <c r="N239" s="66"/>
      <c r="O239" s="66"/>
      <c r="P239" s="66"/>
      <c r="Q239" s="66"/>
      <c r="R239" s="66"/>
      <c r="S239" s="66"/>
      <c r="T239" s="66"/>
      <c r="U239" s="66"/>
      <c r="V239" s="66"/>
      <c r="W239" s="66"/>
      <c r="X239" s="66"/>
      <c r="Y239" s="66"/>
      <c r="Z239" s="66"/>
      <c r="AA239" s="66"/>
      <c r="AB239" s="66"/>
      <c r="AC239" s="66"/>
      <c r="AD239" s="66"/>
      <c r="AE239" s="66"/>
      <c r="AF239" s="66"/>
      <c r="AG239" s="66"/>
      <c r="AH239" s="66"/>
      <c r="AI239" s="66"/>
      <c r="AJ239" s="66"/>
      <c r="AK239" s="66"/>
      <c r="AL239" s="66"/>
      <c r="AM239" s="66"/>
      <c r="AN239" s="66"/>
      <c r="AO239" s="66"/>
      <c r="AP239" s="66"/>
      <c r="AQ239" s="66"/>
      <c r="AR239" s="66"/>
      <c r="AS239" s="66"/>
      <c r="AT239" s="66"/>
      <c r="AU239" s="66"/>
      <c r="AV239" s="66"/>
    </row>
    <row r="240" spans="8:48" ht="15" customHeight="1">
      <c r="H240" s="66"/>
      <c r="I240" s="66"/>
      <c r="J240" s="66"/>
      <c r="K240" s="66"/>
      <c r="L240" s="66"/>
      <c r="M240" s="66"/>
      <c r="N240" s="66"/>
      <c r="O240" s="66"/>
      <c r="P240" s="66"/>
      <c r="Q240" s="66"/>
      <c r="R240" s="66"/>
      <c r="S240" s="66"/>
      <c r="T240" s="66"/>
      <c r="U240" s="66"/>
      <c r="V240" s="66"/>
      <c r="W240" s="66"/>
      <c r="X240" s="66"/>
      <c r="Y240" s="66"/>
      <c r="Z240" s="66"/>
      <c r="AA240" s="66"/>
      <c r="AB240" s="66"/>
      <c r="AC240" s="66"/>
      <c r="AD240" s="66"/>
      <c r="AE240" s="66"/>
      <c r="AF240" s="66"/>
      <c r="AG240" s="66"/>
      <c r="AH240" s="66"/>
      <c r="AI240" s="66"/>
      <c r="AJ240" s="66"/>
      <c r="AK240" s="66"/>
      <c r="AL240" s="66"/>
      <c r="AM240" s="66"/>
      <c r="AN240" s="66"/>
      <c r="AO240" s="66"/>
      <c r="AP240" s="66"/>
      <c r="AQ240" s="66"/>
      <c r="AR240" s="66"/>
      <c r="AS240" s="66"/>
      <c r="AT240" s="66"/>
      <c r="AU240" s="66"/>
      <c r="AV240" s="66"/>
    </row>
    <row r="241" spans="8:48" ht="15" customHeight="1">
      <c r="H241" s="66"/>
      <c r="I241" s="66"/>
      <c r="J241" s="66"/>
      <c r="K241" s="66"/>
      <c r="L241" s="66"/>
      <c r="M241" s="66"/>
      <c r="N241" s="66"/>
      <c r="O241" s="66"/>
      <c r="P241" s="66"/>
      <c r="Q241" s="66"/>
      <c r="R241" s="66"/>
      <c r="S241" s="66"/>
      <c r="T241" s="66"/>
      <c r="U241" s="66"/>
      <c r="V241" s="66"/>
      <c r="W241" s="66"/>
      <c r="X241" s="66"/>
      <c r="Y241" s="66"/>
      <c r="Z241" s="66"/>
      <c r="AA241" s="66"/>
      <c r="AB241" s="66"/>
      <c r="AC241" s="66"/>
      <c r="AD241" s="66"/>
      <c r="AE241" s="66"/>
      <c r="AF241" s="66"/>
      <c r="AG241" s="66"/>
      <c r="AH241" s="66"/>
      <c r="AI241" s="66"/>
      <c r="AJ241" s="66"/>
      <c r="AK241" s="66"/>
      <c r="AL241" s="66"/>
      <c r="AM241" s="66"/>
      <c r="AN241" s="66"/>
      <c r="AO241" s="66"/>
      <c r="AP241" s="66"/>
      <c r="AQ241" s="66"/>
      <c r="AR241" s="66"/>
      <c r="AS241" s="66"/>
      <c r="AT241" s="66"/>
      <c r="AU241" s="66"/>
      <c r="AV241" s="66"/>
    </row>
    <row r="242" spans="8:48" ht="15" customHeight="1">
      <c r="H242" s="66"/>
      <c r="I242" s="66"/>
      <c r="J242" s="66"/>
      <c r="K242" s="66"/>
      <c r="L242" s="66"/>
      <c r="M242" s="66"/>
      <c r="N242" s="66"/>
      <c r="O242" s="66"/>
      <c r="P242" s="66"/>
      <c r="Q242" s="66"/>
      <c r="R242" s="66"/>
      <c r="S242" s="66"/>
      <c r="T242" s="66"/>
      <c r="U242" s="66"/>
      <c r="V242" s="66"/>
      <c r="W242" s="66"/>
      <c r="X242" s="66"/>
      <c r="Y242" s="66"/>
      <c r="Z242" s="66"/>
      <c r="AA242" s="66"/>
      <c r="AB242" s="66"/>
      <c r="AC242" s="66"/>
      <c r="AD242" s="66"/>
      <c r="AE242" s="66"/>
      <c r="AF242" s="66"/>
      <c r="AG242" s="66"/>
      <c r="AH242" s="66"/>
      <c r="AI242" s="66"/>
      <c r="AJ242" s="66"/>
      <c r="AK242" s="66"/>
      <c r="AL242" s="66"/>
      <c r="AM242" s="66"/>
      <c r="AN242" s="66"/>
      <c r="AO242" s="66"/>
      <c r="AP242" s="66"/>
      <c r="AQ242" s="66"/>
      <c r="AR242" s="66"/>
      <c r="AS242" s="66"/>
      <c r="AT242" s="66"/>
      <c r="AU242" s="66"/>
      <c r="AV242" s="66"/>
    </row>
    <row r="243" spans="8:48" ht="15" customHeight="1">
      <c r="H243" s="66"/>
      <c r="I243" s="66"/>
      <c r="J243" s="66"/>
      <c r="K243" s="66"/>
      <c r="L243" s="66"/>
      <c r="M243" s="66"/>
      <c r="N243" s="66"/>
      <c r="O243" s="66"/>
      <c r="P243" s="66"/>
      <c r="Q243" s="66"/>
      <c r="R243" s="66"/>
      <c r="S243" s="66"/>
      <c r="T243" s="66"/>
      <c r="U243" s="66"/>
      <c r="V243" s="66"/>
      <c r="W243" s="66"/>
      <c r="X243" s="66"/>
      <c r="Y243" s="66"/>
      <c r="Z243" s="66"/>
      <c r="AA243" s="66"/>
      <c r="AB243" s="66"/>
      <c r="AC243" s="66"/>
      <c r="AD243" s="66"/>
      <c r="AE243" s="66"/>
      <c r="AF243" s="66"/>
      <c r="AG243" s="66"/>
      <c r="AH243" s="66"/>
      <c r="AI243" s="66"/>
      <c r="AJ243" s="66"/>
      <c r="AK243" s="66"/>
      <c r="AL243" s="66"/>
      <c r="AM243" s="66"/>
      <c r="AN243" s="66"/>
      <c r="AO243" s="66"/>
      <c r="AP243" s="66"/>
      <c r="AQ243" s="66"/>
      <c r="AR243" s="66"/>
      <c r="AS243" s="66"/>
      <c r="AT243" s="66"/>
      <c r="AU243" s="66"/>
      <c r="AV243" s="66"/>
    </row>
    <row r="244" spans="8:48" ht="15" customHeight="1">
      <c r="H244" s="66"/>
      <c r="I244" s="66"/>
      <c r="J244" s="66"/>
      <c r="K244" s="66"/>
      <c r="L244" s="66"/>
      <c r="M244" s="66"/>
      <c r="N244" s="66"/>
      <c r="O244" s="66"/>
      <c r="P244" s="66"/>
      <c r="Q244" s="66"/>
      <c r="R244" s="66"/>
      <c r="S244" s="66"/>
      <c r="T244" s="66"/>
      <c r="U244" s="66"/>
      <c r="V244" s="66"/>
      <c r="W244" s="66"/>
      <c r="X244" s="66"/>
      <c r="Y244" s="66"/>
      <c r="Z244" s="66"/>
      <c r="AA244" s="66"/>
      <c r="AB244" s="66"/>
      <c r="AC244" s="66"/>
      <c r="AD244" s="66"/>
      <c r="AE244" s="66"/>
      <c r="AF244" s="66"/>
      <c r="AG244" s="66"/>
      <c r="AH244" s="66"/>
      <c r="AI244" s="66"/>
      <c r="AJ244" s="66"/>
      <c r="AK244" s="66"/>
      <c r="AL244" s="66"/>
      <c r="AM244" s="66"/>
      <c r="AN244" s="66"/>
      <c r="AO244" s="66"/>
      <c r="AP244" s="66"/>
      <c r="AQ244" s="66"/>
      <c r="AR244" s="66"/>
      <c r="AS244" s="66"/>
      <c r="AT244" s="66"/>
      <c r="AU244" s="66"/>
      <c r="AV244" s="66"/>
    </row>
    <row r="245" spans="8:48" ht="15" customHeight="1">
      <c r="H245" s="66"/>
      <c r="I245" s="66"/>
      <c r="J245" s="66"/>
      <c r="K245" s="66"/>
      <c r="L245" s="66"/>
      <c r="M245" s="66"/>
      <c r="N245" s="66"/>
      <c r="O245" s="66"/>
      <c r="P245" s="66"/>
      <c r="Q245" s="66"/>
      <c r="R245" s="66"/>
      <c r="S245" s="66"/>
      <c r="T245" s="66"/>
      <c r="U245" s="66"/>
      <c r="V245" s="66"/>
      <c r="W245" s="66"/>
      <c r="X245" s="66"/>
      <c r="Y245" s="66"/>
      <c r="Z245" s="66"/>
      <c r="AA245" s="66"/>
      <c r="AB245" s="66"/>
      <c r="AC245" s="66"/>
      <c r="AD245" s="66"/>
      <c r="AE245" s="66"/>
      <c r="AF245" s="66"/>
      <c r="AG245" s="66"/>
      <c r="AH245" s="66"/>
      <c r="AI245" s="66"/>
      <c r="AJ245" s="66"/>
      <c r="AK245" s="66"/>
      <c r="AL245" s="66"/>
      <c r="AM245" s="66"/>
      <c r="AN245" s="66"/>
      <c r="AO245" s="66"/>
      <c r="AP245" s="66"/>
      <c r="AQ245" s="66"/>
      <c r="AR245" s="66"/>
      <c r="AS245" s="66"/>
      <c r="AT245" s="66"/>
      <c r="AU245" s="66"/>
      <c r="AV245" s="66"/>
    </row>
    <row r="246" spans="8:48" ht="15" customHeight="1">
      <c r="H246" s="66"/>
      <c r="I246" s="66"/>
      <c r="J246" s="66"/>
      <c r="K246" s="66"/>
      <c r="L246" s="66"/>
      <c r="M246" s="66"/>
      <c r="N246" s="66"/>
      <c r="O246" s="66"/>
      <c r="P246" s="66"/>
      <c r="Q246" s="66"/>
      <c r="R246" s="66"/>
      <c r="S246" s="66"/>
      <c r="T246" s="66"/>
      <c r="U246" s="66"/>
      <c r="V246" s="66"/>
      <c r="W246" s="66"/>
      <c r="X246" s="66"/>
      <c r="Y246" s="66"/>
      <c r="Z246" s="66"/>
      <c r="AA246" s="66"/>
      <c r="AB246" s="66"/>
      <c r="AC246" s="66"/>
      <c r="AD246" s="66"/>
      <c r="AE246" s="66"/>
      <c r="AF246" s="66"/>
      <c r="AG246" s="66"/>
      <c r="AH246" s="66"/>
      <c r="AI246" s="66"/>
      <c r="AJ246" s="66"/>
      <c r="AK246" s="66"/>
      <c r="AL246" s="66"/>
      <c r="AM246" s="66"/>
      <c r="AN246" s="66"/>
      <c r="AO246" s="66"/>
      <c r="AP246" s="66"/>
      <c r="AQ246" s="66"/>
      <c r="AR246" s="66"/>
      <c r="AS246" s="66"/>
      <c r="AT246" s="66"/>
      <c r="AU246" s="66"/>
      <c r="AV246" s="66"/>
    </row>
    <row r="247" spans="8:48" ht="15" customHeight="1">
      <c r="H247" s="66"/>
      <c r="I247" s="66"/>
      <c r="J247" s="66"/>
      <c r="K247" s="66"/>
      <c r="L247" s="66"/>
      <c r="M247" s="66"/>
      <c r="N247" s="66"/>
      <c r="O247" s="66"/>
      <c r="P247" s="66"/>
      <c r="Q247" s="66"/>
      <c r="R247" s="66"/>
      <c r="S247" s="66"/>
      <c r="T247" s="66"/>
      <c r="U247" s="66"/>
      <c r="V247" s="66"/>
      <c r="W247" s="66"/>
      <c r="X247" s="66"/>
      <c r="Y247" s="66"/>
      <c r="Z247" s="66"/>
      <c r="AA247" s="66"/>
      <c r="AB247" s="66"/>
      <c r="AC247" s="66"/>
      <c r="AD247" s="66"/>
      <c r="AE247" s="66"/>
      <c r="AF247" s="66"/>
      <c r="AG247" s="66"/>
      <c r="AH247" s="66"/>
      <c r="AI247" s="66"/>
      <c r="AJ247" s="66"/>
      <c r="AK247" s="66"/>
      <c r="AL247" s="66"/>
      <c r="AM247" s="66"/>
      <c r="AN247" s="66"/>
      <c r="AO247" s="66"/>
      <c r="AP247" s="66"/>
      <c r="AQ247" s="66"/>
      <c r="AR247" s="66"/>
      <c r="AS247" s="66"/>
      <c r="AT247" s="66"/>
      <c r="AU247" s="66"/>
      <c r="AV247" s="66"/>
    </row>
    <row r="248" spans="8:48" ht="15" customHeight="1">
      <c r="H248" s="66"/>
      <c r="I248" s="66"/>
      <c r="J248" s="66"/>
      <c r="K248" s="66"/>
      <c r="L248" s="66"/>
      <c r="M248" s="66"/>
      <c r="N248" s="66"/>
      <c r="O248" s="66"/>
      <c r="P248" s="66"/>
      <c r="Q248" s="66"/>
      <c r="R248" s="66"/>
      <c r="S248" s="66"/>
      <c r="T248" s="66"/>
      <c r="U248" s="66"/>
      <c r="V248" s="66"/>
      <c r="W248" s="66"/>
      <c r="X248" s="66"/>
      <c r="Y248" s="66"/>
      <c r="Z248" s="66"/>
      <c r="AA248" s="66"/>
      <c r="AB248" s="66"/>
      <c r="AC248" s="66"/>
      <c r="AD248" s="66"/>
      <c r="AE248" s="66"/>
      <c r="AF248" s="66"/>
      <c r="AG248" s="66"/>
      <c r="AH248" s="66"/>
      <c r="AI248" s="66"/>
      <c r="AJ248" s="66"/>
      <c r="AK248" s="66"/>
      <c r="AL248" s="66"/>
      <c r="AM248" s="66"/>
      <c r="AN248" s="66"/>
      <c r="AO248" s="66"/>
      <c r="AP248" s="66"/>
      <c r="AQ248" s="66"/>
      <c r="AR248" s="66"/>
      <c r="AS248" s="66"/>
      <c r="AT248" s="66"/>
      <c r="AU248" s="66"/>
      <c r="AV248" s="66"/>
    </row>
    <row r="249" spans="8:48" ht="15" customHeight="1">
      <c r="H249" s="66"/>
      <c r="I249" s="66"/>
      <c r="J249" s="66"/>
      <c r="K249" s="66"/>
      <c r="L249" s="66"/>
      <c r="M249" s="66"/>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66"/>
      <c r="AL249" s="66"/>
      <c r="AM249" s="66"/>
      <c r="AN249" s="66"/>
      <c r="AO249" s="66"/>
      <c r="AP249" s="66"/>
      <c r="AQ249" s="66"/>
      <c r="AR249" s="66"/>
      <c r="AS249" s="66"/>
      <c r="AT249" s="66"/>
      <c r="AU249" s="66"/>
      <c r="AV249" s="66"/>
    </row>
    <row r="250" spans="8:48" ht="15" customHeight="1">
      <c r="H250" s="66"/>
      <c r="I250" s="66"/>
      <c r="J250" s="66"/>
      <c r="K250" s="66"/>
      <c r="L250" s="66"/>
      <c r="M250" s="66"/>
      <c r="N250" s="66"/>
      <c r="O250" s="66"/>
      <c r="P250" s="66"/>
      <c r="Q250" s="66"/>
      <c r="R250" s="66"/>
      <c r="S250" s="66"/>
      <c r="T250" s="66"/>
      <c r="U250" s="66"/>
      <c r="V250" s="66"/>
      <c r="W250" s="66"/>
      <c r="X250" s="66"/>
      <c r="Y250" s="66"/>
      <c r="Z250" s="66"/>
      <c r="AA250" s="66"/>
      <c r="AB250" s="66"/>
      <c r="AC250" s="66"/>
      <c r="AD250" s="66"/>
      <c r="AE250" s="66"/>
      <c r="AF250" s="66"/>
      <c r="AG250" s="66"/>
      <c r="AH250" s="66"/>
      <c r="AI250" s="66"/>
      <c r="AJ250" s="66"/>
      <c r="AK250" s="66"/>
      <c r="AL250" s="66"/>
      <c r="AM250" s="66"/>
      <c r="AN250" s="66"/>
      <c r="AO250" s="66"/>
      <c r="AP250" s="66"/>
      <c r="AQ250" s="66"/>
      <c r="AR250" s="66"/>
      <c r="AS250" s="66"/>
      <c r="AT250" s="66"/>
      <c r="AU250" s="66"/>
      <c r="AV250" s="66"/>
    </row>
    <row r="251" spans="8:48" ht="15" customHeight="1">
      <c r="H251" s="66"/>
      <c r="I251" s="66"/>
      <c r="J251" s="66"/>
      <c r="K251" s="66"/>
      <c r="L251" s="66"/>
      <c r="M251" s="66"/>
      <c r="N251" s="66"/>
      <c r="O251" s="66"/>
      <c r="P251" s="66"/>
      <c r="Q251" s="66"/>
      <c r="R251" s="66"/>
      <c r="S251" s="66"/>
      <c r="T251" s="66"/>
      <c r="U251" s="66"/>
      <c r="V251" s="66"/>
      <c r="W251" s="66"/>
      <c r="X251" s="66"/>
      <c r="Y251" s="66"/>
      <c r="Z251" s="66"/>
      <c r="AA251" s="66"/>
      <c r="AB251" s="66"/>
      <c r="AC251" s="66"/>
      <c r="AD251" s="66"/>
      <c r="AE251" s="66"/>
      <c r="AF251" s="66"/>
      <c r="AG251" s="66"/>
      <c r="AH251" s="66"/>
      <c r="AI251" s="66"/>
      <c r="AJ251" s="66"/>
      <c r="AK251" s="66"/>
      <c r="AL251" s="66"/>
      <c r="AM251" s="66"/>
      <c r="AN251" s="66"/>
      <c r="AO251" s="66"/>
      <c r="AP251" s="66"/>
      <c r="AQ251" s="66"/>
      <c r="AR251" s="66"/>
      <c r="AS251" s="66"/>
      <c r="AT251" s="66"/>
      <c r="AU251" s="66"/>
      <c r="AV251" s="66"/>
    </row>
  </sheetData>
  <mergeCells count="2">
    <mergeCell ref="C19:E19"/>
    <mergeCell ref="C25:E25"/>
  </mergeCells>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97132"/>
    <pageSetUpPr fitToPage="1"/>
  </sheetPr>
  <dimension ref="B2:X91"/>
  <sheetViews>
    <sheetView topLeftCell="A18" zoomScale="85" zoomScaleNormal="85" workbookViewId="0">
      <selection activeCell="G29" sqref="G29"/>
    </sheetView>
  </sheetViews>
  <sheetFormatPr defaultColWidth="8.75" defaultRowHeight="14.25"/>
  <cols>
    <col min="1" max="2" width="8.75" style="22"/>
    <col min="3" max="3" width="31.375" style="22" customWidth="1"/>
    <col min="4" max="4" width="25" style="22" customWidth="1"/>
    <col min="5" max="5" width="14.125" style="22" customWidth="1"/>
    <col min="6" max="6" width="10.375" style="22" customWidth="1"/>
    <col min="7" max="7" width="24.75" style="22" customWidth="1"/>
    <col min="8" max="16384" width="8.75" style="22"/>
  </cols>
  <sheetData>
    <row r="2" spans="2:23" ht="15" customHeight="1" thickBot="1"/>
    <row r="3" spans="2:23" ht="15.75" customHeight="1">
      <c r="B3" s="137"/>
      <c r="C3" s="138"/>
      <c r="D3" s="138"/>
      <c r="E3" s="138"/>
      <c r="F3" s="138"/>
      <c r="G3" s="139"/>
      <c r="I3" s="90" t="s">
        <v>718</v>
      </c>
      <c r="J3" s="140"/>
      <c r="K3" s="140"/>
      <c r="L3" s="140"/>
      <c r="M3" s="91"/>
      <c r="N3" s="140"/>
      <c r="O3" s="140"/>
      <c r="P3" s="140"/>
      <c r="Q3" s="91"/>
      <c r="R3" s="140"/>
      <c r="S3" s="141"/>
      <c r="T3" s="141"/>
      <c r="U3" s="141"/>
      <c r="V3" s="141"/>
      <c r="W3" s="142"/>
    </row>
    <row r="4" spans="2:23" ht="26.25" customHeight="1">
      <c r="B4" s="143"/>
      <c r="C4" s="144" t="s">
        <v>719</v>
      </c>
      <c r="G4" s="145"/>
      <c r="I4" s="80"/>
      <c r="W4" s="81"/>
    </row>
    <row r="5" spans="2:23" ht="14.25" customHeight="1">
      <c r="B5" s="143"/>
      <c r="G5" s="145"/>
      <c r="I5" s="80"/>
      <c r="W5" s="81"/>
    </row>
    <row r="6" spans="2:23" ht="18" customHeight="1">
      <c r="B6" s="143"/>
      <c r="C6" s="19" t="s">
        <v>720</v>
      </c>
      <c r="G6" s="145"/>
      <c r="I6" s="80"/>
      <c r="W6" s="81"/>
    </row>
    <row r="7" spans="2:23" ht="4.5" customHeight="1">
      <c r="B7" s="143"/>
      <c r="C7" s="23"/>
      <c r="G7" s="145"/>
      <c r="I7" s="80"/>
      <c r="W7" s="81"/>
    </row>
    <row r="8" spans="2:23" ht="15.75" customHeight="1">
      <c r="B8" s="143"/>
      <c r="C8" s="20" t="s">
        <v>131</v>
      </c>
      <c r="D8" s="20" t="s">
        <v>132</v>
      </c>
      <c r="E8" s="20" t="s">
        <v>133</v>
      </c>
      <c r="F8" s="20" t="s">
        <v>134</v>
      </c>
      <c r="G8" s="146" t="str">
        <f t="array" ref="G8">IF(AND(VALUE(E9:E13)),"","Please compile on sheet")</f>
        <v/>
      </c>
      <c r="I8" s="80"/>
      <c r="W8" s="81"/>
    </row>
    <row r="9" spans="2:23" ht="14.25" customHeight="1">
      <c r="B9" s="143"/>
      <c r="C9" s="1" t="s">
        <v>321</v>
      </c>
      <c r="D9" s="1" t="s">
        <v>322</v>
      </c>
      <c r="E9" s="147">
        <f>'Res. Tank Design'!F45</f>
        <v>24</v>
      </c>
      <c r="F9" s="1" t="s">
        <v>320</v>
      </c>
      <c r="G9" s="146" t="str">
        <f>IF(E9,"","Res. Tank Design")</f>
        <v/>
      </c>
      <c r="I9" s="80"/>
      <c r="W9" s="81"/>
    </row>
    <row r="10" spans="2:23" ht="14.25" customHeight="1">
      <c r="B10" s="143"/>
      <c r="C10" s="1" t="s">
        <v>318</v>
      </c>
      <c r="D10" s="1" t="s">
        <v>319</v>
      </c>
      <c r="E10" s="147">
        <f>'Res. Tank Design'!F44</f>
        <v>11</v>
      </c>
      <c r="F10" s="1" t="s">
        <v>320</v>
      </c>
      <c r="G10" s="146" t="str">
        <f>IF(E10,"","Res. Tank Design")</f>
        <v/>
      </c>
      <c r="I10" s="80"/>
      <c r="W10" s="81"/>
    </row>
    <row r="11" spans="2:23" ht="14.25" customHeight="1">
      <c r="B11" s="143"/>
      <c r="C11" s="1" t="s">
        <v>316</v>
      </c>
      <c r="D11" s="1" t="s">
        <v>317</v>
      </c>
      <c r="E11" s="147">
        <f>'Res. Tank Design'!F43</f>
        <v>100</v>
      </c>
      <c r="F11" s="1" t="s">
        <v>200</v>
      </c>
      <c r="G11" s="146" t="str">
        <f>IF(E11,"","Res. Tank Design")</f>
        <v/>
      </c>
      <c r="I11" s="80"/>
      <c r="W11" s="81"/>
    </row>
    <row r="12" spans="2:23" ht="14.25" customHeight="1">
      <c r="B12" s="143"/>
      <c r="C12" s="1" t="s">
        <v>721</v>
      </c>
      <c r="D12" s="1" t="s">
        <v>268</v>
      </c>
      <c r="E12" s="147">
        <f>'Res. Tank Design'!F9</f>
        <v>7.4527000000000001</v>
      </c>
      <c r="F12" s="1" t="str">
        <f>"-"</f>
        <v>-</v>
      </c>
      <c r="G12" s="146" t="str">
        <f>IF(E12,"","Res. Tank Design")</f>
        <v/>
      </c>
      <c r="I12" s="80"/>
      <c r="W12" s="81"/>
    </row>
    <row r="13" spans="2:23" ht="14.25" customHeight="1">
      <c r="B13" s="143"/>
      <c r="C13" s="54" t="s">
        <v>722</v>
      </c>
      <c r="D13" s="54" t="s">
        <v>723</v>
      </c>
      <c r="E13" s="147">
        <f>'Device Setting'!$F$83</f>
        <v>3</v>
      </c>
      <c r="F13" s="54" t="str">
        <f>"-"</f>
        <v>-</v>
      </c>
      <c r="G13" s="146" t="str">
        <f>IF(E13,"","Device Setting")</f>
        <v/>
      </c>
      <c r="I13" s="80"/>
      <c r="W13" s="81"/>
    </row>
    <row r="14" spans="2:23" ht="14.25" customHeight="1">
      <c r="B14" s="143"/>
      <c r="G14" s="145"/>
      <c r="I14" s="80"/>
      <c r="W14" s="81"/>
    </row>
    <row r="15" spans="2:23" ht="18" customHeight="1">
      <c r="B15" s="143"/>
      <c r="C15" s="19" t="s">
        <v>972</v>
      </c>
      <c r="G15" s="145"/>
      <c r="I15" s="80"/>
      <c r="W15" s="81"/>
    </row>
    <row r="16" spans="2:23" ht="4.5" customHeight="1">
      <c r="B16" s="143"/>
      <c r="C16" s="23"/>
      <c r="G16" s="145"/>
      <c r="I16" s="80"/>
      <c r="W16" s="81"/>
    </row>
    <row r="17" spans="2:23" ht="15.75" customHeight="1">
      <c r="B17" s="143"/>
      <c r="C17" s="20" t="s">
        <v>131</v>
      </c>
      <c r="D17" s="20" t="s">
        <v>132</v>
      </c>
      <c r="E17" s="20" t="s">
        <v>133</v>
      </c>
      <c r="F17" s="20" t="s">
        <v>134</v>
      </c>
      <c r="G17" s="148" t="str">
        <f t="array" ref="G17">IF(AND(VALUE(E18:E21)),"","Please compile on sheet")</f>
        <v/>
      </c>
      <c r="I17" s="80"/>
      <c r="W17" s="81"/>
    </row>
    <row r="18" spans="2:23" ht="14.25" customHeight="1">
      <c r="B18" s="143"/>
      <c r="C18" s="1" t="s">
        <v>724</v>
      </c>
      <c r="D18" s="1" t="s">
        <v>725</v>
      </c>
      <c r="E18" s="149">
        <f>'Power Components'!$F$7</f>
        <v>2200</v>
      </c>
      <c r="F18" s="1" t="s">
        <v>200</v>
      </c>
      <c r="G18" s="146" t="str">
        <f>IF(E18,"","Power Components")</f>
        <v/>
      </c>
      <c r="I18" s="80"/>
      <c r="W18" s="81"/>
    </row>
    <row r="19" spans="2:23" ht="14.25" customHeight="1">
      <c r="B19" s="143"/>
      <c r="C19" s="1" t="s">
        <v>973</v>
      </c>
      <c r="D19" s="1" t="s">
        <v>974</v>
      </c>
      <c r="E19" s="149">
        <f>'Power Components'!$D$24</f>
        <v>470</v>
      </c>
      <c r="F19" s="1" t="s">
        <v>726</v>
      </c>
      <c r="G19" s="146" t="str">
        <f>IF(E19,"","Power Components")</f>
        <v/>
      </c>
      <c r="I19" s="80"/>
      <c r="W19" s="81"/>
    </row>
    <row r="20" spans="2:23" ht="14.25" customHeight="1">
      <c r="B20" s="143"/>
      <c r="C20" s="1" t="s">
        <v>975</v>
      </c>
      <c r="D20" s="1" t="s">
        <v>368</v>
      </c>
      <c r="E20" s="149">
        <f>'Power Components'!$D$23</f>
        <v>160</v>
      </c>
      <c r="F20" s="1" t="s">
        <v>181</v>
      </c>
      <c r="G20" s="146" t="str">
        <f>IF(E20,"","Power Components")</f>
        <v/>
      </c>
      <c r="I20" s="80"/>
      <c r="W20" s="81"/>
    </row>
    <row r="21" spans="2:23" ht="14.25" customHeight="1">
      <c r="B21" s="143"/>
      <c r="C21" s="1" t="s">
        <v>976</v>
      </c>
      <c r="D21" s="1" t="s">
        <v>977</v>
      </c>
      <c r="E21" s="149">
        <f>E19*E20/1000</f>
        <v>75.2</v>
      </c>
      <c r="F21" s="1" t="s">
        <v>978</v>
      </c>
      <c r="G21" s="146" t="str">
        <f>IF(E21,"","Power Components")</f>
        <v/>
      </c>
      <c r="I21" s="80"/>
      <c r="W21" s="81"/>
    </row>
    <row r="22" spans="2:23" ht="14.25" customHeight="1">
      <c r="B22" s="143"/>
      <c r="C22" s="1" t="s">
        <v>979</v>
      </c>
      <c r="D22" s="1" t="s">
        <v>727</v>
      </c>
      <c r="E22" s="149">
        <f>'Power Components'!D38</f>
        <v>10</v>
      </c>
      <c r="F22" s="1" t="s">
        <v>726</v>
      </c>
      <c r="G22" s="146" t="str">
        <f>IF(E22,"","Power Components")</f>
        <v/>
      </c>
      <c r="I22" s="80"/>
      <c r="W22" s="81"/>
    </row>
    <row r="23" spans="2:23" ht="18" customHeight="1">
      <c r="B23" s="143"/>
      <c r="C23" s="19" t="s">
        <v>728</v>
      </c>
      <c r="G23" s="146"/>
      <c r="I23" s="80"/>
      <c r="W23" s="81"/>
    </row>
    <row r="24" spans="2:23" ht="3" customHeight="1">
      <c r="B24" s="143"/>
      <c r="C24" s="19"/>
      <c r="G24" s="146"/>
      <c r="I24" s="80"/>
      <c r="W24" s="81"/>
    </row>
    <row r="25" spans="2:23" ht="15.75" customHeight="1">
      <c r="B25" s="143"/>
      <c r="C25" s="20" t="s">
        <v>729</v>
      </c>
      <c r="D25" s="20" t="s">
        <v>730</v>
      </c>
      <c r="G25" s="146"/>
      <c r="I25" s="80"/>
      <c r="W25" s="81"/>
    </row>
    <row r="26" spans="2:23" ht="14.25" customHeight="1">
      <c r="B26" s="143"/>
      <c r="C26" s="1" t="s">
        <v>731</v>
      </c>
      <c r="D26" s="147" t="s">
        <v>732</v>
      </c>
      <c r="G26" s="146"/>
      <c r="I26" s="80"/>
      <c r="W26" s="81"/>
    </row>
    <row r="27" spans="2:23" ht="14.25" customHeight="1">
      <c r="B27" s="143"/>
      <c r="G27" s="146"/>
      <c r="I27" s="80"/>
      <c r="W27" s="81"/>
    </row>
    <row r="28" spans="2:23" ht="18" customHeight="1">
      <c r="B28" s="143"/>
      <c r="C28" s="19" t="s">
        <v>733</v>
      </c>
      <c r="G28" s="146"/>
      <c r="I28" s="80"/>
      <c r="W28" s="81"/>
    </row>
    <row r="29" spans="2:23" ht="3" customHeight="1">
      <c r="B29" s="143"/>
      <c r="C29" s="19"/>
      <c r="G29" s="146"/>
      <c r="I29" s="80"/>
      <c r="W29" s="81"/>
    </row>
    <row r="30" spans="2:23" ht="15.75" customHeight="1">
      <c r="B30" s="143"/>
      <c r="C30" s="20" t="s">
        <v>729</v>
      </c>
      <c r="D30" s="20" t="s">
        <v>730</v>
      </c>
      <c r="G30" s="146"/>
      <c r="I30" s="80"/>
      <c r="W30" s="81"/>
    </row>
    <row r="31" spans="2:23" ht="14.25" customHeight="1">
      <c r="B31" s="143"/>
      <c r="C31" s="1" t="s">
        <v>733</v>
      </c>
      <c r="D31" s="147" t="str">
        <f>'Power Components'!$C$50</f>
        <v>GBJ1506U</v>
      </c>
      <c r="G31" s="146" t="str">
        <f>IF(ISBLANK(D31),"Power Components","")</f>
        <v/>
      </c>
      <c r="I31" s="80"/>
      <c r="W31" s="81"/>
    </row>
    <row r="32" spans="2:23" ht="14.25" customHeight="1">
      <c r="B32" s="143"/>
      <c r="G32" s="145"/>
      <c r="I32" s="80"/>
      <c r="W32" s="81"/>
    </row>
    <row r="33" spans="2:23" ht="18" customHeight="1">
      <c r="B33" s="143"/>
      <c r="C33" s="19" t="s">
        <v>734</v>
      </c>
      <c r="G33" s="145"/>
      <c r="I33" s="80"/>
      <c r="W33" s="81"/>
    </row>
    <row r="34" spans="2:23" ht="3.75" customHeight="1">
      <c r="B34" s="143"/>
      <c r="C34" s="23"/>
      <c r="G34" s="145"/>
      <c r="I34" s="80"/>
      <c r="W34" s="81"/>
    </row>
    <row r="35" spans="2:23" ht="15.75" customHeight="1">
      <c r="B35" s="143"/>
      <c r="C35" s="20" t="s">
        <v>131</v>
      </c>
      <c r="D35" s="20" t="s">
        <v>132</v>
      </c>
      <c r="E35" s="20" t="s">
        <v>133</v>
      </c>
      <c r="F35" s="20" t="s">
        <v>134</v>
      </c>
      <c r="G35" s="148" t="str">
        <f t="array" ref="G35">IF(AND(VALUE(E36:E38)),"","Please compile on sheet")</f>
        <v/>
      </c>
      <c r="I35" s="80"/>
      <c r="W35" s="81"/>
    </row>
    <row r="36" spans="2:23" ht="14.25" customHeight="1">
      <c r="B36" s="143"/>
      <c r="C36" s="1" t="s">
        <v>735</v>
      </c>
      <c r="D36" s="1" t="str">
        <f>'Device Setting'!C$46</f>
        <v>R.CS</v>
      </c>
      <c r="E36" s="147">
        <f>'Device Setting'!$D$46</f>
        <v>24</v>
      </c>
      <c r="F36" s="1" t="s">
        <v>372</v>
      </c>
      <c r="G36" s="146" t="str">
        <f>IF(E36,"","Device Setting")</f>
        <v/>
      </c>
      <c r="I36" s="80"/>
      <c r="W36" s="81"/>
    </row>
    <row r="37" spans="2:23" ht="14.25" customHeight="1">
      <c r="B37" s="143"/>
      <c r="C37" s="1" t="s">
        <v>736</v>
      </c>
      <c r="D37" s="1" t="str">
        <f>'Device Setting'!C$45</f>
        <v>R.CS.single</v>
      </c>
      <c r="E37" s="147">
        <f>IF('Device Setting'!F45,'Device Setting'!F45,'Device Setting'!D45)</f>
        <v>120</v>
      </c>
      <c r="F37" s="1" t="s">
        <v>372</v>
      </c>
      <c r="G37" s="146" t="str">
        <f>IF(E37,"","Device Setting")</f>
        <v/>
      </c>
      <c r="I37" s="80"/>
      <c r="W37" s="81"/>
    </row>
    <row r="38" spans="2:23" ht="14.25" customHeight="1">
      <c r="B38" s="143"/>
      <c r="C38" s="1" t="s">
        <v>737</v>
      </c>
      <c r="D38" s="1" t="str">
        <f>'Device Setting'!C$43</f>
        <v>N.Rcs.parall</v>
      </c>
      <c r="E38" s="149">
        <f>'Device Setting'!$D$43</f>
        <v>5</v>
      </c>
      <c r="F38" s="1" t="s">
        <v>181</v>
      </c>
      <c r="G38" s="146" t="str">
        <f>IF(E38,"","Device Setting")</f>
        <v/>
      </c>
      <c r="I38" s="80"/>
      <c r="W38" s="81"/>
    </row>
    <row r="39" spans="2:23" ht="14.25" customHeight="1">
      <c r="B39" s="143"/>
      <c r="G39" s="145"/>
      <c r="I39" s="80"/>
      <c r="W39" s="81"/>
    </row>
    <row r="40" spans="2:23" ht="18" customHeight="1">
      <c r="B40" s="143"/>
      <c r="C40" s="19" t="s">
        <v>738</v>
      </c>
      <c r="G40" s="145"/>
      <c r="I40" s="80"/>
      <c r="W40" s="81"/>
    </row>
    <row r="41" spans="2:23" ht="3" customHeight="1">
      <c r="B41" s="143"/>
      <c r="C41" s="23"/>
      <c r="G41" s="145"/>
      <c r="I41" s="80"/>
      <c r="W41" s="81"/>
    </row>
    <row r="42" spans="2:23" ht="15.75" customHeight="1">
      <c r="B42" s="143"/>
      <c r="C42" s="20" t="s">
        <v>131</v>
      </c>
      <c r="D42" s="20" t="s">
        <v>132</v>
      </c>
      <c r="E42" s="20" t="s">
        <v>133</v>
      </c>
      <c r="F42" s="20" t="s">
        <v>134</v>
      </c>
      <c r="G42" s="148" t="str">
        <f t="array" ref="G42">IF(AND(VALUE(E43:E50)),"","Please compile on sheet")</f>
        <v/>
      </c>
      <c r="I42" s="80"/>
      <c r="W42" s="81"/>
    </row>
    <row r="43" spans="2:23" ht="14.25" customHeight="1">
      <c r="B43" s="143"/>
      <c r="C43" s="1" t="s">
        <v>739</v>
      </c>
      <c r="D43" s="1" t="s">
        <v>740</v>
      </c>
      <c r="E43" s="150">
        <f>IF('CompensationNet&amp;Check'!F93,'CompensationNet&amp;Check'!F93,'CompensationNet&amp;Check'!D93)</f>
        <v>82</v>
      </c>
      <c r="F43" s="1" t="s">
        <v>200</v>
      </c>
      <c r="G43" s="146" t="str">
        <f t="shared" ref="G43:G50" si="0">IF(E43,"","CompensationNet&amp;Checks")</f>
        <v/>
      </c>
      <c r="I43" s="80"/>
      <c r="W43" s="81"/>
    </row>
    <row r="44" spans="2:23" ht="14.25" customHeight="1">
      <c r="B44" s="143"/>
      <c r="C44" s="1" t="s">
        <v>741</v>
      </c>
      <c r="D44" s="1" t="s">
        <v>667</v>
      </c>
      <c r="E44" s="150">
        <f>IF('CompensationNet&amp;Check'!F94,'CompensationNet&amp;Check'!F94,'CompensationNet&amp;Check'!D94)</f>
        <v>560</v>
      </c>
      <c r="F44" s="1" t="s">
        <v>200</v>
      </c>
      <c r="G44" s="146" t="str">
        <f t="shared" si="0"/>
        <v/>
      </c>
      <c r="I44" s="80"/>
      <c r="W44" s="81"/>
    </row>
    <row r="45" spans="2:23" ht="14.25" customHeight="1">
      <c r="B45" s="143"/>
      <c r="C45" s="1" t="s">
        <v>742</v>
      </c>
      <c r="D45" s="1" t="s">
        <v>669</v>
      </c>
      <c r="E45" s="150">
        <f>IF('CompensationNet&amp;Check'!F95,'CompensationNet&amp;Check'!F95,'CompensationNet&amp;Check'!D95)</f>
        <v>47</v>
      </c>
      <c r="F45" s="1" t="s">
        <v>452</v>
      </c>
      <c r="G45" s="146" t="str">
        <f t="shared" si="0"/>
        <v/>
      </c>
      <c r="I45" s="80"/>
      <c r="W45" s="81"/>
    </row>
    <row r="46" spans="2:23" ht="14.25" customHeight="1">
      <c r="B46" s="143"/>
      <c r="C46" s="1" t="s">
        <v>743</v>
      </c>
      <c r="D46" s="1" t="s">
        <v>671</v>
      </c>
      <c r="E46" s="150">
        <f>IF('CompensationNet&amp;Check'!F96,'CompensationNet&amp;Check'!F96,'CompensationNet&amp;Check'!D96)</f>
        <v>1.55</v>
      </c>
      <c r="F46" s="1" t="s">
        <v>200</v>
      </c>
      <c r="G46" s="146" t="str">
        <f t="shared" si="0"/>
        <v/>
      </c>
      <c r="I46" s="80"/>
      <c r="W46" s="81"/>
    </row>
    <row r="47" spans="2:23" ht="14.25" customHeight="1">
      <c r="B47" s="143"/>
      <c r="C47" s="1" t="s">
        <v>744</v>
      </c>
      <c r="D47" s="1" t="s">
        <v>600</v>
      </c>
      <c r="E47" s="150">
        <f>'CompensationNet&amp;Check'!$D$36</f>
        <v>100</v>
      </c>
      <c r="F47" s="1" t="s">
        <v>452</v>
      </c>
      <c r="G47" s="146" t="str">
        <f t="shared" si="0"/>
        <v/>
      </c>
      <c r="I47" s="80"/>
      <c r="W47" s="81"/>
    </row>
    <row r="48" spans="2:23" ht="14.25" customHeight="1">
      <c r="B48" s="143"/>
      <c r="C48" s="1" t="s">
        <v>745</v>
      </c>
      <c r="D48" s="1" t="s">
        <v>746</v>
      </c>
      <c r="E48" s="150">
        <f>IF('CompensationNet&amp;Check'!$F$37,'CompensationNet&amp;Check'!$F$37,'CompensationNet&amp;Check'!$D$37)</f>
        <v>11</v>
      </c>
      <c r="F48" s="1" t="s">
        <v>452</v>
      </c>
      <c r="G48" s="146" t="str">
        <f t="shared" si="0"/>
        <v/>
      </c>
      <c r="I48" s="82"/>
      <c r="J48" s="83"/>
      <c r="K48" s="83"/>
      <c r="L48" s="83"/>
      <c r="M48" s="83"/>
      <c r="N48" s="83"/>
      <c r="O48" s="83"/>
      <c r="P48" s="83"/>
      <c r="Q48" s="83"/>
      <c r="R48" s="83"/>
      <c r="S48" s="83"/>
      <c r="T48" s="83"/>
      <c r="U48" s="83"/>
      <c r="V48" s="83"/>
      <c r="W48" s="84"/>
    </row>
    <row r="49" spans="2:24" ht="14.25" customHeight="1">
      <c r="B49" s="143"/>
      <c r="C49" s="1" t="s">
        <v>747</v>
      </c>
      <c r="D49" s="1" t="s">
        <v>748</v>
      </c>
      <c r="E49" s="150">
        <f>IF('CompensationNet&amp;Check'!$F$41,'CompensationNet&amp;Check'!$F$41,'CompensationNet&amp;Check'!$D$41)</f>
        <v>1.3</v>
      </c>
      <c r="F49" s="1" t="s">
        <v>452</v>
      </c>
      <c r="G49" s="146" t="str">
        <f t="shared" si="0"/>
        <v/>
      </c>
    </row>
    <row r="50" spans="2:24" ht="15.75" customHeight="1">
      <c r="B50" s="143"/>
      <c r="C50" s="1" t="s">
        <v>749</v>
      </c>
      <c r="D50" s="1" t="s">
        <v>750</v>
      </c>
      <c r="E50" s="150">
        <f>IF('CompensationNet&amp;Check'!$F$43,'CompensationNet&amp;Check'!$F$43,'CompensationNet&amp;Check'!$D$43)</f>
        <v>6.2</v>
      </c>
      <c r="F50" s="1" t="s">
        <v>452</v>
      </c>
      <c r="G50" s="146" t="str">
        <f t="shared" si="0"/>
        <v/>
      </c>
      <c r="I50" s="90" t="s">
        <v>751</v>
      </c>
      <c r="J50" s="140"/>
      <c r="K50" s="140"/>
      <c r="L50" s="140"/>
      <c r="M50" s="91"/>
      <c r="N50" s="140"/>
      <c r="O50" s="140"/>
      <c r="P50" s="140"/>
      <c r="Q50" s="91"/>
      <c r="R50" s="140"/>
      <c r="S50" s="141"/>
      <c r="T50" s="141"/>
      <c r="U50" s="141"/>
      <c r="V50" s="141"/>
      <c r="W50" s="142"/>
    </row>
    <row r="51" spans="2:24" ht="14.25" customHeight="1">
      <c r="B51" s="143"/>
      <c r="G51" s="145"/>
      <c r="I51" s="80"/>
      <c r="W51" s="81"/>
    </row>
    <row r="52" spans="2:24" ht="18" customHeight="1">
      <c r="B52" s="143"/>
      <c r="C52" s="19" t="s">
        <v>752</v>
      </c>
      <c r="G52" s="145"/>
      <c r="I52" s="80"/>
      <c r="W52" s="81"/>
    </row>
    <row r="53" spans="2:24" ht="3.75" customHeight="1">
      <c r="B53" s="143"/>
      <c r="C53" s="23"/>
      <c r="G53" s="145"/>
      <c r="I53" s="80"/>
      <c r="W53" s="81"/>
    </row>
    <row r="54" spans="2:24" ht="15.75" customHeight="1">
      <c r="B54" s="143"/>
      <c r="C54" s="20" t="s">
        <v>131</v>
      </c>
      <c r="D54" s="20" t="s">
        <v>132</v>
      </c>
      <c r="E54" s="20" t="s">
        <v>133</v>
      </c>
      <c r="F54" s="20" t="s">
        <v>134</v>
      </c>
      <c r="G54" s="148" t="str">
        <f t="array" ref="G54">IF(AND(VALUE(E55:E60)),"","Please compile on sheet")</f>
        <v/>
      </c>
      <c r="I54" s="80"/>
      <c r="W54" s="81"/>
    </row>
    <row r="55" spans="2:24" ht="14.25" customHeight="1">
      <c r="B55" s="143"/>
      <c r="C55" s="1" t="s">
        <v>1027</v>
      </c>
      <c r="D55" s="1" t="s">
        <v>753</v>
      </c>
      <c r="E55" s="150">
        <f>IF('Device Setting'!F90,'Device Setting'!F90,'Device Setting'!D90)</f>
        <v>19</v>
      </c>
      <c r="F55" s="1" t="s">
        <v>452</v>
      </c>
      <c r="G55" s="146" t="str">
        <f t="shared" ref="G55:G60" si="1">IF(E55,"","Device Setting")</f>
        <v/>
      </c>
      <c r="I55" s="80"/>
      <c r="W55" s="81"/>
      <c r="X55" s="126"/>
    </row>
    <row r="56" spans="2:24" ht="14.25" customHeight="1">
      <c r="B56" s="143"/>
      <c r="C56" s="1" t="s">
        <v>1028</v>
      </c>
      <c r="D56" s="1" t="s">
        <v>754</v>
      </c>
      <c r="E56" s="150">
        <f>IF('Device Setting'!F91,'Device Setting'!F91,'Device Setting'!D91)</f>
        <v>680</v>
      </c>
      <c r="F56" s="1" t="s">
        <v>452</v>
      </c>
      <c r="G56" s="146" t="str">
        <f t="shared" si="1"/>
        <v/>
      </c>
      <c r="I56" s="80"/>
      <c r="W56" s="81"/>
    </row>
    <row r="57" spans="2:24" ht="14.25" customHeight="1">
      <c r="B57" s="143"/>
      <c r="C57" s="1" t="s">
        <v>755</v>
      </c>
      <c r="D57" s="1" t="s">
        <v>756</v>
      </c>
      <c r="E57" s="150">
        <f>'Device Setting'!$D$21</f>
        <v>470</v>
      </c>
      <c r="F57" s="1" t="s">
        <v>194</v>
      </c>
      <c r="G57" s="146" t="str">
        <f t="shared" si="1"/>
        <v/>
      </c>
      <c r="I57" s="80"/>
      <c r="W57" s="81"/>
    </row>
    <row r="58" spans="2:24" ht="14.25" customHeight="1">
      <c r="B58" s="143"/>
      <c r="C58" s="1" t="s">
        <v>757</v>
      </c>
      <c r="D58" s="1" t="s">
        <v>758</v>
      </c>
      <c r="E58" s="150">
        <f>'Device Setting'!$F$24</f>
        <v>11</v>
      </c>
      <c r="F58" s="1" t="s">
        <v>452</v>
      </c>
      <c r="G58" s="146" t="str">
        <f t="shared" si="1"/>
        <v/>
      </c>
      <c r="I58" s="80"/>
      <c r="W58" s="81"/>
    </row>
    <row r="59" spans="2:24" ht="14.25" customHeight="1">
      <c r="B59" s="143"/>
      <c r="C59" s="1" t="s">
        <v>759</v>
      </c>
      <c r="D59" s="1" t="s">
        <v>760</v>
      </c>
      <c r="E59" s="150">
        <f>'Device Setting'!$F$61</f>
        <v>30</v>
      </c>
      <c r="F59" s="1" t="s">
        <v>452</v>
      </c>
      <c r="G59" s="146" t="str">
        <f t="shared" si="1"/>
        <v/>
      </c>
      <c r="I59" s="80"/>
      <c r="W59" s="81"/>
    </row>
    <row r="60" spans="2:24" ht="14.25" customHeight="1">
      <c r="B60" s="143"/>
      <c r="C60" s="1" t="s">
        <v>761</v>
      </c>
      <c r="D60" s="1" t="s">
        <v>762</v>
      </c>
      <c r="E60" s="150">
        <f>'Device Setting'!$F$108</f>
        <v>30</v>
      </c>
      <c r="F60" s="1" t="s">
        <v>452</v>
      </c>
      <c r="G60" s="146" t="str">
        <f t="shared" si="1"/>
        <v/>
      </c>
      <c r="I60" s="80"/>
      <c r="W60" s="81"/>
    </row>
    <row r="61" spans="2:24" ht="14.25" customHeight="1">
      <c r="B61" s="143"/>
      <c r="G61" s="145"/>
      <c r="I61" s="80"/>
      <c r="W61" s="81"/>
    </row>
    <row r="62" spans="2:24" ht="14.25" customHeight="1">
      <c r="B62" s="143"/>
      <c r="C62" s="151"/>
      <c r="D62" s="152"/>
      <c r="E62" s="152"/>
      <c r="F62" s="153"/>
      <c r="G62" s="145"/>
      <c r="I62" s="80"/>
      <c r="W62" s="81"/>
    </row>
    <row r="63" spans="2:24" ht="14.25" customHeight="1">
      <c r="B63" s="143"/>
      <c r="C63" s="80"/>
      <c r="F63" s="81"/>
      <c r="G63" s="145"/>
      <c r="I63" s="80"/>
      <c r="W63" s="81"/>
    </row>
    <row r="64" spans="2:24" ht="14.25" customHeight="1">
      <c r="B64" s="143"/>
      <c r="C64" s="80"/>
      <c r="F64" s="81"/>
      <c r="G64" s="145"/>
      <c r="I64" s="80"/>
      <c r="W64" s="81"/>
    </row>
    <row r="65" spans="2:23" ht="14.25" customHeight="1">
      <c r="B65" s="143"/>
      <c r="C65" s="80"/>
      <c r="F65" s="81"/>
      <c r="G65" s="145"/>
      <c r="I65" s="80"/>
      <c r="W65" s="81"/>
    </row>
    <row r="66" spans="2:23" ht="14.25" customHeight="1">
      <c r="B66" s="143"/>
      <c r="C66" s="80"/>
      <c r="F66" s="81"/>
      <c r="G66" s="145"/>
      <c r="I66" s="80"/>
      <c r="W66" s="81"/>
    </row>
    <row r="67" spans="2:23" ht="14.25" customHeight="1">
      <c r="B67" s="143"/>
      <c r="C67" s="80"/>
      <c r="F67" s="81"/>
      <c r="G67" s="145"/>
      <c r="I67" s="80"/>
      <c r="W67" s="81"/>
    </row>
    <row r="68" spans="2:23" ht="14.25" customHeight="1">
      <c r="B68" s="143"/>
      <c r="C68" s="80"/>
      <c r="F68" s="81"/>
      <c r="G68" s="145"/>
      <c r="I68" s="80"/>
      <c r="W68" s="81"/>
    </row>
    <row r="69" spans="2:23" ht="14.25" customHeight="1">
      <c r="B69" s="143"/>
      <c r="C69" s="80"/>
      <c r="F69" s="81"/>
      <c r="G69" s="145"/>
      <c r="I69" s="80"/>
      <c r="W69" s="81"/>
    </row>
    <row r="70" spans="2:23" ht="14.25" customHeight="1">
      <c r="B70" s="143"/>
      <c r="C70" s="82"/>
      <c r="D70" s="83"/>
      <c r="E70" s="83"/>
      <c r="F70" s="84"/>
      <c r="G70" s="145"/>
      <c r="I70" s="80"/>
      <c r="W70" s="81"/>
    </row>
    <row r="71" spans="2:23" ht="14.25" customHeight="1">
      <c r="B71" s="143"/>
      <c r="G71" s="145"/>
      <c r="I71" s="80"/>
      <c r="W71" s="81"/>
    </row>
    <row r="72" spans="2:23" ht="18" customHeight="1">
      <c r="B72" s="143"/>
      <c r="C72" s="19" t="s">
        <v>763</v>
      </c>
      <c r="G72" s="145"/>
      <c r="I72" s="80"/>
      <c r="W72" s="81"/>
    </row>
    <row r="73" spans="2:23" ht="3.75" customHeight="1">
      <c r="B73" s="143"/>
      <c r="G73" s="145"/>
      <c r="I73" s="80"/>
      <c r="W73" s="81"/>
    </row>
    <row r="74" spans="2:23" ht="15.75" customHeight="1">
      <c r="B74" s="143"/>
      <c r="C74" s="154" t="s">
        <v>131</v>
      </c>
      <c r="D74" s="154" t="s">
        <v>132</v>
      </c>
      <c r="E74" s="155" t="s">
        <v>730</v>
      </c>
      <c r="F74" s="156"/>
      <c r="G74" s="145" t="str">
        <f>IF(ISBLANK(E75),"Please compile on sheet","")</f>
        <v/>
      </c>
      <c r="I74" s="80"/>
      <c r="W74" s="81"/>
    </row>
    <row r="75" spans="2:23" ht="14.25" customHeight="1">
      <c r="B75" s="143"/>
      <c r="C75" s="54" t="s">
        <v>764</v>
      </c>
      <c r="D75" s="54" t="s">
        <v>765</v>
      </c>
      <c r="E75" s="150" t="str">
        <f>'Power Components'!$C$67</f>
        <v>STO60N045DM9</v>
      </c>
      <c r="F75" s="157"/>
      <c r="G75" s="146" t="str">
        <f>IF(ISBLANK(E75),"Power Components","")</f>
        <v/>
      </c>
      <c r="I75" s="80"/>
      <c r="W75" s="81"/>
    </row>
    <row r="76" spans="2:23" ht="14.25" customHeight="1">
      <c r="B76" s="143"/>
      <c r="C76" s="126"/>
      <c r="D76" s="126"/>
      <c r="E76" s="126"/>
      <c r="G76" s="145"/>
      <c r="I76" s="80"/>
      <c r="W76" s="81"/>
    </row>
    <row r="77" spans="2:23" ht="18" customHeight="1">
      <c r="B77" s="143"/>
      <c r="C77" s="158" t="s">
        <v>766</v>
      </c>
      <c r="D77" s="76"/>
      <c r="E77" s="76"/>
      <c r="G77" s="145"/>
      <c r="I77" s="80"/>
      <c r="W77" s="81"/>
    </row>
    <row r="78" spans="2:23" ht="3" customHeight="1">
      <c r="B78" s="143"/>
      <c r="C78" s="76"/>
      <c r="D78" s="76"/>
      <c r="E78" s="76"/>
      <c r="G78" s="145"/>
      <c r="I78" s="80"/>
      <c r="W78" s="81"/>
    </row>
    <row r="79" spans="2:23" ht="15.75" customHeight="1">
      <c r="B79" s="143"/>
      <c r="C79" s="154" t="s">
        <v>131</v>
      </c>
      <c r="D79" s="154" t="s">
        <v>132</v>
      </c>
      <c r="E79" s="154" t="s">
        <v>730</v>
      </c>
      <c r="G79" s="145" t="str">
        <f>IF(ISBLANK(E80),"Please compile on sheet","")</f>
        <v/>
      </c>
      <c r="I79" s="82"/>
      <c r="J79" s="83"/>
      <c r="K79" s="83"/>
      <c r="L79" s="83"/>
      <c r="M79" s="83"/>
      <c r="N79" s="83"/>
      <c r="O79" s="83"/>
      <c r="P79" s="83"/>
      <c r="Q79" s="83"/>
      <c r="R79" s="83"/>
      <c r="S79" s="83"/>
      <c r="T79" s="83"/>
      <c r="U79" s="83"/>
      <c r="V79" s="83"/>
      <c r="W79" s="84"/>
    </row>
    <row r="80" spans="2:23" ht="14.25" customHeight="1">
      <c r="B80" s="143"/>
      <c r="C80" s="54" t="str">
        <f>IF('Design Spec'!D107=1,"Center Tap diodes","Full Bridge diodes")</f>
        <v>Center Tap diodes</v>
      </c>
      <c r="D80" s="54" t="str">
        <f>IF('Design Spec'!D107=1,"D1, D2","D1, D2, D3, D4")</f>
        <v>D1, D2</v>
      </c>
      <c r="E80" s="150" t="str">
        <f>'Power Components'!$C$92</f>
        <v>TPH3R70APL1</v>
      </c>
      <c r="G80" s="146" t="str">
        <f>IF(ISBLANK(E80),"Power Components","")</f>
        <v/>
      </c>
    </row>
    <row r="81" spans="2:7" ht="14.25" customHeight="1">
      <c r="B81" s="143"/>
      <c r="G81" s="145"/>
    </row>
    <row r="82" spans="2:7" ht="18" customHeight="1">
      <c r="B82" s="143"/>
      <c r="C82" s="19" t="s">
        <v>767</v>
      </c>
      <c r="G82" s="145"/>
    </row>
    <row r="83" spans="2:7" ht="3" customHeight="1">
      <c r="B83" s="143"/>
      <c r="C83" s="19"/>
      <c r="G83" s="145"/>
    </row>
    <row r="84" spans="2:7" ht="15.75" customHeight="1">
      <c r="B84" s="143"/>
      <c r="C84" s="20" t="s">
        <v>131</v>
      </c>
      <c r="D84" s="20" t="s">
        <v>730</v>
      </c>
      <c r="G84" s="145" t="str">
        <f>IF(ISBLANK(D85),"Please compile on sheet","")</f>
        <v/>
      </c>
    </row>
    <row r="85" spans="2:7" ht="14.25" customHeight="1">
      <c r="B85" s="143"/>
      <c r="C85" s="1" t="s">
        <v>768</v>
      </c>
      <c r="D85" s="150" t="str">
        <f>'CompensationNet&amp;Check'!$C$25</f>
        <v>SFH617A</v>
      </c>
      <c r="G85" s="146" t="str">
        <f>IF(ISBLANK(D85),"CompensationNet&amp;Checks","")</f>
        <v/>
      </c>
    </row>
    <row r="86" spans="2:7" ht="14.25" customHeight="1">
      <c r="B86" s="143"/>
      <c r="G86" s="145"/>
    </row>
    <row r="87" spans="2:7" ht="18" customHeight="1">
      <c r="B87" s="143"/>
      <c r="C87" s="19" t="s">
        <v>769</v>
      </c>
      <c r="G87" s="145"/>
    </row>
    <row r="88" spans="2:7" ht="4.5" customHeight="1">
      <c r="B88" s="143"/>
      <c r="C88" s="19"/>
      <c r="G88" s="145"/>
    </row>
    <row r="89" spans="2:7" ht="15.75" customHeight="1">
      <c r="B89" s="143"/>
      <c r="C89" s="20" t="s">
        <v>131</v>
      </c>
      <c r="D89" s="20" t="s">
        <v>730</v>
      </c>
      <c r="G89" s="145" t="str">
        <f>IF(ISBLANK(D90),"Please compile on sheet","")</f>
        <v/>
      </c>
    </row>
    <row r="90" spans="2:7" ht="14.25" customHeight="1">
      <c r="B90" s="143"/>
      <c r="C90" s="1" t="s">
        <v>770</v>
      </c>
      <c r="D90" s="150" t="str">
        <f>'CompensationNet&amp;Check'!$C$19</f>
        <v>TL431AIT</v>
      </c>
      <c r="G90" s="146" t="str">
        <f>IF(ISBLANK(D90),"CompensationNet&amp;Checks","")</f>
        <v/>
      </c>
    </row>
    <row r="91" spans="2:7" ht="15" customHeight="1">
      <c r="B91" s="159"/>
      <c r="C91" s="160"/>
      <c r="D91" s="160"/>
      <c r="E91" s="160"/>
      <c r="F91" s="160"/>
      <c r="G91" s="161"/>
    </row>
  </sheetData>
  <phoneticPr fontId="35" type="noConversion"/>
  <conditionalFormatting sqref="D26">
    <cfRule type="cellIs" dxfId="10" priority="10" operator="equal">
      <formula>0</formula>
    </cfRule>
  </conditionalFormatting>
  <conditionalFormatting sqref="D31">
    <cfRule type="cellIs" dxfId="9" priority="9" operator="equal">
      <formula>0</formula>
    </cfRule>
  </conditionalFormatting>
  <conditionalFormatting sqref="D85">
    <cfRule type="cellIs" dxfId="8" priority="3" operator="equal">
      <formula>0</formula>
    </cfRule>
  </conditionalFormatting>
  <conditionalFormatting sqref="D90">
    <cfRule type="cellIs" dxfId="7" priority="2" operator="equal">
      <formula>0</formula>
    </cfRule>
  </conditionalFormatting>
  <conditionalFormatting sqref="E9:E13">
    <cfRule type="cellIs" dxfId="6" priority="12" operator="equal">
      <formula>0</formula>
    </cfRule>
  </conditionalFormatting>
  <conditionalFormatting sqref="E18:E21">
    <cfRule type="cellIs" dxfId="5" priority="11" operator="equal">
      <formula>0</formula>
    </cfRule>
  </conditionalFormatting>
  <conditionalFormatting sqref="E36:E38">
    <cfRule type="cellIs" dxfId="4" priority="8" operator="equal">
      <formula>0</formula>
    </cfRule>
  </conditionalFormatting>
  <conditionalFormatting sqref="E43:E50">
    <cfRule type="cellIs" dxfId="3" priority="7" operator="equal">
      <formula>0</formula>
    </cfRule>
  </conditionalFormatting>
  <conditionalFormatting sqref="E55:E60">
    <cfRule type="cellIs" dxfId="2" priority="6" operator="equal">
      <formula>0</formula>
    </cfRule>
  </conditionalFormatting>
  <conditionalFormatting sqref="E75">
    <cfRule type="cellIs" dxfId="1" priority="5" operator="equal">
      <formula>0</formula>
    </cfRule>
  </conditionalFormatting>
  <conditionalFormatting sqref="E80">
    <cfRule type="cellIs" dxfId="0" priority="4" operator="equal">
      <formula>0</formula>
    </cfRule>
  </conditionalFormatting>
  <pageMargins left="0.25" right="0.25" top="0.75" bottom="0.75" header="0.3" footer="0.3"/>
  <pageSetup paperSize="150" scale="53" orientation="landscape" horizontalDpi="300" verticalDpi="300" r:id="rId1"/>
  <headerFooter>
    <oddFooter>&amp;R&amp;"Arial,Regular"&amp;12 &amp;Kff0000_x005F_x000d_# ST Restricted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3:CL234"/>
  <sheetViews>
    <sheetView zoomScale="55" zoomScaleNormal="55" workbookViewId="0"/>
  </sheetViews>
  <sheetFormatPr defaultColWidth="8.75" defaultRowHeight="16.5"/>
  <cols>
    <col min="1" max="1" width="8.75" style="10"/>
    <col min="2" max="2" width="41" style="10" customWidth="1"/>
    <col min="3" max="3" width="12.375" style="10" customWidth="1"/>
    <col min="4" max="96" width="8.75" style="10"/>
    <col min="97" max="97" width="14.125" style="10" customWidth="1"/>
    <col min="98" max="98" width="9.875" style="10" customWidth="1"/>
    <col min="99" max="16384" width="8.75" style="10"/>
  </cols>
  <sheetData>
    <row r="3" spans="2:86" ht="16.5" customHeight="1">
      <c r="C3" s="10">
        <v>1</v>
      </c>
      <c r="D3" s="10">
        <v>2</v>
      </c>
      <c r="E3" s="10">
        <v>3</v>
      </c>
      <c r="F3" s="10">
        <v>4</v>
      </c>
      <c r="G3" s="10">
        <v>5</v>
      </c>
      <c r="H3" s="10">
        <v>6</v>
      </c>
      <c r="I3" s="10">
        <v>7</v>
      </c>
      <c r="J3" s="10">
        <v>8</v>
      </c>
      <c r="K3" s="10">
        <v>9</v>
      </c>
      <c r="L3" s="10">
        <v>10</v>
      </c>
      <c r="M3" s="10">
        <v>11</v>
      </c>
      <c r="N3" s="10">
        <v>12</v>
      </c>
      <c r="O3" s="10">
        <v>13</v>
      </c>
      <c r="P3" s="10">
        <v>14</v>
      </c>
      <c r="Q3" s="10">
        <v>15</v>
      </c>
      <c r="R3" s="10">
        <v>16</v>
      </c>
      <c r="S3" s="10">
        <v>17</v>
      </c>
      <c r="T3" s="10">
        <v>18</v>
      </c>
      <c r="U3" s="10">
        <v>19</v>
      </c>
      <c r="V3" s="10">
        <v>20</v>
      </c>
      <c r="W3" s="10">
        <v>21</v>
      </c>
      <c r="X3" s="10">
        <v>22</v>
      </c>
      <c r="Y3" s="10">
        <v>23</v>
      </c>
      <c r="Z3" s="10">
        <v>24</v>
      </c>
      <c r="AA3" s="10">
        <v>25</v>
      </c>
      <c r="AB3" s="10">
        <v>26</v>
      </c>
      <c r="AC3" s="10">
        <v>27</v>
      </c>
      <c r="AD3" s="10">
        <v>28</v>
      </c>
      <c r="AE3" s="10">
        <v>29</v>
      </c>
      <c r="AF3" s="10">
        <v>30</v>
      </c>
      <c r="AG3" s="10">
        <v>31</v>
      </c>
      <c r="AH3" s="10">
        <v>32</v>
      </c>
      <c r="AI3" s="10">
        <v>33</v>
      </c>
      <c r="AJ3" s="10">
        <v>34</v>
      </c>
      <c r="AK3" s="10">
        <v>35</v>
      </c>
      <c r="AL3" s="10">
        <v>36</v>
      </c>
      <c r="AM3" s="10">
        <v>37</v>
      </c>
      <c r="AN3" s="10">
        <v>38</v>
      </c>
      <c r="AO3" s="10">
        <v>39</v>
      </c>
      <c r="AP3" s="10">
        <v>40</v>
      </c>
      <c r="AQ3" s="10">
        <v>41</v>
      </c>
      <c r="AR3" s="10">
        <v>42</v>
      </c>
      <c r="AS3" s="10">
        <v>43</v>
      </c>
      <c r="AT3" s="10">
        <v>44</v>
      </c>
      <c r="AU3" s="10">
        <v>45</v>
      </c>
      <c r="AV3" s="10">
        <v>46</v>
      </c>
      <c r="AW3" s="10">
        <v>47</v>
      </c>
      <c r="AX3" s="10">
        <v>48</v>
      </c>
      <c r="AY3" s="10">
        <v>49</v>
      </c>
      <c r="AZ3" s="10">
        <v>50</v>
      </c>
      <c r="BA3" s="10">
        <v>51</v>
      </c>
      <c r="BB3" s="10">
        <v>52</v>
      </c>
      <c r="BC3" s="10">
        <v>53</v>
      </c>
      <c r="BD3" s="10">
        <v>54</v>
      </c>
      <c r="BE3" s="10">
        <v>55</v>
      </c>
      <c r="BF3" s="10">
        <v>56</v>
      </c>
      <c r="BG3" s="10">
        <v>57</v>
      </c>
      <c r="BH3" s="10">
        <v>58</v>
      </c>
      <c r="BI3" s="10">
        <v>59</v>
      </c>
      <c r="BJ3" s="10">
        <v>60</v>
      </c>
      <c r="BK3" s="10">
        <v>61</v>
      </c>
      <c r="BL3" s="10">
        <v>62</v>
      </c>
      <c r="BM3" s="10">
        <v>63</v>
      </c>
      <c r="BN3" s="10">
        <v>64</v>
      </c>
      <c r="BO3" s="10">
        <v>65</v>
      </c>
      <c r="BP3" s="10">
        <v>66</v>
      </c>
      <c r="BQ3" s="10">
        <v>67</v>
      </c>
      <c r="BR3" s="10">
        <v>68</v>
      </c>
      <c r="BS3" s="10">
        <v>69</v>
      </c>
      <c r="BT3" s="10">
        <v>70</v>
      </c>
      <c r="BU3" s="10">
        <v>71</v>
      </c>
      <c r="BV3" s="10">
        <v>72</v>
      </c>
      <c r="BW3" s="10">
        <v>73</v>
      </c>
      <c r="BX3" s="10">
        <v>74</v>
      </c>
      <c r="BY3" s="10">
        <v>75</v>
      </c>
      <c r="BZ3" s="10">
        <v>76</v>
      </c>
      <c r="CA3" s="10">
        <v>77</v>
      </c>
      <c r="CB3" s="10">
        <v>78</v>
      </c>
      <c r="CC3" s="10">
        <v>79</v>
      </c>
      <c r="CD3" s="10">
        <v>80</v>
      </c>
      <c r="CE3" s="10">
        <v>81</v>
      </c>
      <c r="CF3" s="10">
        <v>82</v>
      </c>
      <c r="CG3" s="10">
        <v>83</v>
      </c>
    </row>
    <row r="4" spans="2:86" ht="16.5" customHeight="1">
      <c r="B4" s="10" t="s">
        <v>771</v>
      </c>
      <c r="C4" s="10">
        <v>0.1</v>
      </c>
      <c r="D4" s="10">
        <v>0.2</v>
      </c>
      <c r="E4" s="10">
        <v>0.3</v>
      </c>
      <c r="F4" s="10">
        <v>0.4</v>
      </c>
      <c r="G4" s="10">
        <v>0.5</v>
      </c>
      <c r="H4" s="10">
        <v>0.6</v>
      </c>
      <c r="I4" s="10">
        <v>0.7</v>
      </c>
      <c r="J4" s="10">
        <v>0.8</v>
      </c>
      <c r="K4" s="10">
        <v>0.9</v>
      </c>
      <c r="L4" s="10">
        <v>1</v>
      </c>
      <c r="M4" s="10">
        <v>1.1000000000000001</v>
      </c>
      <c r="N4" s="10">
        <v>1.2</v>
      </c>
      <c r="O4" s="10">
        <v>1.3</v>
      </c>
      <c r="P4" s="10">
        <v>1.4</v>
      </c>
      <c r="Q4" s="10">
        <v>1.5</v>
      </c>
      <c r="R4" s="10">
        <v>1.6</v>
      </c>
      <c r="S4" s="10">
        <v>1.7</v>
      </c>
      <c r="T4" s="10">
        <v>1.8</v>
      </c>
      <c r="U4" s="10">
        <v>1.9</v>
      </c>
      <c r="V4" s="10">
        <v>2</v>
      </c>
      <c r="W4" s="10">
        <v>2.1</v>
      </c>
      <c r="X4" s="10">
        <v>2.2000000000000002</v>
      </c>
      <c r="Y4" s="10">
        <v>2.2999999999999998</v>
      </c>
      <c r="Z4" s="10">
        <v>2.4</v>
      </c>
      <c r="AA4" s="10">
        <v>2.5</v>
      </c>
      <c r="AB4" s="10">
        <v>2.6</v>
      </c>
      <c r="AC4" s="10">
        <v>2.7</v>
      </c>
      <c r="AD4" s="10">
        <v>2.8</v>
      </c>
      <c r="AE4" s="10">
        <v>2.9</v>
      </c>
      <c r="AF4" s="10">
        <v>3</v>
      </c>
      <c r="AG4" s="10">
        <v>3.09</v>
      </c>
      <c r="AH4" s="10">
        <v>3.1</v>
      </c>
    </row>
    <row r="5" spans="2:86" ht="16.5" customHeight="1">
      <c r="B5" s="10" t="s">
        <v>149</v>
      </c>
      <c r="C5" s="10">
        <f>'Design Spec'!$D$95</f>
        <v>25</v>
      </c>
      <c r="D5" s="10">
        <f>'Design Spec'!$D$95</f>
        <v>25</v>
      </c>
      <c r="E5" s="10">
        <f>'Design Spec'!$D$95</f>
        <v>25</v>
      </c>
      <c r="F5" s="10">
        <f>'Design Spec'!$D$95</f>
        <v>25</v>
      </c>
      <c r="G5" s="10">
        <f>'Design Spec'!$D$95</f>
        <v>25</v>
      </c>
      <c r="H5" s="10">
        <f>'Design Spec'!$D$95</f>
        <v>25</v>
      </c>
      <c r="I5" s="10">
        <f>'Design Spec'!$D$95</f>
        <v>25</v>
      </c>
      <c r="J5" s="10">
        <f>'Design Spec'!$D$95</f>
        <v>25</v>
      </c>
      <c r="K5" s="10">
        <f>'Design Spec'!$D$95</f>
        <v>25</v>
      </c>
      <c r="L5" s="10">
        <f>'Design Spec'!$D$95</f>
        <v>25</v>
      </c>
      <c r="M5" s="10">
        <f>'Design Spec'!$D$95</f>
        <v>25</v>
      </c>
      <c r="N5" s="10">
        <f>'Design Spec'!$D$95</f>
        <v>25</v>
      </c>
      <c r="O5" s="10">
        <f>'Design Spec'!$D$95</f>
        <v>25</v>
      </c>
      <c r="P5" s="10">
        <f>'Design Spec'!$D$95</f>
        <v>25</v>
      </c>
      <c r="Q5" s="10">
        <f>'Design Spec'!$D$95</f>
        <v>25</v>
      </c>
      <c r="R5" s="10">
        <f>'Design Spec'!$D$95</f>
        <v>25</v>
      </c>
      <c r="S5" s="10">
        <f>'Design Spec'!$D$95</f>
        <v>25</v>
      </c>
      <c r="T5" s="10">
        <f>'Design Spec'!$D$95</f>
        <v>25</v>
      </c>
      <c r="U5" s="10">
        <f>'Design Spec'!$D$95</f>
        <v>25</v>
      </c>
      <c r="V5" s="10">
        <f>'Design Spec'!$D$95</f>
        <v>25</v>
      </c>
      <c r="W5" s="10">
        <f>'Design Spec'!$D$95</f>
        <v>25</v>
      </c>
      <c r="X5" s="10">
        <f>'Design Spec'!$D$95</f>
        <v>25</v>
      </c>
      <c r="Y5" s="10">
        <f>'Design Spec'!$D$95</f>
        <v>25</v>
      </c>
      <c r="Z5" s="10">
        <f>'Design Spec'!$D$95</f>
        <v>25</v>
      </c>
      <c r="AA5" s="10">
        <f>'Design Spec'!$D$95</f>
        <v>25</v>
      </c>
      <c r="AB5" s="10">
        <f>'Design Spec'!$D$95</f>
        <v>25</v>
      </c>
      <c r="AC5" s="10">
        <f>'Design Spec'!$D$95</f>
        <v>25</v>
      </c>
      <c r="AD5" s="10">
        <f>'Design Spec'!$D$95</f>
        <v>25</v>
      </c>
      <c r="AE5" s="10">
        <f>'Design Spec'!$D$95</f>
        <v>25</v>
      </c>
      <c r="AF5" s="10">
        <f>'Design Spec'!$D$95</f>
        <v>25</v>
      </c>
      <c r="AG5" s="10">
        <f>'Design Spec'!$D$95</f>
        <v>25</v>
      </c>
      <c r="AH5" s="10">
        <f>'Design Spec'!$D$95</f>
        <v>25</v>
      </c>
      <c r="AI5" s="10">
        <f>'Design Spec'!$D$95</f>
        <v>25</v>
      </c>
      <c r="AJ5" s="10">
        <f>'Design Spec'!$D$95</f>
        <v>25</v>
      </c>
      <c r="AK5" s="10">
        <f>'Design Spec'!$D$95</f>
        <v>25</v>
      </c>
      <c r="AL5" s="10">
        <f>'Design Spec'!$D$95</f>
        <v>25</v>
      </c>
      <c r="AM5" s="10">
        <f>'Design Spec'!$D$95</f>
        <v>25</v>
      </c>
      <c r="AN5" s="10">
        <f>'Design Spec'!$D$95</f>
        <v>25</v>
      </c>
      <c r="AO5" s="10">
        <f>'Design Spec'!$D$95</f>
        <v>25</v>
      </c>
      <c r="AP5" s="10">
        <f>'Design Spec'!$D$95</f>
        <v>25</v>
      </c>
      <c r="AQ5" s="10">
        <f>'Design Spec'!$D$95</f>
        <v>25</v>
      </c>
      <c r="AR5" s="10">
        <f>'Design Spec'!$D$95</f>
        <v>25</v>
      </c>
      <c r="AS5" s="10">
        <f>'Design Spec'!$D$95</f>
        <v>25</v>
      </c>
      <c r="AT5" s="10">
        <f>'Design Spec'!$D$95</f>
        <v>25</v>
      </c>
      <c r="AU5" s="10">
        <f>'Design Spec'!$D$95</f>
        <v>25</v>
      </c>
      <c r="AV5" s="10">
        <f>'Design Spec'!$D$95</f>
        <v>25</v>
      </c>
      <c r="AW5" s="10">
        <f>'Design Spec'!$D$95</f>
        <v>25</v>
      </c>
      <c r="AX5" s="10">
        <f>'Design Spec'!$D$95</f>
        <v>25</v>
      </c>
      <c r="AY5" s="10">
        <f>'Design Spec'!$D$95</f>
        <v>25</v>
      </c>
      <c r="AZ5" s="10">
        <f>'Design Spec'!$D$95</f>
        <v>25</v>
      </c>
      <c r="BA5" s="10">
        <f>'Design Spec'!$D$95</f>
        <v>25</v>
      </c>
      <c r="BB5" s="10">
        <f>'Design Spec'!$D$95</f>
        <v>25</v>
      </c>
      <c r="BC5" s="10">
        <f>'Design Spec'!$D$95</f>
        <v>25</v>
      </c>
      <c r="BD5" s="10">
        <f>'Design Spec'!$D$95</f>
        <v>25</v>
      </c>
      <c r="BE5" s="10">
        <f>'Design Spec'!$D$95</f>
        <v>25</v>
      </c>
      <c r="BF5" s="10">
        <f>'Design Spec'!$D$95</f>
        <v>25</v>
      </c>
      <c r="BG5" s="10">
        <f>'Design Spec'!$D$95</f>
        <v>25</v>
      </c>
      <c r="BH5" s="10">
        <f>'Design Spec'!$D$95</f>
        <v>25</v>
      </c>
      <c r="BI5" s="10">
        <f>'Design Spec'!$D$95</f>
        <v>25</v>
      </c>
      <c r="BJ5" s="10">
        <f>'Design Spec'!$D$95</f>
        <v>25</v>
      </c>
      <c r="BK5" s="10">
        <f>'Design Spec'!$D$95</f>
        <v>25</v>
      </c>
      <c r="BL5" s="10">
        <f>'Design Spec'!$D$95</f>
        <v>25</v>
      </c>
      <c r="BM5" s="10">
        <f>'Design Spec'!$D$95</f>
        <v>25</v>
      </c>
      <c r="BN5" s="10">
        <f>'Design Spec'!$D$95</f>
        <v>25</v>
      </c>
      <c r="BO5" s="10">
        <f>'Design Spec'!$D$95</f>
        <v>25</v>
      </c>
      <c r="BP5" s="10">
        <f>'Design Spec'!$D$95</f>
        <v>25</v>
      </c>
      <c r="BQ5" s="10">
        <f>'Design Spec'!$D$95</f>
        <v>25</v>
      </c>
      <c r="BR5" s="10">
        <f>'Design Spec'!$D$95</f>
        <v>25</v>
      </c>
      <c r="BS5" s="10">
        <f>'Design Spec'!$D$95</f>
        <v>25</v>
      </c>
      <c r="BT5" s="10">
        <f>'Design Spec'!$D$95</f>
        <v>25</v>
      </c>
      <c r="BU5" s="10">
        <f>'Design Spec'!$D$95</f>
        <v>25</v>
      </c>
      <c r="BV5" s="10">
        <f>'Design Spec'!$D$95</f>
        <v>25</v>
      </c>
      <c r="BW5" s="10">
        <f>'Design Spec'!$D$95</f>
        <v>25</v>
      </c>
      <c r="BX5" s="10">
        <f>'Design Spec'!$D$95</f>
        <v>25</v>
      </c>
      <c r="BY5" s="10">
        <f>'Design Spec'!$D$95</f>
        <v>25</v>
      </c>
      <c r="BZ5" s="10">
        <f>'Design Spec'!$D$95</f>
        <v>25</v>
      </c>
      <c r="CA5" s="10">
        <f>'Design Spec'!$D$95</f>
        <v>25</v>
      </c>
      <c r="CB5" s="10">
        <f>'Design Spec'!$D$95</f>
        <v>25</v>
      </c>
      <c r="CC5" s="10">
        <f>'Design Spec'!$D$95</f>
        <v>25</v>
      </c>
      <c r="CD5" s="10">
        <f>'Design Spec'!$D$95</f>
        <v>25</v>
      </c>
      <c r="CE5" s="10">
        <f>'Design Spec'!$D$95</f>
        <v>25</v>
      </c>
      <c r="CF5" s="10">
        <f>'Design Spec'!$D$95</f>
        <v>25</v>
      </c>
      <c r="CG5" s="10">
        <f>'Design Spec'!$D$95</f>
        <v>25</v>
      </c>
    </row>
    <row r="6" spans="2:86" ht="16.5" customHeight="1">
      <c r="B6" s="10" t="s">
        <v>772</v>
      </c>
      <c r="C6" s="10">
        <f>'Design Spec'!$D$106</f>
        <v>0</v>
      </c>
      <c r="D6" s="10">
        <f>'Design Spec'!$D$106</f>
        <v>0</v>
      </c>
      <c r="E6" s="10">
        <f>'Design Spec'!$D$106</f>
        <v>0</v>
      </c>
      <c r="F6" s="10">
        <f>'Design Spec'!$D$106</f>
        <v>0</v>
      </c>
      <c r="G6" s="10">
        <f>'Design Spec'!$D$106</f>
        <v>0</v>
      </c>
      <c r="H6" s="10">
        <f>'Design Spec'!$D$106</f>
        <v>0</v>
      </c>
      <c r="I6" s="10">
        <f>'Design Spec'!$D$106</f>
        <v>0</v>
      </c>
      <c r="J6" s="10">
        <f>'Design Spec'!$D$106</f>
        <v>0</v>
      </c>
      <c r="K6" s="10">
        <f>'Design Spec'!$D$106</f>
        <v>0</v>
      </c>
      <c r="L6" s="10">
        <f>'Design Spec'!$D$106</f>
        <v>0</v>
      </c>
      <c r="M6" s="10">
        <f>'Design Spec'!$D$106</f>
        <v>0</v>
      </c>
      <c r="N6" s="10">
        <f>'Design Spec'!$D$106</f>
        <v>0</v>
      </c>
      <c r="O6" s="10">
        <f>'Design Spec'!$D$106</f>
        <v>0</v>
      </c>
      <c r="P6" s="10">
        <f>'Design Spec'!$D$106</f>
        <v>0</v>
      </c>
      <c r="Q6" s="10">
        <f>'Design Spec'!$D$106</f>
        <v>0</v>
      </c>
      <c r="R6" s="10">
        <f>'Design Spec'!$D$106</f>
        <v>0</v>
      </c>
      <c r="S6" s="10">
        <f>'Design Spec'!$D$106</f>
        <v>0</v>
      </c>
      <c r="T6" s="10">
        <f>'Design Spec'!$D$106</f>
        <v>0</v>
      </c>
      <c r="U6" s="10">
        <f>'Design Spec'!$D$106</f>
        <v>0</v>
      </c>
      <c r="V6" s="10">
        <f>'Design Spec'!$D$106</f>
        <v>0</v>
      </c>
      <c r="W6" s="10">
        <f>'Design Spec'!$D$106</f>
        <v>0</v>
      </c>
      <c r="X6" s="10">
        <f>'Design Spec'!$D$106</f>
        <v>0</v>
      </c>
      <c r="Y6" s="10">
        <f>'Design Spec'!$D$106</f>
        <v>0</v>
      </c>
      <c r="Z6" s="10">
        <f>'Design Spec'!$D$106</f>
        <v>0</v>
      </c>
      <c r="AA6" s="10">
        <f>'Design Spec'!$D$106</f>
        <v>0</v>
      </c>
      <c r="AB6" s="10">
        <f>'Design Spec'!$D$106</f>
        <v>0</v>
      </c>
      <c r="AC6" s="10">
        <f>'Design Spec'!$D$106</f>
        <v>0</v>
      </c>
      <c r="AD6" s="10">
        <f>'Design Spec'!$D$106</f>
        <v>0</v>
      </c>
      <c r="AE6" s="10">
        <f>'Design Spec'!$D$106</f>
        <v>0</v>
      </c>
      <c r="AF6" s="10">
        <f>'Design Spec'!$D$106</f>
        <v>0</v>
      </c>
      <c r="AG6" s="10">
        <f>'Design Spec'!$D$106</f>
        <v>0</v>
      </c>
      <c r="AH6" s="10">
        <f>'Design Spec'!$D$106</f>
        <v>0</v>
      </c>
      <c r="AI6" s="10">
        <f>'Design Spec'!$D$106</f>
        <v>0</v>
      </c>
      <c r="AJ6" s="10">
        <f>'Design Spec'!$D$106</f>
        <v>0</v>
      </c>
      <c r="AK6" s="10">
        <f>'Design Spec'!$D$106</f>
        <v>0</v>
      </c>
      <c r="AL6" s="10">
        <f>'Design Spec'!$D$106</f>
        <v>0</v>
      </c>
      <c r="AM6" s="10">
        <f>'Design Spec'!$D$106</f>
        <v>0</v>
      </c>
      <c r="AN6" s="10">
        <f>'Design Spec'!$D$106</f>
        <v>0</v>
      </c>
      <c r="AO6" s="10">
        <f>'Design Spec'!$D$106</f>
        <v>0</v>
      </c>
      <c r="AP6" s="10">
        <f>'Design Spec'!$D$106</f>
        <v>0</v>
      </c>
      <c r="AQ6" s="10">
        <f>'Design Spec'!$D$106</f>
        <v>0</v>
      </c>
      <c r="AR6" s="10">
        <f>'Design Spec'!$D$106</f>
        <v>0</v>
      </c>
      <c r="AS6" s="10">
        <f>'Design Spec'!$D$106</f>
        <v>0</v>
      </c>
      <c r="AT6" s="10">
        <f>'Design Spec'!$D$106</f>
        <v>0</v>
      </c>
      <c r="AU6" s="10">
        <f>'Design Spec'!$D$106</f>
        <v>0</v>
      </c>
      <c r="AV6" s="10">
        <f>'Design Spec'!$D$106</f>
        <v>0</v>
      </c>
      <c r="AW6" s="10">
        <f>'Design Spec'!$D$106</f>
        <v>0</v>
      </c>
      <c r="AX6" s="10">
        <f>'Design Spec'!$D$106</f>
        <v>0</v>
      </c>
      <c r="AY6" s="10">
        <f>'Design Spec'!$D$106</f>
        <v>0</v>
      </c>
      <c r="AZ6" s="10">
        <f>'Design Spec'!$D$106</f>
        <v>0</v>
      </c>
      <c r="BA6" s="10">
        <f>'Design Spec'!$D$106</f>
        <v>0</v>
      </c>
      <c r="BB6" s="10">
        <f>'Design Spec'!$D$106</f>
        <v>0</v>
      </c>
      <c r="BC6" s="10">
        <f>'Design Spec'!$D$106</f>
        <v>0</v>
      </c>
      <c r="BD6" s="10">
        <f>'Design Spec'!$D$106</f>
        <v>0</v>
      </c>
      <c r="BE6" s="10">
        <f>'Design Spec'!$D$106</f>
        <v>0</v>
      </c>
      <c r="BF6" s="10">
        <f>'Design Spec'!$D$106</f>
        <v>0</v>
      </c>
      <c r="BG6" s="10">
        <f>'Design Spec'!$D$106</f>
        <v>0</v>
      </c>
      <c r="BH6" s="10">
        <f>'Design Spec'!$D$106</f>
        <v>0</v>
      </c>
      <c r="BI6" s="10">
        <f>'Design Spec'!$D$106</f>
        <v>0</v>
      </c>
      <c r="BJ6" s="10">
        <f>'Design Spec'!$D$106</f>
        <v>0</v>
      </c>
      <c r="BK6" s="10">
        <f>'Design Spec'!$D$106</f>
        <v>0</v>
      </c>
      <c r="BL6" s="10">
        <f>'Design Spec'!$D$106</f>
        <v>0</v>
      </c>
      <c r="BM6" s="10">
        <f>'Design Spec'!$D$106</f>
        <v>0</v>
      </c>
      <c r="BN6" s="10">
        <f>'Design Spec'!$D$106</f>
        <v>0</v>
      </c>
      <c r="BO6" s="10">
        <f>'Design Spec'!$D$106</f>
        <v>0</v>
      </c>
      <c r="BP6" s="10">
        <f>'Design Spec'!$D$106</f>
        <v>0</v>
      </c>
      <c r="BQ6" s="10">
        <f>'Design Spec'!$D$106</f>
        <v>0</v>
      </c>
      <c r="BR6" s="10">
        <f>'Design Spec'!$D$106</f>
        <v>0</v>
      </c>
      <c r="BS6" s="10">
        <f>'Design Spec'!$D$106</f>
        <v>0</v>
      </c>
      <c r="BT6" s="10">
        <f>'Design Spec'!$D$106</f>
        <v>0</v>
      </c>
      <c r="BU6" s="10">
        <f>'Design Spec'!$D$106</f>
        <v>0</v>
      </c>
      <c r="BV6" s="10">
        <f>'Design Spec'!$D$106</f>
        <v>0</v>
      </c>
      <c r="BW6" s="10">
        <f>'Design Spec'!$D$106</f>
        <v>0</v>
      </c>
      <c r="BX6" s="10">
        <f>'Design Spec'!$D$106</f>
        <v>0</v>
      </c>
      <c r="BY6" s="10">
        <f>'Design Spec'!$D$106</f>
        <v>0</v>
      </c>
      <c r="BZ6" s="10">
        <f>'Design Spec'!$D$106</f>
        <v>0</v>
      </c>
      <c r="CA6" s="10">
        <f>'Design Spec'!$D$106</f>
        <v>0</v>
      </c>
      <c r="CB6" s="10">
        <f>'Design Spec'!$D$106</f>
        <v>0</v>
      </c>
      <c r="CC6" s="10">
        <f>'Design Spec'!$D$106</f>
        <v>0</v>
      </c>
      <c r="CD6" s="10">
        <f>'Design Spec'!$D$106</f>
        <v>0</v>
      </c>
      <c r="CE6" s="10">
        <f>'Design Spec'!$D$106</f>
        <v>0</v>
      </c>
      <c r="CF6" s="10">
        <f>'Design Spec'!$D$106</f>
        <v>0</v>
      </c>
      <c r="CG6" s="10">
        <f>'Design Spec'!$D$106</f>
        <v>0</v>
      </c>
    </row>
    <row r="7" spans="2:86" ht="16.5" customHeight="1">
      <c r="B7" s="10" t="s">
        <v>773</v>
      </c>
      <c r="C7" s="10">
        <f>'Design Spec'!$D$83</f>
        <v>173.24116139070412</v>
      </c>
      <c r="D7" s="10">
        <f>'Design Spec'!$D$83</f>
        <v>173.24116139070412</v>
      </c>
      <c r="E7" s="10">
        <f>'Design Spec'!$D$83</f>
        <v>173.24116139070412</v>
      </c>
      <c r="F7" s="10">
        <f>'Design Spec'!$D$83</f>
        <v>173.24116139070412</v>
      </c>
      <c r="G7" s="10">
        <f>'Design Spec'!$D$83</f>
        <v>173.24116139070412</v>
      </c>
      <c r="H7" s="10">
        <f>'Design Spec'!$D$83</f>
        <v>173.24116139070412</v>
      </c>
      <c r="I7" s="10">
        <f>'Design Spec'!$D$83</f>
        <v>173.24116139070412</v>
      </c>
      <c r="J7" s="10">
        <f>'Design Spec'!$D$83</f>
        <v>173.24116139070412</v>
      </c>
      <c r="K7" s="10">
        <f>'Design Spec'!$D$83</f>
        <v>173.24116139070412</v>
      </c>
      <c r="L7" s="10">
        <f>'Design Spec'!$D$83</f>
        <v>173.24116139070412</v>
      </c>
      <c r="M7" s="10">
        <f>'Design Spec'!$D$83</f>
        <v>173.24116139070412</v>
      </c>
      <c r="N7" s="10">
        <f>'Design Spec'!$D$83</f>
        <v>173.24116139070412</v>
      </c>
      <c r="O7" s="10">
        <f>'Design Spec'!$D$83</f>
        <v>173.24116139070412</v>
      </c>
      <c r="P7" s="10">
        <f>'Design Spec'!$D$83</f>
        <v>173.24116139070412</v>
      </c>
      <c r="Q7" s="10">
        <f>'Design Spec'!$D$83</f>
        <v>173.24116139070412</v>
      </c>
      <c r="R7" s="10">
        <f>'Design Spec'!$D$83</f>
        <v>173.24116139070412</v>
      </c>
      <c r="S7" s="10">
        <f>'Design Spec'!$D$83</f>
        <v>173.24116139070412</v>
      </c>
      <c r="T7" s="10">
        <f>'Design Spec'!$D$83</f>
        <v>173.24116139070412</v>
      </c>
      <c r="U7" s="10">
        <f>'Design Spec'!$D$83</f>
        <v>173.24116139070412</v>
      </c>
      <c r="V7" s="10">
        <f>'Design Spec'!$D$83</f>
        <v>173.24116139070412</v>
      </c>
      <c r="W7" s="10">
        <f>'Design Spec'!$D$83</f>
        <v>173.24116139070412</v>
      </c>
      <c r="X7" s="10">
        <f>'Design Spec'!$D$83</f>
        <v>173.24116139070412</v>
      </c>
      <c r="Y7" s="10">
        <f>'Design Spec'!$D$83</f>
        <v>173.24116139070412</v>
      </c>
      <c r="Z7" s="10">
        <f>'Design Spec'!$D$83</f>
        <v>173.24116139070412</v>
      </c>
      <c r="AA7" s="10">
        <f>'Design Spec'!$D$83</f>
        <v>173.24116139070412</v>
      </c>
      <c r="AB7" s="10">
        <f>'Design Spec'!$D$83</f>
        <v>173.24116139070412</v>
      </c>
      <c r="AC7" s="10">
        <f>'Design Spec'!$D$83</f>
        <v>173.24116139070412</v>
      </c>
      <c r="AD7" s="10">
        <f>'Design Spec'!$D$83</f>
        <v>173.24116139070412</v>
      </c>
      <c r="AE7" s="10">
        <f>'Design Spec'!$D$83</f>
        <v>173.24116139070412</v>
      </c>
      <c r="AF7" s="10">
        <f>'Design Spec'!$D$83</f>
        <v>173.24116139070412</v>
      </c>
      <c r="AG7" s="10">
        <f>'Design Spec'!$D$83</f>
        <v>173.24116139070412</v>
      </c>
      <c r="AH7" s="10">
        <f>'Design Spec'!$D$83</f>
        <v>173.24116139070412</v>
      </c>
      <c r="AI7" s="10">
        <f>'Design Spec'!$D$83</f>
        <v>173.24116139070412</v>
      </c>
      <c r="AJ7" s="10">
        <f>'Design Spec'!$D$83</f>
        <v>173.24116139070412</v>
      </c>
      <c r="AK7" s="10">
        <f>'Design Spec'!$D$83</f>
        <v>173.24116139070412</v>
      </c>
      <c r="AL7" s="10">
        <f>'Design Spec'!$D$83</f>
        <v>173.24116139070412</v>
      </c>
      <c r="AM7" s="10">
        <f>'Design Spec'!$D$83</f>
        <v>173.24116139070412</v>
      </c>
      <c r="AN7" s="10">
        <f>'Design Spec'!$D$83</f>
        <v>173.24116139070412</v>
      </c>
      <c r="AO7" s="10">
        <f>'Design Spec'!$D$83</f>
        <v>173.24116139070412</v>
      </c>
      <c r="AP7" s="10">
        <f>'Design Spec'!$D$83</f>
        <v>173.24116139070412</v>
      </c>
      <c r="AQ7" s="10">
        <f>'Design Spec'!$D$83</f>
        <v>173.24116139070412</v>
      </c>
      <c r="AR7" s="10">
        <f>'Design Spec'!$D$83</f>
        <v>173.24116139070412</v>
      </c>
      <c r="AS7" s="10">
        <f>'Design Spec'!$D$83</f>
        <v>173.24116139070412</v>
      </c>
      <c r="AT7" s="10">
        <f>'Design Spec'!$D$83</f>
        <v>173.24116139070412</v>
      </c>
      <c r="AU7" s="10">
        <f>'Design Spec'!$D$83</f>
        <v>173.24116139070412</v>
      </c>
      <c r="AV7" s="10">
        <f>'Design Spec'!$D$83</f>
        <v>173.24116139070412</v>
      </c>
      <c r="AW7" s="10">
        <f>'Design Spec'!$D$83</f>
        <v>173.24116139070412</v>
      </c>
      <c r="AX7" s="10">
        <f>'Design Spec'!$D$83</f>
        <v>173.24116139070412</v>
      </c>
      <c r="AY7" s="10">
        <f>'Design Spec'!$D$83</f>
        <v>173.24116139070412</v>
      </c>
      <c r="AZ7" s="10">
        <f>'Design Spec'!$D$83</f>
        <v>173.24116139070412</v>
      </c>
      <c r="BA7" s="10">
        <f>'Design Spec'!$D$83</f>
        <v>173.24116139070412</v>
      </c>
      <c r="BB7" s="10">
        <f>'Design Spec'!$D$83</f>
        <v>173.24116139070412</v>
      </c>
      <c r="BC7" s="10">
        <f>'Design Spec'!$D$83</f>
        <v>173.24116139070412</v>
      </c>
      <c r="BD7" s="10">
        <f>'Design Spec'!$D$83</f>
        <v>173.24116139070412</v>
      </c>
      <c r="BE7" s="10">
        <f>'Design Spec'!$D$83</f>
        <v>173.24116139070412</v>
      </c>
      <c r="BF7" s="10">
        <f>'Design Spec'!$D$83</f>
        <v>173.24116139070412</v>
      </c>
      <c r="BG7" s="10">
        <f>'Design Spec'!$D$83</f>
        <v>173.24116139070412</v>
      </c>
      <c r="BH7" s="10">
        <f>'Design Spec'!$D$83</f>
        <v>173.24116139070412</v>
      </c>
      <c r="BI7" s="10">
        <f>'Design Spec'!$D$83</f>
        <v>173.24116139070412</v>
      </c>
      <c r="BJ7" s="10">
        <f>'Design Spec'!$D$83</f>
        <v>173.24116139070412</v>
      </c>
      <c r="BK7" s="10">
        <f>'Design Spec'!$D$83</f>
        <v>173.24116139070412</v>
      </c>
      <c r="BL7" s="10">
        <f>'Design Spec'!$D$83</f>
        <v>173.24116139070412</v>
      </c>
      <c r="BM7" s="10">
        <f>'Design Spec'!$D$83</f>
        <v>173.24116139070412</v>
      </c>
      <c r="BN7" s="10">
        <f>'Design Spec'!$D$83</f>
        <v>173.24116139070412</v>
      </c>
      <c r="BO7" s="10">
        <f>'Design Spec'!$D$83</f>
        <v>173.24116139070412</v>
      </c>
      <c r="BP7" s="10">
        <f>'Design Spec'!$D$83</f>
        <v>173.24116139070412</v>
      </c>
      <c r="BQ7" s="10">
        <f>'Design Spec'!$D$83</f>
        <v>173.24116139070412</v>
      </c>
      <c r="BR7" s="10">
        <f>'Design Spec'!$D$83</f>
        <v>173.24116139070412</v>
      </c>
      <c r="BS7" s="10">
        <f>'Design Spec'!$D$83</f>
        <v>173.24116139070412</v>
      </c>
      <c r="BT7" s="10">
        <f>'Design Spec'!$D$83</f>
        <v>173.24116139070412</v>
      </c>
      <c r="BU7" s="10">
        <f>'Design Spec'!$D$83</f>
        <v>173.24116139070412</v>
      </c>
      <c r="BV7" s="10">
        <f>'Design Spec'!$D$83</f>
        <v>173.24116139070412</v>
      </c>
      <c r="BW7" s="10">
        <f>'Design Spec'!$D$83</f>
        <v>173.24116139070412</v>
      </c>
      <c r="BX7" s="10">
        <f>'Design Spec'!$D$83</f>
        <v>173.24116139070412</v>
      </c>
      <c r="BY7" s="10">
        <f>'Design Spec'!$D$83</f>
        <v>173.24116139070412</v>
      </c>
      <c r="BZ7" s="10">
        <f>'Design Spec'!$D$83</f>
        <v>173.24116139070412</v>
      </c>
      <c r="CA7" s="10">
        <f>'Design Spec'!$D$83</f>
        <v>173.24116139070412</v>
      </c>
      <c r="CB7" s="10">
        <f>'Design Spec'!$D$83</f>
        <v>173.24116139070412</v>
      </c>
      <c r="CC7" s="10">
        <f>'Design Spec'!$D$83</f>
        <v>173.24116139070412</v>
      </c>
      <c r="CD7" s="10">
        <f>'Design Spec'!$D$83</f>
        <v>173.24116139070412</v>
      </c>
      <c r="CE7" s="10">
        <f>'Design Spec'!$D$83</f>
        <v>173.24116139070412</v>
      </c>
      <c r="CF7" s="10">
        <f>'Design Spec'!$D$83</f>
        <v>173.24116139070412</v>
      </c>
      <c r="CG7" s="10">
        <f>'Design Spec'!$D$83</f>
        <v>173.24116139070412</v>
      </c>
    </row>
    <row r="8" spans="2:86" ht="16.5" customHeight="1">
      <c r="B8" s="10" t="s">
        <v>774</v>
      </c>
      <c r="C8" s="10">
        <f>'Design Spec'!$D$87</f>
        <v>225</v>
      </c>
      <c r="D8" s="10">
        <f>'Design Spec'!$D$87</f>
        <v>225</v>
      </c>
      <c r="E8" s="10">
        <f>'Design Spec'!$D$87</f>
        <v>225</v>
      </c>
      <c r="F8" s="10">
        <f>'Design Spec'!$D$87</f>
        <v>225</v>
      </c>
      <c r="G8" s="10">
        <f>'Design Spec'!$D$87</f>
        <v>225</v>
      </c>
      <c r="H8" s="10">
        <f>'Design Spec'!$D$87</f>
        <v>225</v>
      </c>
      <c r="I8" s="10">
        <f>'Design Spec'!$D$87</f>
        <v>225</v>
      </c>
      <c r="J8" s="10">
        <f>'Design Spec'!$D$87</f>
        <v>225</v>
      </c>
      <c r="K8" s="10">
        <f>'Design Spec'!$D$87</f>
        <v>225</v>
      </c>
      <c r="L8" s="10">
        <f>'Design Spec'!$D$87</f>
        <v>225</v>
      </c>
      <c r="M8" s="10">
        <f>'Design Spec'!$D$87</f>
        <v>225</v>
      </c>
      <c r="N8" s="10">
        <f>'Design Spec'!$D$87</f>
        <v>225</v>
      </c>
      <c r="O8" s="10">
        <f>'Design Spec'!$D$87</f>
        <v>225</v>
      </c>
      <c r="P8" s="10">
        <f>'Design Spec'!$D$87</f>
        <v>225</v>
      </c>
      <c r="Q8" s="10">
        <f>'Design Spec'!$D$87</f>
        <v>225</v>
      </c>
      <c r="R8" s="10">
        <f>'Design Spec'!$D$87</f>
        <v>225</v>
      </c>
      <c r="S8" s="10">
        <f>'Design Spec'!$D$87</f>
        <v>225</v>
      </c>
      <c r="T8" s="10">
        <f>'Design Spec'!$D$87</f>
        <v>225</v>
      </c>
      <c r="U8" s="10">
        <f>'Design Spec'!$D$87</f>
        <v>225</v>
      </c>
      <c r="V8" s="10">
        <f>'Design Spec'!$D$87</f>
        <v>225</v>
      </c>
      <c r="W8" s="10">
        <f>'Design Spec'!$D$87</f>
        <v>225</v>
      </c>
      <c r="X8" s="10">
        <f>'Design Spec'!$D$87</f>
        <v>225</v>
      </c>
      <c r="Y8" s="10">
        <f>'Design Spec'!$D$87</f>
        <v>225</v>
      </c>
      <c r="Z8" s="10">
        <f>'Design Spec'!$D$87</f>
        <v>225</v>
      </c>
      <c r="AA8" s="10">
        <f>'Design Spec'!$D$87</f>
        <v>225</v>
      </c>
      <c r="AB8" s="10">
        <f>'Design Spec'!$D$87</f>
        <v>225</v>
      </c>
      <c r="AC8" s="10">
        <f>'Design Spec'!$D$87</f>
        <v>225</v>
      </c>
      <c r="AD8" s="10">
        <f>'Design Spec'!$D$87</f>
        <v>225</v>
      </c>
      <c r="AE8" s="10">
        <f>'Design Spec'!$D$87</f>
        <v>225</v>
      </c>
      <c r="AF8" s="10">
        <f>'Design Spec'!$D$87</f>
        <v>225</v>
      </c>
      <c r="AG8" s="10">
        <f>'Design Spec'!$D$87</f>
        <v>225</v>
      </c>
      <c r="AH8" s="10">
        <f>'Design Spec'!$D$87</f>
        <v>225</v>
      </c>
      <c r="AI8" s="10">
        <f>'Design Spec'!$D$87</f>
        <v>225</v>
      </c>
      <c r="AJ8" s="10">
        <f>'Design Spec'!$D$87</f>
        <v>225</v>
      </c>
      <c r="AK8" s="10">
        <f>'Design Spec'!$D$87</f>
        <v>225</v>
      </c>
      <c r="AL8" s="10">
        <f>'Design Spec'!$D$87</f>
        <v>225</v>
      </c>
      <c r="AM8" s="10">
        <f>'Design Spec'!$D$87</f>
        <v>225</v>
      </c>
      <c r="AN8" s="10">
        <f>'Design Spec'!$D$87</f>
        <v>225</v>
      </c>
      <c r="AO8" s="10">
        <f>'Design Spec'!$D$87</f>
        <v>225</v>
      </c>
      <c r="AP8" s="10">
        <f>'Design Spec'!$D$87</f>
        <v>225</v>
      </c>
      <c r="AQ8" s="10">
        <f>'Design Spec'!$D$87</f>
        <v>225</v>
      </c>
      <c r="AR8" s="10">
        <f>'Design Spec'!$D$87</f>
        <v>225</v>
      </c>
      <c r="AS8" s="10">
        <f>'Design Spec'!$D$87</f>
        <v>225</v>
      </c>
      <c r="AT8" s="10">
        <f>'Design Spec'!$D$87</f>
        <v>225</v>
      </c>
      <c r="AU8" s="10">
        <f>'Design Spec'!$D$87</f>
        <v>225</v>
      </c>
      <c r="AV8" s="10">
        <f>'Design Spec'!$D$87</f>
        <v>225</v>
      </c>
      <c r="AW8" s="10">
        <f>'Design Spec'!$D$87</f>
        <v>225</v>
      </c>
      <c r="AX8" s="10">
        <f>'Design Spec'!$D$87</f>
        <v>225</v>
      </c>
      <c r="AY8" s="10">
        <f>'Design Spec'!$D$87</f>
        <v>225</v>
      </c>
      <c r="AZ8" s="10">
        <f>'Design Spec'!$D$87</f>
        <v>225</v>
      </c>
      <c r="BA8" s="10">
        <f>'Design Spec'!$D$87</f>
        <v>225</v>
      </c>
      <c r="BB8" s="10">
        <f>'Design Spec'!$D$87</f>
        <v>225</v>
      </c>
      <c r="BC8" s="10">
        <f>'Design Spec'!$D$87</f>
        <v>225</v>
      </c>
      <c r="BD8" s="10">
        <f>'Design Spec'!$D$87</f>
        <v>225</v>
      </c>
      <c r="BE8" s="10">
        <f>'Design Spec'!$D$87</f>
        <v>225</v>
      </c>
      <c r="BF8" s="10">
        <f>'Design Spec'!$D$87</f>
        <v>225</v>
      </c>
      <c r="BG8" s="10">
        <f>'Design Spec'!$D$87</f>
        <v>225</v>
      </c>
      <c r="BH8" s="10">
        <f>'Design Spec'!$D$87</f>
        <v>225</v>
      </c>
      <c r="BI8" s="10">
        <f>'Design Spec'!$D$87</f>
        <v>225</v>
      </c>
      <c r="BJ8" s="10">
        <f>'Design Spec'!$D$87</f>
        <v>225</v>
      </c>
      <c r="BK8" s="10">
        <f>'Design Spec'!$D$87</f>
        <v>225</v>
      </c>
      <c r="BL8" s="10">
        <f>'Design Spec'!$D$87</f>
        <v>225</v>
      </c>
      <c r="BM8" s="10">
        <f>'Design Spec'!$D$87</f>
        <v>225</v>
      </c>
      <c r="BN8" s="10">
        <f>'Design Spec'!$D$87</f>
        <v>225</v>
      </c>
      <c r="BO8" s="10">
        <f>'Design Spec'!$D$87</f>
        <v>225</v>
      </c>
      <c r="BP8" s="10">
        <f>'Design Spec'!$D$87</f>
        <v>225</v>
      </c>
      <c r="BQ8" s="10">
        <f>'Design Spec'!$D$87</f>
        <v>225</v>
      </c>
      <c r="BR8" s="10">
        <f>'Design Spec'!$D$87</f>
        <v>225</v>
      </c>
      <c r="BS8" s="10">
        <f>'Design Spec'!$D$87</f>
        <v>225</v>
      </c>
      <c r="BT8" s="10">
        <f>'Design Spec'!$D$87</f>
        <v>225</v>
      </c>
      <c r="BU8" s="10">
        <f>'Design Spec'!$D$87</f>
        <v>225</v>
      </c>
      <c r="BV8" s="10">
        <f>'Design Spec'!$D$87</f>
        <v>225</v>
      </c>
      <c r="BW8" s="10">
        <f>'Design Spec'!$D$87</f>
        <v>225</v>
      </c>
      <c r="BX8" s="10">
        <f>'Design Spec'!$D$87</f>
        <v>225</v>
      </c>
      <c r="BY8" s="10">
        <f>'Design Spec'!$D$87</f>
        <v>225</v>
      </c>
      <c r="BZ8" s="10">
        <f>'Design Spec'!$D$87</f>
        <v>225</v>
      </c>
      <c r="CA8" s="10">
        <f>'Design Spec'!$D$87</f>
        <v>225</v>
      </c>
      <c r="CB8" s="10">
        <f>'Design Spec'!$D$87</f>
        <v>225</v>
      </c>
      <c r="CC8" s="10">
        <f>'Design Spec'!$D$87</f>
        <v>225</v>
      </c>
      <c r="CD8" s="10">
        <f>'Design Spec'!$D$87</f>
        <v>225</v>
      </c>
      <c r="CE8" s="10">
        <f>'Design Spec'!$D$87</f>
        <v>225</v>
      </c>
      <c r="CF8" s="10">
        <f>'Design Spec'!$D$87</f>
        <v>225</v>
      </c>
      <c r="CG8" s="10">
        <f>'Design Spec'!$D$87</f>
        <v>225</v>
      </c>
    </row>
    <row r="9" spans="2:86" ht="16.5" customHeight="1">
      <c r="B9" s="10" t="s">
        <v>1069</v>
      </c>
      <c r="C9" s="10">
        <f>MAX('Design Spec'!$D$79,'Design Spec'!$D$81)</f>
        <v>332.34018715767729</v>
      </c>
      <c r="D9" s="10">
        <f>MAX('Design Spec'!$D$79,'Design Spec'!$D$81)</f>
        <v>332.34018715767729</v>
      </c>
      <c r="E9" s="10">
        <f>MAX('Design Spec'!$D$79,'Design Spec'!$D$81)</f>
        <v>332.34018715767729</v>
      </c>
      <c r="F9" s="10">
        <f>MAX('Design Spec'!$D$79,'Design Spec'!$D$81)</f>
        <v>332.34018715767729</v>
      </c>
      <c r="G9" s="10">
        <f>MAX('Design Spec'!$D$79,'Design Spec'!$D$81)</f>
        <v>332.34018715767729</v>
      </c>
      <c r="H9" s="10">
        <f>MAX('Design Spec'!$D$79,'Design Spec'!$D$81)</f>
        <v>332.34018715767729</v>
      </c>
      <c r="I9" s="10">
        <f>MAX('Design Spec'!$D$79,'Design Spec'!$D$81)</f>
        <v>332.34018715767729</v>
      </c>
      <c r="J9" s="10">
        <f>MAX('Design Spec'!$D$79,'Design Spec'!$D$81)</f>
        <v>332.34018715767729</v>
      </c>
      <c r="K9" s="10">
        <f>MAX('Design Spec'!$D$79,'Design Spec'!$D$81)</f>
        <v>332.34018715767729</v>
      </c>
      <c r="L9" s="10">
        <f>MAX('Design Spec'!$D$79,'Design Spec'!$D$81)</f>
        <v>332.34018715767729</v>
      </c>
      <c r="M9" s="10">
        <f>MAX('Design Spec'!$D$79,'Design Spec'!$D$81)</f>
        <v>332.34018715767729</v>
      </c>
      <c r="N9" s="10">
        <f>MAX('Design Spec'!$D$79,'Design Spec'!$D$81)</f>
        <v>332.34018715767729</v>
      </c>
      <c r="O9" s="10">
        <f>MAX('Design Spec'!$D$79,'Design Spec'!$D$81)</f>
        <v>332.34018715767729</v>
      </c>
      <c r="P9" s="10">
        <f>MAX('Design Spec'!$D$79,'Design Spec'!$D$81)</f>
        <v>332.34018715767729</v>
      </c>
      <c r="Q9" s="10">
        <f>MAX('Design Spec'!$D$79,'Design Spec'!$D$81)</f>
        <v>332.34018715767729</v>
      </c>
      <c r="R9" s="10">
        <f>MAX('Design Spec'!$D$79,'Design Spec'!$D$81)</f>
        <v>332.34018715767729</v>
      </c>
      <c r="S9" s="10">
        <f>MAX('Design Spec'!$D$79,'Design Spec'!$D$81)</f>
        <v>332.34018715767729</v>
      </c>
      <c r="T9" s="10">
        <f>MAX('Design Spec'!$D$79,'Design Spec'!$D$81)</f>
        <v>332.34018715767729</v>
      </c>
      <c r="U9" s="10">
        <f>MAX('Design Spec'!$D$79,'Design Spec'!$D$81)</f>
        <v>332.34018715767729</v>
      </c>
      <c r="V9" s="10">
        <f>MAX('Design Spec'!$D$79,'Design Spec'!$D$81)</f>
        <v>332.34018715767729</v>
      </c>
      <c r="W9" s="10">
        <f>MAX('Design Spec'!$D$79,'Design Spec'!$D$81)</f>
        <v>332.34018715767729</v>
      </c>
      <c r="X9" s="10">
        <f>MAX('Design Spec'!$D$79,'Design Spec'!$D$81)</f>
        <v>332.34018715767729</v>
      </c>
      <c r="Y9" s="10">
        <f>MAX('Design Spec'!$D$79,'Design Spec'!$D$81)</f>
        <v>332.34018715767729</v>
      </c>
      <c r="Z9" s="10">
        <f>MAX('Design Spec'!$D$79,'Design Spec'!$D$81)</f>
        <v>332.34018715767729</v>
      </c>
      <c r="AA9" s="10">
        <f>MAX('Design Spec'!$D$79,'Design Spec'!$D$81)</f>
        <v>332.34018715767729</v>
      </c>
      <c r="AB9" s="10">
        <f>MAX('Design Spec'!$D$79,'Design Spec'!$D$81)</f>
        <v>332.34018715767729</v>
      </c>
      <c r="AC9" s="10">
        <f>MAX('Design Spec'!$D$79,'Design Spec'!$D$81)</f>
        <v>332.34018715767729</v>
      </c>
      <c r="AD9" s="10">
        <f>MAX('Design Spec'!$D$79,'Design Spec'!$D$81)</f>
        <v>332.34018715767729</v>
      </c>
      <c r="AE9" s="10">
        <f>MAX('Design Spec'!$D$79,'Design Spec'!$D$81)</f>
        <v>332.34018715767729</v>
      </c>
      <c r="AF9" s="10">
        <f>MAX('Design Spec'!$D$79,'Design Spec'!$D$81)</f>
        <v>332.34018715767729</v>
      </c>
      <c r="AG9" s="10">
        <f>MAX('Design Spec'!$D$79,'Design Spec'!$D$81)</f>
        <v>332.34018715767729</v>
      </c>
      <c r="AH9" s="10">
        <f>MAX('Design Spec'!$D$79,'Design Spec'!$D$81)</f>
        <v>332.34018715767729</v>
      </c>
      <c r="AI9" s="10">
        <f>MAX('Design Spec'!$D$79,'Design Spec'!$D$81)</f>
        <v>332.34018715767729</v>
      </c>
      <c r="AJ9" s="10">
        <f>MAX('Design Spec'!$D$79,'Design Spec'!$D$81)</f>
        <v>332.34018715767729</v>
      </c>
      <c r="AK9" s="10">
        <f>MAX('Design Spec'!$D$79,'Design Spec'!$D$81)</f>
        <v>332.34018715767729</v>
      </c>
      <c r="AL9" s="10">
        <f>MAX('Design Spec'!$D$79,'Design Spec'!$D$81)</f>
        <v>332.34018715767729</v>
      </c>
      <c r="AM9" s="10">
        <f>MAX('Design Spec'!$D$79,'Design Spec'!$D$81)</f>
        <v>332.34018715767729</v>
      </c>
      <c r="AN9" s="10">
        <f>MAX('Design Spec'!$D$79,'Design Spec'!$D$81)</f>
        <v>332.34018715767729</v>
      </c>
      <c r="AO9" s="10">
        <f>MAX('Design Spec'!$D$79,'Design Spec'!$D$81)</f>
        <v>332.34018715767729</v>
      </c>
      <c r="AP9" s="10">
        <f>MAX('Design Spec'!$D$79,'Design Spec'!$D$81)</f>
        <v>332.34018715767729</v>
      </c>
      <c r="AQ9" s="10">
        <f>MAX('Design Spec'!$D$79,'Design Spec'!$D$81)</f>
        <v>332.34018715767729</v>
      </c>
      <c r="AR9" s="10">
        <f>MAX('Design Spec'!$D$79,'Design Spec'!$D$81)</f>
        <v>332.34018715767729</v>
      </c>
      <c r="AS9" s="10">
        <f>MAX('Design Spec'!$D$79,'Design Spec'!$D$81)</f>
        <v>332.34018715767729</v>
      </c>
      <c r="AT9" s="10">
        <f>MAX('Design Spec'!$D$79,'Design Spec'!$D$81)</f>
        <v>332.34018715767729</v>
      </c>
      <c r="AU9" s="10">
        <f>MAX('Design Spec'!$D$79,'Design Spec'!$D$81)</f>
        <v>332.34018715767729</v>
      </c>
      <c r="AV9" s="10">
        <f>MAX('Design Spec'!$D$79,'Design Spec'!$D$81)</f>
        <v>332.34018715767729</v>
      </c>
      <c r="AW9" s="10">
        <f>MAX('Design Spec'!$D$79,'Design Spec'!$D$81)</f>
        <v>332.34018715767729</v>
      </c>
      <c r="AX9" s="10">
        <f>MAX('Design Spec'!$D$79,'Design Spec'!$D$81)</f>
        <v>332.34018715767729</v>
      </c>
      <c r="AY9" s="10">
        <f>MAX('Design Spec'!$D$79,'Design Spec'!$D$81)</f>
        <v>332.34018715767729</v>
      </c>
      <c r="AZ9" s="10">
        <f>MAX('Design Spec'!$D$79,'Design Spec'!$D$81)</f>
        <v>332.34018715767729</v>
      </c>
      <c r="BA9" s="10">
        <f>MAX('Design Spec'!$D$79,'Design Spec'!$D$81)</f>
        <v>332.34018715767729</v>
      </c>
      <c r="BB9" s="10">
        <f>MAX('Design Spec'!$D$79,'Design Spec'!$D$81)</f>
        <v>332.34018715767729</v>
      </c>
      <c r="BC9" s="10">
        <f>MAX('Design Spec'!$D$79,'Design Spec'!$D$81)</f>
        <v>332.34018715767729</v>
      </c>
      <c r="BD9" s="10">
        <f>MAX('Design Spec'!$D$79,'Design Spec'!$D$81)</f>
        <v>332.34018715767729</v>
      </c>
      <c r="BE9" s="10">
        <f>MAX('Design Spec'!$D$79,'Design Spec'!$D$81)</f>
        <v>332.34018715767729</v>
      </c>
      <c r="BF9" s="10">
        <f>MAX('Design Spec'!$D$79,'Design Spec'!$D$81)</f>
        <v>332.34018715767729</v>
      </c>
      <c r="BG9" s="10">
        <f>MAX('Design Spec'!$D$79,'Design Spec'!$D$81)</f>
        <v>332.34018715767729</v>
      </c>
      <c r="BH9" s="10">
        <f>MAX('Design Spec'!$D$79,'Design Spec'!$D$81)</f>
        <v>332.34018715767729</v>
      </c>
      <c r="BI9" s="10">
        <f>MAX('Design Spec'!$D$79,'Design Spec'!$D$81)</f>
        <v>332.34018715767729</v>
      </c>
      <c r="BJ9" s="10">
        <f>MAX('Design Spec'!$D$79,'Design Spec'!$D$81)</f>
        <v>332.34018715767729</v>
      </c>
      <c r="BK9" s="10">
        <f>MAX('Design Spec'!$D$79,'Design Spec'!$D$81)</f>
        <v>332.34018715767729</v>
      </c>
      <c r="BL9" s="10">
        <f>MAX('Design Spec'!$D$79,'Design Spec'!$D$81)</f>
        <v>332.34018715767729</v>
      </c>
      <c r="BM9" s="10">
        <f>MAX('Design Spec'!$D$79,'Design Spec'!$D$81)</f>
        <v>332.34018715767729</v>
      </c>
      <c r="BN9" s="10">
        <f>MAX('Design Spec'!$D$79,'Design Spec'!$D$81)</f>
        <v>332.34018715767729</v>
      </c>
      <c r="BO9" s="10">
        <f>MAX('Design Spec'!$D$79,'Design Spec'!$D$81)</f>
        <v>332.34018715767729</v>
      </c>
      <c r="BP9" s="10">
        <f>MAX('Design Spec'!$D$79,'Design Spec'!$D$81)</f>
        <v>332.34018715767729</v>
      </c>
      <c r="BQ9" s="10">
        <f>MAX('Design Spec'!$D$79,'Design Spec'!$D$81)</f>
        <v>332.34018715767729</v>
      </c>
      <c r="BR9" s="10">
        <f>MAX('Design Spec'!$D$79,'Design Spec'!$D$81)</f>
        <v>332.34018715767729</v>
      </c>
      <c r="BS9" s="10">
        <f>MAX('Design Spec'!$D$79,'Design Spec'!$D$81)</f>
        <v>332.34018715767729</v>
      </c>
      <c r="BT9" s="10">
        <f>MAX('Design Spec'!$D$79,'Design Spec'!$D$81)</f>
        <v>332.34018715767729</v>
      </c>
      <c r="BU9" s="10">
        <f>MAX('Design Spec'!$D$79,'Design Spec'!$D$81)</f>
        <v>332.34018715767729</v>
      </c>
      <c r="BV9" s="10">
        <f>MAX('Design Spec'!$D$79,'Design Spec'!$D$81)</f>
        <v>332.34018715767729</v>
      </c>
      <c r="BW9" s="10">
        <f>MAX('Design Spec'!$D$79,'Design Spec'!$D$81)</f>
        <v>332.34018715767729</v>
      </c>
      <c r="BX9" s="10">
        <f>MAX('Design Spec'!$D$79,'Design Spec'!$D$81)</f>
        <v>332.34018715767729</v>
      </c>
      <c r="BY9" s="10">
        <f>MAX('Design Spec'!$D$79,'Design Spec'!$D$81)</f>
        <v>332.34018715767729</v>
      </c>
      <c r="BZ9" s="10">
        <f>MAX('Design Spec'!$D$79,'Design Spec'!$D$81)</f>
        <v>332.34018715767729</v>
      </c>
      <c r="CA9" s="10">
        <f>MAX('Design Spec'!$D$79,'Design Spec'!$D$81)</f>
        <v>332.34018715767729</v>
      </c>
      <c r="CB9" s="10">
        <f>MAX('Design Spec'!$D$79,'Design Spec'!$D$81)</f>
        <v>332.34018715767729</v>
      </c>
      <c r="CC9" s="10">
        <f>MAX('Design Spec'!$D$79,'Design Spec'!$D$81)</f>
        <v>332.34018715767729</v>
      </c>
      <c r="CD9" s="10">
        <f>MAX('Design Spec'!$D$79,'Design Spec'!$D$81)</f>
        <v>332.34018715767729</v>
      </c>
      <c r="CE9" s="10">
        <f>MAX('Design Spec'!$D$79,'Design Spec'!$D$81)</f>
        <v>332.34018715767729</v>
      </c>
      <c r="CF9" s="10">
        <f>MAX('Design Spec'!$D$79,'Design Spec'!$D$81)</f>
        <v>332.34018715767729</v>
      </c>
      <c r="CG9" s="10">
        <f>MAX('Design Spec'!$D$79,'Design Spec'!$D$81)</f>
        <v>332.34018715767729</v>
      </c>
    </row>
    <row r="10" spans="2:86" ht="16.5" customHeight="1">
      <c r="B10" s="10" t="s">
        <v>268</v>
      </c>
      <c r="C10" s="10">
        <f>IF('Res. Tank Design'!$F$9,'Res. Tank Design'!$F$9,'Res. Tank Design'!$D$9)</f>
        <v>7.4527000000000001</v>
      </c>
      <c r="D10" s="10">
        <f>IF('Res. Tank Design'!$F$9,'Res. Tank Design'!$F$9,'Res. Tank Design'!$D$9)</f>
        <v>7.4527000000000001</v>
      </c>
      <c r="E10" s="10">
        <f>IF('Res. Tank Design'!$F$9,'Res. Tank Design'!$F$9,'Res. Tank Design'!$D$9)</f>
        <v>7.4527000000000001</v>
      </c>
      <c r="F10" s="10">
        <f>IF('Res. Tank Design'!$F$9,'Res. Tank Design'!$F$9,'Res. Tank Design'!$D$9)</f>
        <v>7.4527000000000001</v>
      </c>
      <c r="G10" s="10">
        <f>IF('Res. Tank Design'!$F$9,'Res. Tank Design'!$F$9,'Res. Tank Design'!$D$9)</f>
        <v>7.4527000000000001</v>
      </c>
      <c r="H10" s="10">
        <f>IF('Res. Tank Design'!$F$9,'Res. Tank Design'!$F$9,'Res. Tank Design'!$D$9)</f>
        <v>7.4527000000000001</v>
      </c>
      <c r="I10" s="10">
        <f>IF('Res. Tank Design'!$F$9,'Res. Tank Design'!$F$9,'Res. Tank Design'!$D$9)</f>
        <v>7.4527000000000001</v>
      </c>
      <c r="J10" s="10">
        <f>IF('Res. Tank Design'!$F$9,'Res. Tank Design'!$F$9,'Res. Tank Design'!$D$9)</f>
        <v>7.4527000000000001</v>
      </c>
      <c r="K10" s="10">
        <f>IF('Res. Tank Design'!$F$9,'Res. Tank Design'!$F$9,'Res. Tank Design'!$D$9)</f>
        <v>7.4527000000000001</v>
      </c>
      <c r="L10" s="10">
        <f>IF('Res. Tank Design'!$F$9,'Res. Tank Design'!$F$9,'Res. Tank Design'!$D$9)</f>
        <v>7.4527000000000001</v>
      </c>
      <c r="M10" s="10">
        <f>IF('Res. Tank Design'!$F$9,'Res. Tank Design'!$F$9,'Res. Tank Design'!$D$9)</f>
        <v>7.4527000000000001</v>
      </c>
      <c r="N10" s="10">
        <f>IF('Res. Tank Design'!$F$9,'Res. Tank Design'!$F$9,'Res. Tank Design'!$D$9)</f>
        <v>7.4527000000000001</v>
      </c>
      <c r="O10" s="10">
        <f>IF('Res. Tank Design'!$F$9,'Res. Tank Design'!$F$9,'Res. Tank Design'!$D$9)</f>
        <v>7.4527000000000001</v>
      </c>
      <c r="P10" s="10">
        <f>IF('Res. Tank Design'!$F$9,'Res. Tank Design'!$F$9,'Res. Tank Design'!$D$9)</f>
        <v>7.4527000000000001</v>
      </c>
      <c r="Q10" s="10">
        <f>IF('Res. Tank Design'!$F$9,'Res. Tank Design'!$F$9,'Res. Tank Design'!$D$9)</f>
        <v>7.4527000000000001</v>
      </c>
      <c r="R10" s="10">
        <f>IF('Res. Tank Design'!$F$9,'Res. Tank Design'!$F$9,'Res. Tank Design'!$D$9)</f>
        <v>7.4527000000000001</v>
      </c>
      <c r="S10" s="10">
        <f>IF('Res. Tank Design'!$F$9,'Res. Tank Design'!$F$9,'Res. Tank Design'!$D$9)</f>
        <v>7.4527000000000001</v>
      </c>
      <c r="T10" s="10">
        <f>IF('Res. Tank Design'!$F$9,'Res. Tank Design'!$F$9,'Res. Tank Design'!$D$9)</f>
        <v>7.4527000000000001</v>
      </c>
      <c r="U10" s="10">
        <f>IF('Res. Tank Design'!$F$9,'Res. Tank Design'!$F$9,'Res. Tank Design'!$D$9)</f>
        <v>7.4527000000000001</v>
      </c>
      <c r="V10" s="10">
        <f>IF('Res. Tank Design'!$F$9,'Res. Tank Design'!$F$9,'Res. Tank Design'!$D$9)</f>
        <v>7.4527000000000001</v>
      </c>
      <c r="W10" s="10">
        <f>IF('Res. Tank Design'!$F$9,'Res. Tank Design'!$F$9,'Res. Tank Design'!$D$9)</f>
        <v>7.4527000000000001</v>
      </c>
      <c r="X10" s="10">
        <f>IF('Res. Tank Design'!$F$9,'Res. Tank Design'!$F$9,'Res. Tank Design'!$D$9)</f>
        <v>7.4527000000000001</v>
      </c>
      <c r="Y10" s="10">
        <f>IF('Res. Tank Design'!$F$9,'Res. Tank Design'!$F$9,'Res. Tank Design'!$D$9)</f>
        <v>7.4527000000000001</v>
      </c>
      <c r="Z10" s="10">
        <f>IF('Res. Tank Design'!$F$9,'Res. Tank Design'!$F$9,'Res. Tank Design'!$D$9)</f>
        <v>7.4527000000000001</v>
      </c>
      <c r="AA10" s="10">
        <f>IF('Res. Tank Design'!$F$9,'Res. Tank Design'!$F$9,'Res. Tank Design'!$D$9)</f>
        <v>7.4527000000000001</v>
      </c>
      <c r="AB10" s="10">
        <f>IF('Res. Tank Design'!$F$9,'Res. Tank Design'!$F$9,'Res. Tank Design'!$D$9)</f>
        <v>7.4527000000000001</v>
      </c>
      <c r="AC10" s="10">
        <f>IF('Res. Tank Design'!$F$9,'Res. Tank Design'!$F$9,'Res. Tank Design'!$D$9)</f>
        <v>7.4527000000000001</v>
      </c>
      <c r="AD10" s="10">
        <f>IF('Res. Tank Design'!$F$9,'Res. Tank Design'!$F$9,'Res. Tank Design'!$D$9)</f>
        <v>7.4527000000000001</v>
      </c>
      <c r="AE10" s="10">
        <f>IF('Res. Tank Design'!$F$9,'Res. Tank Design'!$F$9,'Res. Tank Design'!$D$9)</f>
        <v>7.4527000000000001</v>
      </c>
      <c r="AF10" s="10">
        <f>IF('Res. Tank Design'!$F$9,'Res. Tank Design'!$F$9,'Res. Tank Design'!$D$9)</f>
        <v>7.4527000000000001</v>
      </c>
      <c r="AG10" s="10">
        <f>IF('Res. Tank Design'!$F$9,'Res. Tank Design'!$F$9,'Res. Tank Design'!$D$9)</f>
        <v>7.4527000000000001</v>
      </c>
      <c r="AH10" s="10">
        <f>IF('Res. Tank Design'!$F$9,'Res. Tank Design'!$F$9,'Res. Tank Design'!$D$9)</f>
        <v>7.4527000000000001</v>
      </c>
      <c r="AI10" s="10">
        <f>IF('Res. Tank Design'!$F$9,'Res. Tank Design'!$F$9,'Res. Tank Design'!$D$9)</f>
        <v>7.4527000000000001</v>
      </c>
      <c r="AJ10" s="10">
        <f>IF('Res. Tank Design'!$F$9,'Res. Tank Design'!$F$9,'Res. Tank Design'!$D$9)</f>
        <v>7.4527000000000001</v>
      </c>
      <c r="AK10" s="10">
        <f>IF('Res. Tank Design'!$F$9,'Res. Tank Design'!$F$9,'Res. Tank Design'!$D$9)</f>
        <v>7.4527000000000001</v>
      </c>
      <c r="AL10" s="10">
        <f>IF('Res. Tank Design'!$F$9,'Res. Tank Design'!$F$9,'Res. Tank Design'!$D$9)</f>
        <v>7.4527000000000001</v>
      </c>
      <c r="AM10" s="10">
        <f>IF('Res. Tank Design'!$F$9,'Res. Tank Design'!$F$9,'Res. Tank Design'!$D$9)</f>
        <v>7.4527000000000001</v>
      </c>
      <c r="AN10" s="10">
        <f>IF('Res. Tank Design'!$F$9,'Res. Tank Design'!$F$9,'Res. Tank Design'!$D$9)</f>
        <v>7.4527000000000001</v>
      </c>
      <c r="AO10" s="10">
        <f>IF('Res. Tank Design'!$F$9,'Res. Tank Design'!$F$9,'Res. Tank Design'!$D$9)</f>
        <v>7.4527000000000001</v>
      </c>
      <c r="AP10" s="10">
        <f>IF('Res. Tank Design'!$F$9,'Res. Tank Design'!$F$9,'Res. Tank Design'!$D$9)</f>
        <v>7.4527000000000001</v>
      </c>
      <c r="AQ10" s="10">
        <f>IF('Res. Tank Design'!$F$9,'Res. Tank Design'!$F$9,'Res. Tank Design'!$D$9)</f>
        <v>7.4527000000000001</v>
      </c>
      <c r="AR10" s="10">
        <f>IF('Res. Tank Design'!$F$9,'Res. Tank Design'!$F$9,'Res. Tank Design'!$D$9)</f>
        <v>7.4527000000000001</v>
      </c>
      <c r="AS10" s="10">
        <f>IF('Res. Tank Design'!$F$9,'Res. Tank Design'!$F$9,'Res. Tank Design'!$D$9)</f>
        <v>7.4527000000000001</v>
      </c>
      <c r="AT10" s="10">
        <f>IF('Res. Tank Design'!$F$9,'Res. Tank Design'!$F$9,'Res. Tank Design'!$D$9)</f>
        <v>7.4527000000000001</v>
      </c>
      <c r="AU10" s="10">
        <f>IF('Res. Tank Design'!$F$9,'Res. Tank Design'!$F$9,'Res. Tank Design'!$D$9)</f>
        <v>7.4527000000000001</v>
      </c>
      <c r="AV10" s="10">
        <f>IF('Res. Tank Design'!$F$9,'Res. Tank Design'!$F$9,'Res. Tank Design'!$D$9)</f>
        <v>7.4527000000000001</v>
      </c>
      <c r="AW10" s="10">
        <f>IF('Res. Tank Design'!$F$9,'Res. Tank Design'!$F$9,'Res. Tank Design'!$D$9)</f>
        <v>7.4527000000000001</v>
      </c>
      <c r="AX10" s="10">
        <f>IF('Res. Tank Design'!$F$9,'Res. Tank Design'!$F$9,'Res. Tank Design'!$D$9)</f>
        <v>7.4527000000000001</v>
      </c>
      <c r="AY10" s="10">
        <f>IF('Res. Tank Design'!$F$9,'Res. Tank Design'!$F$9,'Res. Tank Design'!$D$9)</f>
        <v>7.4527000000000001</v>
      </c>
      <c r="AZ10" s="10">
        <f>IF('Res. Tank Design'!$F$9,'Res. Tank Design'!$F$9,'Res. Tank Design'!$D$9)</f>
        <v>7.4527000000000001</v>
      </c>
      <c r="BA10" s="10">
        <f>IF('Res. Tank Design'!$F$9,'Res. Tank Design'!$F$9,'Res. Tank Design'!$D$9)</f>
        <v>7.4527000000000001</v>
      </c>
      <c r="BB10" s="10">
        <f>IF('Res. Tank Design'!$F$9,'Res. Tank Design'!$F$9,'Res. Tank Design'!$D$9)</f>
        <v>7.4527000000000001</v>
      </c>
      <c r="BC10" s="10">
        <f>IF('Res. Tank Design'!$F$9,'Res. Tank Design'!$F$9,'Res. Tank Design'!$D$9)</f>
        <v>7.4527000000000001</v>
      </c>
      <c r="BD10" s="10">
        <f>IF('Res. Tank Design'!$F$9,'Res. Tank Design'!$F$9,'Res. Tank Design'!$D$9)</f>
        <v>7.4527000000000001</v>
      </c>
      <c r="BE10" s="10">
        <f>IF('Res. Tank Design'!$F$9,'Res. Tank Design'!$F$9,'Res. Tank Design'!$D$9)</f>
        <v>7.4527000000000001</v>
      </c>
      <c r="BF10" s="10">
        <f>IF('Res. Tank Design'!$F$9,'Res. Tank Design'!$F$9,'Res. Tank Design'!$D$9)</f>
        <v>7.4527000000000001</v>
      </c>
      <c r="BG10" s="10">
        <f>IF('Res. Tank Design'!$F$9,'Res. Tank Design'!$F$9,'Res. Tank Design'!$D$9)</f>
        <v>7.4527000000000001</v>
      </c>
      <c r="BH10" s="10">
        <f>IF('Res. Tank Design'!$F$9,'Res. Tank Design'!$F$9,'Res. Tank Design'!$D$9)</f>
        <v>7.4527000000000001</v>
      </c>
      <c r="BI10" s="10">
        <f>IF('Res. Tank Design'!$F$9,'Res. Tank Design'!$F$9,'Res. Tank Design'!$D$9)</f>
        <v>7.4527000000000001</v>
      </c>
      <c r="BJ10" s="10">
        <f>IF('Res. Tank Design'!$F$9,'Res. Tank Design'!$F$9,'Res. Tank Design'!$D$9)</f>
        <v>7.4527000000000001</v>
      </c>
      <c r="BK10" s="10">
        <f>IF('Res. Tank Design'!$F$9,'Res. Tank Design'!$F$9,'Res. Tank Design'!$D$9)</f>
        <v>7.4527000000000001</v>
      </c>
      <c r="BL10" s="10">
        <f>IF('Res. Tank Design'!$F$9,'Res. Tank Design'!$F$9,'Res. Tank Design'!$D$9)</f>
        <v>7.4527000000000001</v>
      </c>
      <c r="BM10" s="10">
        <f>IF('Res. Tank Design'!$F$9,'Res. Tank Design'!$F$9,'Res. Tank Design'!$D$9)</f>
        <v>7.4527000000000001</v>
      </c>
      <c r="BN10" s="10">
        <f>IF('Res. Tank Design'!$F$9,'Res. Tank Design'!$F$9,'Res. Tank Design'!$D$9)</f>
        <v>7.4527000000000001</v>
      </c>
      <c r="BO10" s="10">
        <f>IF('Res. Tank Design'!$F$9,'Res. Tank Design'!$F$9,'Res. Tank Design'!$D$9)</f>
        <v>7.4527000000000001</v>
      </c>
      <c r="BP10" s="10">
        <f>IF('Res. Tank Design'!$F$9,'Res. Tank Design'!$F$9,'Res. Tank Design'!$D$9)</f>
        <v>7.4527000000000001</v>
      </c>
      <c r="BQ10" s="10">
        <f>IF('Res. Tank Design'!$F$9,'Res. Tank Design'!$F$9,'Res. Tank Design'!$D$9)</f>
        <v>7.4527000000000001</v>
      </c>
      <c r="BR10" s="10">
        <f>IF('Res. Tank Design'!$F$9,'Res. Tank Design'!$F$9,'Res. Tank Design'!$D$9)</f>
        <v>7.4527000000000001</v>
      </c>
      <c r="BS10" s="10">
        <f>IF('Res. Tank Design'!$F$9,'Res. Tank Design'!$F$9,'Res. Tank Design'!$D$9)</f>
        <v>7.4527000000000001</v>
      </c>
      <c r="BT10" s="10">
        <f>IF('Res. Tank Design'!$F$9,'Res. Tank Design'!$F$9,'Res. Tank Design'!$D$9)</f>
        <v>7.4527000000000001</v>
      </c>
      <c r="BU10" s="10">
        <f>IF('Res. Tank Design'!$F$9,'Res. Tank Design'!$F$9,'Res. Tank Design'!$D$9)</f>
        <v>7.4527000000000001</v>
      </c>
      <c r="BV10" s="10">
        <f>IF('Res. Tank Design'!$F$9,'Res. Tank Design'!$F$9,'Res. Tank Design'!$D$9)</f>
        <v>7.4527000000000001</v>
      </c>
      <c r="BW10" s="10">
        <f>IF('Res. Tank Design'!$F$9,'Res. Tank Design'!$F$9,'Res. Tank Design'!$D$9)</f>
        <v>7.4527000000000001</v>
      </c>
      <c r="BX10" s="10">
        <f>IF('Res. Tank Design'!$F$9,'Res. Tank Design'!$F$9,'Res. Tank Design'!$D$9)</f>
        <v>7.4527000000000001</v>
      </c>
      <c r="BY10" s="10">
        <f>IF('Res. Tank Design'!$F$9,'Res. Tank Design'!$F$9,'Res. Tank Design'!$D$9)</f>
        <v>7.4527000000000001</v>
      </c>
      <c r="BZ10" s="10">
        <f>IF('Res. Tank Design'!$F$9,'Res. Tank Design'!$F$9,'Res. Tank Design'!$D$9)</f>
        <v>7.4527000000000001</v>
      </c>
      <c r="CA10" s="10">
        <f>IF('Res. Tank Design'!$F$9,'Res. Tank Design'!$F$9,'Res. Tank Design'!$D$9)</f>
        <v>7.4527000000000001</v>
      </c>
      <c r="CB10" s="10">
        <f>IF('Res. Tank Design'!$F$9,'Res. Tank Design'!$F$9,'Res. Tank Design'!$D$9)</f>
        <v>7.4527000000000001</v>
      </c>
      <c r="CC10" s="10">
        <f>IF('Res. Tank Design'!$F$9,'Res. Tank Design'!$F$9,'Res. Tank Design'!$D$9)</f>
        <v>7.4527000000000001</v>
      </c>
      <c r="CD10" s="10">
        <f>IF('Res. Tank Design'!$F$9,'Res. Tank Design'!$F$9,'Res. Tank Design'!$D$9)</f>
        <v>7.4527000000000001</v>
      </c>
      <c r="CE10" s="10">
        <f>IF('Res. Tank Design'!$F$9,'Res. Tank Design'!$F$9,'Res. Tank Design'!$D$9)</f>
        <v>7.4527000000000001</v>
      </c>
      <c r="CF10" s="10">
        <f>IF('Res. Tank Design'!$F$9,'Res. Tank Design'!$F$9,'Res. Tank Design'!$D$9)</f>
        <v>7.4527000000000001</v>
      </c>
      <c r="CG10" s="10">
        <f>IF('Res. Tank Design'!$F$9,'Res. Tank Design'!$F$9,'Res. Tank Design'!$D$9)</f>
        <v>7.4527000000000001</v>
      </c>
    </row>
    <row r="11" spans="2:86" ht="16.5" customHeight="1">
      <c r="B11" s="10" t="s">
        <v>210</v>
      </c>
      <c r="C11" s="10">
        <f>'Design Spec'!$D$107</f>
        <v>1</v>
      </c>
      <c r="D11" s="10">
        <f>'Design Spec'!$D$107</f>
        <v>1</v>
      </c>
      <c r="E11" s="10">
        <f>'Design Spec'!$D$107</f>
        <v>1</v>
      </c>
      <c r="F11" s="10">
        <f>'Design Spec'!$D$107</f>
        <v>1</v>
      </c>
      <c r="G11" s="10">
        <f>'Design Spec'!$D$107</f>
        <v>1</v>
      </c>
      <c r="H11" s="10">
        <f>'Design Spec'!$D$107</f>
        <v>1</v>
      </c>
      <c r="I11" s="10">
        <f>'Design Spec'!$D$107</f>
        <v>1</v>
      </c>
      <c r="J11" s="10">
        <f>'Design Spec'!$D$107</f>
        <v>1</v>
      </c>
      <c r="K11" s="10">
        <f>'Design Spec'!$D$107</f>
        <v>1</v>
      </c>
      <c r="L11" s="10">
        <f>'Design Spec'!$D$107</f>
        <v>1</v>
      </c>
      <c r="M11" s="10">
        <f>'Design Spec'!$D$107</f>
        <v>1</v>
      </c>
      <c r="N11" s="10">
        <f>'Design Spec'!$D$107</f>
        <v>1</v>
      </c>
      <c r="O11" s="10">
        <f>'Design Spec'!$D$107</f>
        <v>1</v>
      </c>
      <c r="P11" s="10">
        <f>'Design Spec'!$D$107</f>
        <v>1</v>
      </c>
      <c r="Q11" s="10">
        <f>'Design Spec'!$D$107</f>
        <v>1</v>
      </c>
      <c r="R11" s="10">
        <f>'Design Spec'!$D$107</f>
        <v>1</v>
      </c>
      <c r="S11" s="10">
        <f>'Design Spec'!$D$107</f>
        <v>1</v>
      </c>
      <c r="T11" s="10">
        <f>'Design Spec'!$D$107</f>
        <v>1</v>
      </c>
      <c r="U11" s="10">
        <f>'Design Spec'!$D$107</f>
        <v>1</v>
      </c>
      <c r="V11" s="10">
        <f>'Design Spec'!$D$107</f>
        <v>1</v>
      </c>
      <c r="W11" s="10">
        <f>'Design Spec'!$D$107</f>
        <v>1</v>
      </c>
      <c r="X11" s="10">
        <f>'Design Spec'!$D$107</f>
        <v>1</v>
      </c>
      <c r="Y11" s="10">
        <f>'Design Spec'!$D$107</f>
        <v>1</v>
      </c>
      <c r="Z11" s="10">
        <f>'Design Spec'!$D$107</f>
        <v>1</v>
      </c>
      <c r="AA11" s="10">
        <f>'Design Spec'!$D$107</f>
        <v>1</v>
      </c>
      <c r="AB11" s="10">
        <f>'Design Spec'!$D$107</f>
        <v>1</v>
      </c>
      <c r="AC11" s="10">
        <f>'Design Spec'!$D$107</f>
        <v>1</v>
      </c>
      <c r="AD11" s="10">
        <f>'Design Spec'!$D$107</f>
        <v>1</v>
      </c>
      <c r="AE11" s="10">
        <f>'Design Spec'!$D$107</f>
        <v>1</v>
      </c>
      <c r="AF11" s="10">
        <f>'Design Spec'!$D$107</f>
        <v>1</v>
      </c>
      <c r="AG11" s="10">
        <f>'Design Spec'!$D$107</f>
        <v>1</v>
      </c>
      <c r="AH11" s="10">
        <f>'Design Spec'!$D$107</f>
        <v>1</v>
      </c>
      <c r="AI11" s="10">
        <f>'Design Spec'!$D$107</f>
        <v>1</v>
      </c>
      <c r="AJ11" s="10">
        <f>'Design Spec'!$D$107</f>
        <v>1</v>
      </c>
      <c r="AK11" s="10">
        <f>'Design Spec'!$D$107</f>
        <v>1</v>
      </c>
      <c r="AL11" s="10">
        <f>'Design Spec'!$D$107</f>
        <v>1</v>
      </c>
      <c r="AM11" s="10">
        <f>'Design Spec'!$D$107</f>
        <v>1</v>
      </c>
      <c r="AN11" s="10">
        <f>'Design Spec'!$D$107</f>
        <v>1</v>
      </c>
      <c r="AO11" s="10">
        <f>'Design Spec'!$D$107</f>
        <v>1</v>
      </c>
      <c r="AP11" s="10">
        <f>'Design Spec'!$D$107</f>
        <v>1</v>
      </c>
      <c r="AQ11" s="10">
        <f>'Design Spec'!$D$107</f>
        <v>1</v>
      </c>
      <c r="AR11" s="10">
        <f>'Design Spec'!$D$107</f>
        <v>1</v>
      </c>
      <c r="AS11" s="10">
        <f>'Design Spec'!$D$107</f>
        <v>1</v>
      </c>
      <c r="AT11" s="10">
        <f>'Design Spec'!$D$107</f>
        <v>1</v>
      </c>
      <c r="AU11" s="10">
        <f>'Design Spec'!$D$107</f>
        <v>1</v>
      </c>
      <c r="AV11" s="10">
        <f>'Design Spec'!$D$107</f>
        <v>1</v>
      </c>
      <c r="AW11" s="10">
        <f>'Design Spec'!$D$107</f>
        <v>1</v>
      </c>
      <c r="AX11" s="10">
        <f>'Design Spec'!$D$107</f>
        <v>1</v>
      </c>
      <c r="AY11" s="10">
        <f>'Design Spec'!$D$107</f>
        <v>1</v>
      </c>
      <c r="AZ11" s="10">
        <f>'Design Spec'!$D$107</f>
        <v>1</v>
      </c>
      <c r="BA11" s="10">
        <f>'Design Spec'!$D$107</f>
        <v>1</v>
      </c>
      <c r="BB11" s="10">
        <f>'Design Spec'!$D$107</f>
        <v>1</v>
      </c>
      <c r="BC11" s="10">
        <f>'Design Spec'!$D$107</f>
        <v>1</v>
      </c>
      <c r="BD11" s="10">
        <f>'Design Spec'!$D$107</f>
        <v>1</v>
      </c>
      <c r="BE11" s="10">
        <f>'Design Spec'!$D$107</f>
        <v>1</v>
      </c>
      <c r="BF11" s="10">
        <f>'Design Spec'!$D$107</f>
        <v>1</v>
      </c>
      <c r="BG11" s="10">
        <f>'Design Spec'!$D$107</f>
        <v>1</v>
      </c>
      <c r="BH11" s="10">
        <f>'Design Spec'!$D$107</f>
        <v>1</v>
      </c>
      <c r="BI11" s="10">
        <f>'Design Spec'!$D$107</f>
        <v>1</v>
      </c>
      <c r="BJ11" s="10">
        <f>'Design Spec'!$D$107</f>
        <v>1</v>
      </c>
      <c r="BK11" s="10">
        <f>'Design Spec'!$D$107</f>
        <v>1</v>
      </c>
      <c r="BL11" s="10">
        <f>'Design Spec'!$D$107</f>
        <v>1</v>
      </c>
      <c r="BM11" s="10">
        <f>'Design Spec'!$D$107</f>
        <v>1</v>
      </c>
      <c r="BN11" s="10">
        <f>'Design Spec'!$D$107</f>
        <v>1</v>
      </c>
      <c r="BO11" s="10">
        <f>'Design Spec'!$D$107</f>
        <v>1</v>
      </c>
      <c r="BP11" s="10">
        <f>'Design Spec'!$D$107</f>
        <v>1</v>
      </c>
      <c r="BQ11" s="10">
        <f>'Design Spec'!$D$107</f>
        <v>1</v>
      </c>
      <c r="BR11" s="10">
        <f>'Design Spec'!$D$107</f>
        <v>1</v>
      </c>
      <c r="BS11" s="10">
        <f>'Design Spec'!$D$107</f>
        <v>1</v>
      </c>
      <c r="BT11" s="10">
        <f>'Design Spec'!$D$107</f>
        <v>1</v>
      </c>
      <c r="BU11" s="10">
        <f>'Design Spec'!$D$107</f>
        <v>1</v>
      </c>
      <c r="BV11" s="10">
        <f>'Design Spec'!$D$107</f>
        <v>1</v>
      </c>
      <c r="BW11" s="10">
        <f>'Design Spec'!$D$107</f>
        <v>1</v>
      </c>
      <c r="BX11" s="10">
        <f>'Design Spec'!$D$107</f>
        <v>1</v>
      </c>
      <c r="BY11" s="10">
        <f>'Design Spec'!$D$107</f>
        <v>1</v>
      </c>
      <c r="BZ11" s="10">
        <f>'Design Spec'!$D$107</f>
        <v>1</v>
      </c>
      <c r="CA11" s="10">
        <f>'Design Spec'!$D$107</f>
        <v>1</v>
      </c>
      <c r="CB11" s="10">
        <f>'Design Spec'!$D$107</f>
        <v>1</v>
      </c>
      <c r="CC11" s="10">
        <f>'Design Spec'!$D$107</f>
        <v>1</v>
      </c>
      <c r="CD11" s="10">
        <f>'Design Spec'!$D$107</f>
        <v>1</v>
      </c>
      <c r="CE11" s="10">
        <f>'Design Spec'!$D$107</f>
        <v>1</v>
      </c>
      <c r="CF11" s="10">
        <f>'Design Spec'!$D$107</f>
        <v>1</v>
      </c>
      <c r="CG11" s="10">
        <f>'Design Spec'!$D$107</f>
        <v>1</v>
      </c>
    </row>
    <row r="12" spans="2:86" ht="16.5" customHeight="1">
      <c r="B12" s="10" t="s">
        <v>776</v>
      </c>
      <c r="C12" s="10">
        <f>'Design Spec'!$D$98</f>
        <v>657.5</v>
      </c>
      <c r="D12" s="10">
        <f>'Design Spec'!$D$98</f>
        <v>657.5</v>
      </c>
      <c r="E12" s="10">
        <f>'Design Spec'!$D$98</f>
        <v>657.5</v>
      </c>
      <c r="F12" s="10">
        <f>'Design Spec'!$D$98</f>
        <v>657.5</v>
      </c>
      <c r="G12" s="10">
        <f>'Design Spec'!$D$98</f>
        <v>657.5</v>
      </c>
      <c r="H12" s="10">
        <f>'Design Spec'!$D$98</f>
        <v>657.5</v>
      </c>
      <c r="I12" s="10">
        <f>'Design Spec'!$D$98</f>
        <v>657.5</v>
      </c>
      <c r="J12" s="10">
        <f>'Design Spec'!$D$98</f>
        <v>657.5</v>
      </c>
      <c r="K12" s="10">
        <f>'Design Spec'!$D$98</f>
        <v>657.5</v>
      </c>
      <c r="L12" s="10">
        <f>'Design Spec'!$D$98</f>
        <v>657.5</v>
      </c>
      <c r="M12" s="10">
        <f>'Design Spec'!$D$98</f>
        <v>657.5</v>
      </c>
      <c r="N12" s="10">
        <f>'Design Spec'!$D$98</f>
        <v>657.5</v>
      </c>
      <c r="O12" s="10">
        <f>'Design Spec'!$D$98</f>
        <v>657.5</v>
      </c>
      <c r="P12" s="10">
        <f>'Design Spec'!$D$98</f>
        <v>657.5</v>
      </c>
      <c r="Q12" s="10">
        <f>'Design Spec'!$D$98</f>
        <v>657.5</v>
      </c>
      <c r="R12" s="10">
        <f>'Design Spec'!$D$98</f>
        <v>657.5</v>
      </c>
      <c r="S12" s="10">
        <f>'Design Spec'!$D$98</f>
        <v>657.5</v>
      </c>
      <c r="T12" s="10">
        <f>'Design Spec'!$D$98</f>
        <v>657.5</v>
      </c>
      <c r="U12" s="10">
        <f>'Design Spec'!$D$98</f>
        <v>657.5</v>
      </c>
      <c r="V12" s="10">
        <f>'Design Spec'!$D$98</f>
        <v>657.5</v>
      </c>
      <c r="W12" s="10">
        <f>'Design Spec'!$D$98</f>
        <v>657.5</v>
      </c>
      <c r="X12" s="10">
        <f>'Design Spec'!$D$98</f>
        <v>657.5</v>
      </c>
      <c r="Y12" s="10">
        <f>'Design Spec'!$D$98</f>
        <v>657.5</v>
      </c>
      <c r="Z12" s="10">
        <f>'Design Spec'!$D$98</f>
        <v>657.5</v>
      </c>
      <c r="AA12" s="10">
        <f>'Design Spec'!$D$98</f>
        <v>657.5</v>
      </c>
      <c r="AB12" s="10">
        <f>'Design Spec'!$D$98</f>
        <v>657.5</v>
      </c>
      <c r="AC12" s="10">
        <f>'Design Spec'!$D$98</f>
        <v>657.5</v>
      </c>
      <c r="AD12" s="10">
        <f>'Design Spec'!$D$98</f>
        <v>657.5</v>
      </c>
      <c r="AE12" s="10">
        <f>'Design Spec'!$D$98</f>
        <v>657.5</v>
      </c>
      <c r="AF12" s="10">
        <f>'Design Spec'!$D$98</f>
        <v>657.5</v>
      </c>
      <c r="AG12" s="10">
        <f>'Design Spec'!$D$98</f>
        <v>657.5</v>
      </c>
      <c r="AH12" s="10">
        <f>'Design Spec'!$D$98</f>
        <v>657.5</v>
      </c>
      <c r="AI12" s="10">
        <f>'Design Spec'!$D$98</f>
        <v>657.5</v>
      </c>
      <c r="AJ12" s="10">
        <f>'Design Spec'!$D$98</f>
        <v>657.5</v>
      </c>
      <c r="AK12" s="10">
        <f>'Design Spec'!$D$98</f>
        <v>657.5</v>
      </c>
      <c r="AL12" s="10">
        <f>'Design Spec'!$D$98</f>
        <v>657.5</v>
      </c>
      <c r="AM12" s="10">
        <f>'Design Spec'!$D$98</f>
        <v>657.5</v>
      </c>
      <c r="AN12" s="10">
        <f>'Design Spec'!$D$98</f>
        <v>657.5</v>
      </c>
      <c r="AO12" s="10">
        <f>'Design Spec'!$D$98</f>
        <v>657.5</v>
      </c>
      <c r="AP12" s="10">
        <f>'Design Spec'!$D$98</f>
        <v>657.5</v>
      </c>
      <c r="AQ12" s="10">
        <f>'Design Spec'!$D$98</f>
        <v>657.5</v>
      </c>
      <c r="AR12" s="10">
        <f>'Design Spec'!$D$98</f>
        <v>657.5</v>
      </c>
      <c r="AS12" s="10">
        <f>'Design Spec'!$D$98</f>
        <v>657.5</v>
      </c>
      <c r="AT12" s="10">
        <f>'Design Spec'!$D$98</f>
        <v>657.5</v>
      </c>
      <c r="AU12" s="10">
        <f>'Design Spec'!$D$98</f>
        <v>657.5</v>
      </c>
      <c r="AV12" s="10">
        <f>'Design Spec'!$D$98</f>
        <v>657.5</v>
      </c>
      <c r="AW12" s="10">
        <f>'Design Spec'!$D$98</f>
        <v>657.5</v>
      </c>
      <c r="AX12" s="10">
        <f>'Design Spec'!$D$98</f>
        <v>657.5</v>
      </c>
      <c r="AY12" s="10">
        <f>'Design Spec'!$D$98</f>
        <v>657.5</v>
      </c>
      <c r="AZ12" s="10">
        <f>'Design Spec'!$D$98</f>
        <v>657.5</v>
      </c>
      <c r="BA12" s="10">
        <f>'Design Spec'!$D$98</f>
        <v>657.5</v>
      </c>
      <c r="BB12" s="10">
        <f>'Design Spec'!$D$98</f>
        <v>657.5</v>
      </c>
      <c r="BC12" s="10">
        <f>'Design Spec'!$D$98</f>
        <v>657.5</v>
      </c>
      <c r="BD12" s="10">
        <f>'Design Spec'!$D$98</f>
        <v>657.5</v>
      </c>
      <c r="BE12" s="10">
        <f>'Design Spec'!$D$98</f>
        <v>657.5</v>
      </c>
      <c r="BF12" s="10">
        <f>'Design Spec'!$D$98</f>
        <v>657.5</v>
      </c>
      <c r="BG12" s="10">
        <f>'Design Spec'!$D$98</f>
        <v>657.5</v>
      </c>
      <c r="BH12" s="10">
        <f>'Design Spec'!$D$98</f>
        <v>657.5</v>
      </c>
      <c r="BI12" s="10">
        <f>'Design Spec'!$D$98</f>
        <v>657.5</v>
      </c>
      <c r="BJ12" s="10">
        <f>'Design Spec'!$D$98</f>
        <v>657.5</v>
      </c>
      <c r="BK12" s="10">
        <f>'Design Spec'!$D$98</f>
        <v>657.5</v>
      </c>
      <c r="BL12" s="10">
        <f>'Design Spec'!$D$98</f>
        <v>657.5</v>
      </c>
      <c r="BM12" s="10">
        <f>'Design Spec'!$D$98</f>
        <v>657.5</v>
      </c>
      <c r="BN12" s="10">
        <f>'Design Spec'!$D$98</f>
        <v>657.5</v>
      </c>
      <c r="BO12" s="10">
        <f>'Design Spec'!$D$98</f>
        <v>657.5</v>
      </c>
      <c r="BP12" s="10">
        <f>'Design Spec'!$D$98</f>
        <v>657.5</v>
      </c>
      <c r="BQ12" s="10">
        <f>'Design Spec'!$D$98</f>
        <v>657.5</v>
      </c>
      <c r="BR12" s="10">
        <f>'Design Spec'!$D$98</f>
        <v>657.5</v>
      </c>
      <c r="BS12" s="10">
        <f>'Design Spec'!$D$98</f>
        <v>657.5</v>
      </c>
      <c r="BT12" s="10">
        <f>'Design Spec'!$D$98</f>
        <v>657.5</v>
      </c>
      <c r="BU12" s="10">
        <f>'Design Spec'!$D$98</f>
        <v>657.5</v>
      </c>
      <c r="BV12" s="10">
        <f>'Design Spec'!$D$98</f>
        <v>657.5</v>
      </c>
      <c r="BW12" s="10">
        <f>'Design Spec'!$D$98</f>
        <v>657.5</v>
      </c>
      <c r="BX12" s="10">
        <f>'Design Spec'!$D$98</f>
        <v>657.5</v>
      </c>
      <c r="BY12" s="10">
        <f>'Design Spec'!$D$98</f>
        <v>657.5</v>
      </c>
      <c r="BZ12" s="10">
        <f>'Design Spec'!$D$98</f>
        <v>657.5</v>
      </c>
      <c r="CA12" s="10">
        <f>'Design Spec'!$D$98</f>
        <v>657.5</v>
      </c>
      <c r="CB12" s="10">
        <f>'Design Spec'!$D$98</f>
        <v>657.5</v>
      </c>
      <c r="CC12" s="10">
        <f>'Design Spec'!$D$98</f>
        <v>657.5</v>
      </c>
      <c r="CD12" s="10">
        <f>'Design Spec'!$D$98</f>
        <v>657.5</v>
      </c>
      <c r="CE12" s="10">
        <f>'Design Spec'!$D$98</f>
        <v>657.5</v>
      </c>
      <c r="CF12" s="10">
        <f>'Design Spec'!$D$98</f>
        <v>657.5</v>
      </c>
      <c r="CG12" s="10">
        <f>'Design Spec'!$D$98</f>
        <v>657.5</v>
      </c>
    </row>
    <row r="13" spans="2:86" ht="16.5" customHeight="1">
      <c r="B13" s="162" t="s">
        <v>777</v>
      </c>
      <c r="C13" s="162">
        <f t="shared" ref="C13:AH13" si="0">C12/4*3</f>
        <v>493.125</v>
      </c>
      <c r="D13" s="162">
        <f t="shared" si="0"/>
        <v>493.125</v>
      </c>
      <c r="E13" s="162">
        <f t="shared" si="0"/>
        <v>493.125</v>
      </c>
      <c r="F13" s="162">
        <f t="shared" si="0"/>
        <v>493.125</v>
      </c>
      <c r="G13" s="162">
        <f t="shared" si="0"/>
        <v>493.125</v>
      </c>
      <c r="H13" s="162">
        <f t="shared" si="0"/>
        <v>493.125</v>
      </c>
      <c r="I13" s="162">
        <f t="shared" si="0"/>
        <v>493.125</v>
      </c>
      <c r="J13" s="162">
        <f t="shared" si="0"/>
        <v>493.125</v>
      </c>
      <c r="K13" s="162">
        <f t="shared" si="0"/>
        <v>493.125</v>
      </c>
      <c r="L13" s="162">
        <f t="shared" si="0"/>
        <v>493.125</v>
      </c>
      <c r="M13" s="162">
        <f t="shared" si="0"/>
        <v>493.125</v>
      </c>
      <c r="N13" s="162">
        <f t="shared" si="0"/>
        <v>493.125</v>
      </c>
      <c r="O13" s="162">
        <f t="shared" si="0"/>
        <v>493.125</v>
      </c>
      <c r="P13" s="162">
        <f t="shared" si="0"/>
        <v>493.125</v>
      </c>
      <c r="Q13" s="162">
        <f t="shared" si="0"/>
        <v>493.125</v>
      </c>
      <c r="R13" s="162">
        <f t="shared" si="0"/>
        <v>493.125</v>
      </c>
      <c r="S13" s="162">
        <f t="shared" si="0"/>
        <v>493.125</v>
      </c>
      <c r="T13" s="162">
        <f t="shared" si="0"/>
        <v>493.125</v>
      </c>
      <c r="U13" s="162">
        <f t="shared" si="0"/>
        <v>493.125</v>
      </c>
      <c r="V13" s="162">
        <f t="shared" si="0"/>
        <v>493.125</v>
      </c>
      <c r="W13" s="162">
        <f t="shared" si="0"/>
        <v>493.125</v>
      </c>
      <c r="X13" s="162">
        <f t="shared" si="0"/>
        <v>493.125</v>
      </c>
      <c r="Y13" s="162">
        <f t="shared" si="0"/>
        <v>493.125</v>
      </c>
      <c r="Z13" s="162">
        <f t="shared" si="0"/>
        <v>493.125</v>
      </c>
      <c r="AA13" s="162">
        <f t="shared" si="0"/>
        <v>493.125</v>
      </c>
      <c r="AB13" s="162">
        <f t="shared" si="0"/>
        <v>493.125</v>
      </c>
      <c r="AC13" s="162">
        <f t="shared" si="0"/>
        <v>493.125</v>
      </c>
      <c r="AD13" s="162">
        <f t="shared" si="0"/>
        <v>493.125</v>
      </c>
      <c r="AE13" s="162">
        <f t="shared" si="0"/>
        <v>493.125</v>
      </c>
      <c r="AF13" s="162">
        <f t="shared" si="0"/>
        <v>493.125</v>
      </c>
      <c r="AG13" s="162">
        <f t="shared" si="0"/>
        <v>493.125</v>
      </c>
      <c r="AH13" s="162">
        <f t="shared" si="0"/>
        <v>493.125</v>
      </c>
      <c r="AI13" s="162">
        <f t="shared" ref="AI13:BN13" si="1">AI12/4*3</f>
        <v>493.125</v>
      </c>
      <c r="AJ13" s="162">
        <f t="shared" si="1"/>
        <v>493.125</v>
      </c>
      <c r="AK13" s="162">
        <f t="shared" si="1"/>
        <v>493.125</v>
      </c>
      <c r="AL13" s="162">
        <f t="shared" si="1"/>
        <v>493.125</v>
      </c>
      <c r="AM13" s="162">
        <f t="shared" si="1"/>
        <v>493.125</v>
      </c>
      <c r="AN13" s="162">
        <f t="shared" si="1"/>
        <v>493.125</v>
      </c>
      <c r="AO13" s="162">
        <f t="shared" si="1"/>
        <v>493.125</v>
      </c>
      <c r="AP13" s="162">
        <f t="shared" si="1"/>
        <v>493.125</v>
      </c>
      <c r="AQ13" s="162">
        <f t="shared" si="1"/>
        <v>493.125</v>
      </c>
      <c r="AR13" s="162">
        <f t="shared" si="1"/>
        <v>493.125</v>
      </c>
      <c r="AS13" s="162">
        <f t="shared" si="1"/>
        <v>493.125</v>
      </c>
      <c r="AT13" s="162">
        <f t="shared" si="1"/>
        <v>493.125</v>
      </c>
      <c r="AU13" s="162">
        <f t="shared" si="1"/>
        <v>493.125</v>
      </c>
      <c r="AV13" s="162">
        <f t="shared" si="1"/>
        <v>493.125</v>
      </c>
      <c r="AW13" s="162">
        <f t="shared" si="1"/>
        <v>493.125</v>
      </c>
      <c r="AX13" s="162">
        <f t="shared" si="1"/>
        <v>493.125</v>
      </c>
      <c r="AY13" s="162">
        <f t="shared" si="1"/>
        <v>493.125</v>
      </c>
      <c r="AZ13" s="162">
        <f t="shared" si="1"/>
        <v>493.125</v>
      </c>
      <c r="BA13" s="162">
        <f t="shared" si="1"/>
        <v>493.125</v>
      </c>
      <c r="BB13" s="162">
        <f t="shared" si="1"/>
        <v>493.125</v>
      </c>
      <c r="BC13" s="162">
        <f t="shared" si="1"/>
        <v>493.125</v>
      </c>
      <c r="BD13" s="162">
        <f t="shared" si="1"/>
        <v>493.125</v>
      </c>
      <c r="BE13" s="162">
        <f t="shared" si="1"/>
        <v>493.125</v>
      </c>
      <c r="BF13" s="162">
        <f t="shared" si="1"/>
        <v>493.125</v>
      </c>
      <c r="BG13" s="162">
        <f t="shared" si="1"/>
        <v>493.125</v>
      </c>
      <c r="BH13" s="162">
        <f t="shared" si="1"/>
        <v>493.125</v>
      </c>
      <c r="BI13" s="162">
        <f t="shared" si="1"/>
        <v>493.125</v>
      </c>
      <c r="BJ13" s="162">
        <f t="shared" si="1"/>
        <v>493.125</v>
      </c>
      <c r="BK13" s="162">
        <f t="shared" si="1"/>
        <v>493.125</v>
      </c>
      <c r="BL13" s="162">
        <f t="shared" si="1"/>
        <v>493.125</v>
      </c>
      <c r="BM13" s="162">
        <f t="shared" si="1"/>
        <v>493.125</v>
      </c>
      <c r="BN13" s="162">
        <f t="shared" si="1"/>
        <v>493.125</v>
      </c>
      <c r="BO13" s="162">
        <f t="shared" ref="BO13:CG13" si="2">BO12/4*3</f>
        <v>493.125</v>
      </c>
      <c r="BP13" s="162">
        <f t="shared" si="2"/>
        <v>493.125</v>
      </c>
      <c r="BQ13" s="162">
        <f t="shared" si="2"/>
        <v>493.125</v>
      </c>
      <c r="BR13" s="162">
        <f t="shared" si="2"/>
        <v>493.125</v>
      </c>
      <c r="BS13" s="162">
        <f t="shared" si="2"/>
        <v>493.125</v>
      </c>
      <c r="BT13" s="162">
        <f t="shared" si="2"/>
        <v>493.125</v>
      </c>
      <c r="BU13" s="162">
        <f t="shared" si="2"/>
        <v>493.125</v>
      </c>
      <c r="BV13" s="162">
        <f t="shared" si="2"/>
        <v>493.125</v>
      </c>
      <c r="BW13" s="162">
        <f t="shared" si="2"/>
        <v>493.125</v>
      </c>
      <c r="BX13" s="162">
        <f t="shared" si="2"/>
        <v>493.125</v>
      </c>
      <c r="BY13" s="162">
        <f t="shared" si="2"/>
        <v>493.125</v>
      </c>
      <c r="BZ13" s="162">
        <f t="shared" si="2"/>
        <v>493.125</v>
      </c>
      <c r="CA13" s="162">
        <f t="shared" si="2"/>
        <v>493.125</v>
      </c>
      <c r="CB13" s="162">
        <f t="shared" si="2"/>
        <v>493.125</v>
      </c>
      <c r="CC13" s="162">
        <f t="shared" si="2"/>
        <v>493.125</v>
      </c>
      <c r="CD13" s="162">
        <f t="shared" si="2"/>
        <v>493.125</v>
      </c>
      <c r="CE13" s="162">
        <f t="shared" si="2"/>
        <v>493.125</v>
      </c>
      <c r="CF13" s="162">
        <f t="shared" si="2"/>
        <v>493.125</v>
      </c>
      <c r="CG13" s="162">
        <f t="shared" si="2"/>
        <v>493.125</v>
      </c>
      <c r="CH13" s="162"/>
    </row>
    <row r="14" spans="2:86" ht="16.5" customHeight="1">
      <c r="B14" s="162" t="s">
        <v>778</v>
      </c>
      <c r="C14" s="162">
        <f t="shared" ref="C14:AH14" si="3">C12/2</f>
        <v>328.75</v>
      </c>
      <c r="D14" s="162">
        <f t="shared" si="3"/>
        <v>328.75</v>
      </c>
      <c r="E14" s="162">
        <f t="shared" si="3"/>
        <v>328.75</v>
      </c>
      <c r="F14" s="162">
        <f t="shared" si="3"/>
        <v>328.75</v>
      </c>
      <c r="G14" s="162">
        <f t="shared" si="3"/>
        <v>328.75</v>
      </c>
      <c r="H14" s="162">
        <f t="shared" si="3"/>
        <v>328.75</v>
      </c>
      <c r="I14" s="162">
        <f t="shared" si="3"/>
        <v>328.75</v>
      </c>
      <c r="J14" s="162">
        <f t="shared" si="3"/>
        <v>328.75</v>
      </c>
      <c r="K14" s="162">
        <f t="shared" si="3"/>
        <v>328.75</v>
      </c>
      <c r="L14" s="162">
        <f t="shared" si="3"/>
        <v>328.75</v>
      </c>
      <c r="M14" s="162">
        <f t="shared" si="3"/>
        <v>328.75</v>
      </c>
      <c r="N14" s="162">
        <f t="shared" si="3"/>
        <v>328.75</v>
      </c>
      <c r="O14" s="162">
        <f t="shared" si="3"/>
        <v>328.75</v>
      </c>
      <c r="P14" s="162">
        <f t="shared" si="3"/>
        <v>328.75</v>
      </c>
      <c r="Q14" s="162">
        <f t="shared" si="3"/>
        <v>328.75</v>
      </c>
      <c r="R14" s="162">
        <f t="shared" si="3"/>
        <v>328.75</v>
      </c>
      <c r="S14" s="162">
        <f t="shared" si="3"/>
        <v>328.75</v>
      </c>
      <c r="T14" s="162">
        <f t="shared" si="3"/>
        <v>328.75</v>
      </c>
      <c r="U14" s="162">
        <f t="shared" si="3"/>
        <v>328.75</v>
      </c>
      <c r="V14" s="162">
        <f t="shared" si="3"/>
        <v>328.75</v>
      </c>
      <c r="W14" s="162">
        <f t="shared" si="3"/>
        <v>328.75</v>
      </c>
      <c r="X14" s="162">
        <f t="shared" si="3"/>
        <v>328.75</v>
      </c>
      <c r="Y14" s="162">
        <f t="shared" si="3"/>
        <v>328.75</v>
      </c>
      <c r="Z14" s="162">
        <f t="shared" si="3"/>
        <v>328.75</v>
      </c>
      <c r="AA14" s="162">
        <f t="shared" si="3"/>
        <v>328.75</v>
      </c>
      <c r="AB14" s="162">
        <f t="shared" si="3"/>
        <v>328.75</v>
      </c>
      <c r="AC14" s="162">
        <f t="shared" si="3"/>
        <v>328.75</v>
      </c>
      <c r="AD14" s="162">
        <f t="shared" si="3"/>
        <v>328.75</v>
      </c>
      <c r="AE14" s="162">
        <f t="shared" si="3"/>
        <v>328.75</v>
      </c>
      <c r="AF14" s="162">
        <f t="shared" si="3"/>
        <v>328.75</v>
      </c>
      <c r="AG14" s="162">
        <f t="shared" si="3"/>
        <v>328.75</v>
      </c>
      <c r="AH14" s="162">
        <f t="shared" si="3"/>
        <v>328.75</v>
      </c>
      <c r="AI14" s="162">
        <f t="shared" ref="AI14:BN14" si="4">AI12/2</f>
        <v>328.75</v>
      </c>
      <c r="AJ14" s="162">
        <f t="shared" si="4"/>
        <v>328.75</v>
      </c>
      <c r="AK14" s="162">
        <f t="shared" si="4"/>
        <v>328.75</v>
      </c>
      <c r="AL14" s="162">
        <f t="shared" si="4"/>
        <v>328.75</v>
      </c>
      <c r="AM14" s="162">
        <f t="shared" si="4"/>
        <v>328.75</v>
      </c>
      <c r="AN14" s="162">
        <f t="shared" si="4"/>
        <v>328.75</v>
      </c>
      <c r="AO14" s="162">
        <f t="shared" si="4"/>
        <v>328.75</v>
      </c>
      <c r="AP14" s="162">
        <f t="shared" si="4"/>
        <v>328.75</v>
      </c>
      <c r="AQ14" s="162">
        <f t="shared" si="4"/>
        <v>328.75</v>
      </c>
      <c r="AR14" s="162">
        <f t="shared" si="4"/>
        <v>328.75</v>
      </c>
      <c r="AS14" s="162">
        <f t="shared" si="4"/>
        <v>328.75</v>
      </c>
      <c r="AT14" s="162">
        <f t="shared" si="4"/>
        <v>328.75</v>
      </c>
      <c r="AU14" s="162">
        <f t="shared" si="4"/>
        <v>328.75</v>
      </c>
      <c r="AV14" s="162">
        <f t="shared" si="4"/>
        <v>328.75</v>
      </c>
      <c r="AW14" s="162">
        <f t="shared" si="4"/>
        <v>328.75</v>
      </c>
      <c r="AX14" s="162">
        <f t="shared" si="4"/>
        <v>328.75</v>
      </c>
      <c r="AY14" s="162">
        <f t="shared" si="4"/>
        <v>328.75</v>
      </c>
      <c r="AZ14" s="162">
        <f t="shared" si="4"/>
        <v>328.75</v>
      </c>
      <c r="BA14" s="162">
        <f t="shared" si="4"/>
        <v>328.75</v>
      </c>
      <c r="BB14" s="162">
        <f t="shared" si="4"/>
        <v>328.75</v>
      </c>
      <c r="BC14" s="162">
        <f t="shared" si="4"/>
        <v>328.75</v>
      </c>
      <c r="BD14" s="162">
        <f t="shared" si="4"/>
        <v>328.75</v>
      </c>
      <c r="BE14" s="162">
        <f t="shared" si="4"/>
        <v>328.75</v>
      </c>
      <c r="BF14" s="162">
        <f t="shared" si="4"/>
        <v>328.75</v>
      </c>
      <c r="BG14" s="162">
        <f t="shared" si="4"/>
        <v>328.75</v>
      </c>
      <c r="BH14" s="162">
        <f t="shared" si="4"/>
        <v>328.75</v>
      </c>
      <c r="BI14" s="162">
        <f t="shared" si="4"/>
        <v>328.75</v>
      </c>
      <c r="BJ14" s="162">
        <f t="shared" si="4"/>
        <v>328.75</v>
      </c>
      <c r="BK14" s="162">
        <f t="shared" si="4"/>
        <v>328.75</v>
      </c>
      <c r="BL14" s="162">
        <f t="shared" si="4"/>
        <v>328.75</v>
      </c>
      <c r="BM14" s="162">
        <f t="shared" si="4"/>
        <v>328.75</v>
      </c>
      <c r="BN14" s="162">
        <f t="shared" si="4"/>
        <v>328.75</v>
      </c>
      <c r="BO14" s="162">
        <f t="shared" ref="BO14:CG14" si="5">BO12/2</f>
        <v>328.75</v>
      </c>
      <c r="BP14" s="162">
        <f t="shared" si="5"/>
        <v>328.75</v>
      </c>
      <c r="BQ14" s="162">
        <f t="shared" si="5"/>
        <v>328.75</v>
      </c>
      <c r="BR14" s="162">
        <f t="shared" si="5"/>
        <v>328.75</v>
      </c>
      <c r="BS14" s="162">
        <f t="shared" si="5"/>
        <v>328.75</v>
      </c>
      <c r="BT14" s="162">
        <f t="shared" si="5"/>
        <v>328.75</v>
      </c>
      <c r="BU14" s="162">
        <f t="shared" si="5"/>
        <v>328.75</v>
      </c>
      <c r="BV14" s="162">
        <f t="shared" si="5"/>
        <v>328.75</v>
      </c>
      <c r="BW14" s="162">
        <f t="shared" si="5"/>
        <v>328.75</v>
      </c>
      <c r="BX14" s="162">
        <f t="shared" si="5"/>
        <v>328.75</v>
      </c>
      <c r="BY14" s="162">
        <f t="shared" si="5"/>
        <v>328.75</v>
      </c>
      <c r="BZ14" s="162">
        <f t="shared" si="5"/>
        <v>328.75</v>
      </c>
      <c r="CA14" s="162">
        <f t="shared" si="5"/>
        <v>328.75</v>
      </c>
      <c r="CB14" s="162">
        <f t="shared" si="5"/>
        <v>328.75</v>
      </c>
      <c r="CC14" s="162">
        <f t="shared" si="5"/>
        <v>328.75</v>
      </c>
      <c r="CD14" s="162">
        <f t="shared" si="5"/>
        <v>328.75</v>
      </c>
      <c r="CE14" s="162">
        <f t="shared" si="5"/>
        <v>328.75</v>
      </c>
      <c r="CF14" s="162">
        <f t="shared" si="5"/>
        <v>328.75</v>
      </c>
      <c r="CG14" s="162">
        <f t="shared" si="5"/>
        <v>328.75</v>
      </c>
      <c r="CH14" s="162"/>
    </row>
    <row r="15" spans="2:86" ht="16.5" customHeight="1">
      <c r="B15" s="162" t="s">
        <v>779</v>
      </c>
      <c r="C15" s="162">
        <f t="shared" ref="C15:AH15" si="6">C12/4</f>
        <v>164.375</v>
      </c>
      <c r="D15" s="162">
        <f t="shared" si="6"/>
        <v>164.375</v>
      </c>
      <c r="E15" s="162">
        <f t="shared" si="6"/>
        <v>164.375</v>
      </c>
      <c r="F15" s="162">
        <f t="shared" si="6"/>
        <v>164.375</v>
      </c>
      <c r="G15" s="162">
        <f t="shared" si="6"/>
        <v>164.375</v>
      </c>
      <c r="H15" s="162">
        <f t="shared" si="6"/>
        <v>164.375</v>
      </c>
      <c r="I15" s="162">
        <f t="shared" si="6"/>
        <v>164.375</v>
      </c>
      <c r="J15" s="162">
        <f t="shared" si="6"/>
        <v>164.375</v>
      </c>
      <c r="K15" s="162">
        <f t="shared" si="6"/>
        <v>164.375</v>
      </c>
      <c r="L15" s="162">
        <f t="shared" si="6"/>
        <v>164.375</v>
      </c>
      <c r="M15" s="162">
        <f t="shared" si="6"/>
        <v>164.375</v>
      </c>
      <c r="N15" s="162">
        <f t="shared" si="6"/>
        <v>164.375</v>
      </c>
      <c r="O15" s="162">
        <f t="shared" si="6"/>
        <v>164.375</v>
      </c>
      <c r="P15" s="162">
        <f t="shared" si="6"/>
        <v>164.375</v>
      </c>
      <c r="Q15" s="162">
        <f t="shared" si="6"/>
        <v>164.375</v>
      </c>
      <c r="R15" s="162">
        <f t="shared" si="6"/>
        <v>164.375</v>
      </c>
      <c r="S15" s="162">
        <f t="shared" si="6"/>
        <v>164.375</v>
      </c>
      <c r="T15" s="162">
        <f t="shared" si="6"/>
        <v>164.375</v>
      </c>
      <c r="U15" s="162">
        <f t="shared" si="6"/>
        <v>164.375</v>
      </c>
      <c r="V15" s="162">
        <f t="shared" si="6"/>
        <v>164.375</v>
      </c>
      <c r="W15" s="162">
        <f t="shared" si="6"/>
        <v>164.375</v>
      </c>
      <c r="X15" s="162">
        <f t="shared" si="6"/>
        <v>164.375</v>
      </c>
      <c r="Y15" s="162">
        <f t="shared" si="6"/>
        <v>164.375</v>
      </c>
      <c r="Z15" s="162">
        <f t="shared" si="6"/>
        <v>164.375</v>
      </c>
      <c r="AA15" s="162">
        <f t="shared" si="6"/>
        <v>164.375</v>
      </c>
      <c r="AB15" s="162">
        <f t="shared" si="6"/>
        <v>164.375</v>
      </c>
      <c r="AC15" s="162">
        <f t="shared" si="6"/>
        <v>164.375</v>
      </c>
      <c r="AD15" s="162">
        <f t="shared" si="6"/>
        <v>164.375</v>
      </c>
      <c r="AE15" s="162">
        <f t="shared" si="6"/>
        <v>164.375</v>
      </c>
      <c r="AF15" s="162">
        <f t="shared" si="6"/>
        <v>164.375</v>
      </c>
      <c r="AG15" s="162">
        <f t="shared" si="6"/>
        <v>164.375</v>
      </c>
      <c r="AH15" s="162">
        <f t="shared" si="6"/>
        <v>164.375</v>
      </c>
      <c r="AI15" s="162">
        <f t="shared" ref="AI15:BN15" si="7">AI12/4</f>
        <v>164.375</v>
      </c>
      <c r="AJ15" s="162">
        <f t="shared" si="7"/>
        <v>164.375</v>
      </c>
      <c r="AK15" s="162">
        <f t="shared" si="7"/>
        <v>164.375</v>
      </c>
      <c r="AL15" s="162">
        <f t="shared" si="7"/>
        <v>164.375</v>
      </c>
      <c r="AM15" s="162">
        <f t="shared" si="7"/>
        <v>164.375</v>
      </c>
      <c r="AN15" s="162">
        <f t="shared" si="7"/>
        <v>164.375</v>
      </c>
      <c r="AO15" s="162">
        <f t="shared" si="7"/>
        <v>164.375</v>
      </c>
      <c r="AP15" s="162">
        <f t="shared" si="7"/>
        <v>164.375</v>
      </c>
      <c r="AQ15" s="162">
        <f t="shared" si="7"/>
        <v>164.375</v>
      </c>
      <c r="AR15" s="162">
        <f t="shared" si="7"/>
        <v>164.375</v>
      </c>
      <c r="AS15" s="162">
        <f t="shared" si="7"/>
        <v>164.375</v>
      </c>
      <c r="AT15" s="162">
        <f t="shared" si="7"/>
        <v>164.375</v>
      </c>
      <c r="AU15" s="162">
        <f t="shared" si="7"/>
        <v>164.375</v>
      </c>
      <c r="AV15" s="162">
        <f t="shared" si="7"/>
        <v>164.375</v>
      </c>
      <c r="AW15" s="162">
        <f t="shared" si="7"/>
        <v>164.375</v>
      </c>
      <c r="AX15" s="162">
        <f t="shared" si="7"/>
        <v>164.375</v>
      </c>
      <c r="AY15" s="162">
        <f t="shared" si="7"/>
        <v>164.375</v>
      </c>
      <c r="AZ15" s="162">
        <f t="shared" si="7"/>
        <v>164.375</v>
      </c>
      <c r="BA15" s="162">
        <f t="shared" si="7"/>
        <v>164.375</v>
      </c>
      <c r="BB15" s="162">
        <f t="shared" si="7"/>
        <v>164.375</v>
      </c>
      <c r="BC15" s="162">
        <f t="shared" si="7"/>
        <v>164.375</v>
      </c>
      <c r="BD15" s="162">
        <f t="shared" si="7"/>
        <v>164.375</v>
      </c>
      <c r="BE15" s="162">
        <f t="shared" si="7"/>
        <v>164.375</v>
      </c>
      <c r="BF15" s="162">
        <f t="shared" si="7"/>
        <v>164.375</v>
      </c>
      <c r="BG15" s="162">
        <f t="shared" si="7"/>
        <v>164.375</v>
      </c>
      <c r="BH15" s="162">
        <f t="shared" si="7"/>
        <v>164.375</v>
      </c>
      <c r="BI15" s="162">
        <f t="shared" si="7"/>
        <v>164.375</v>
      </c>
      <c r="BJ15" s="162">
        <f t="shared" si="7"/>
        <v>164.375</v>
      </c>
      <c r="BK15" s="162">
        <f t="shared" si="7"/>
        <v>164.375</v>
      </c>
      <c r="BL15" s="162">
        <f t="shared" si="7"/>
        <v>164.375</v>
      </c>
      <c r="BM15" s="162">
        <f t="shared" si="7"/>
        <v>164.375</v>
      </c>
      <c r="BN15" s="162">
        <f t="shared" si="7"/>
        <v>164.375</v>
      </c>
      <c r="BO15" s="162">
        <f t="shared" ref="BO15:CG15" si="8">BO12/4</f>
        <v>164.375</v>
      </c>
      <c r="BP15" s="162">
        <f t="shared" si="8"/>
        <v>164.375</v>
      </c>
      <c r="BQ15" s="162">
        <f t="shared" si="8"/>
        <v>164.375</v>
      </c>
      <c r="BR15" s="162">
        <f t="shared" si="8"/>
        <v>164.375</v>
      </c>
      <c r="BS15" s="162">
        <f t="shared" si="8"/>
        <v>164.375</v>
      </c>
      <c r="BT15" s="162">
        <f t="shared" si="8"/>
        <v>164.375</v>
      </c>
      <c r="BU15" s="162">
        <f t="shared" si="8"/>
        <v>164.375</v>
      </c>
      <c r="BV15" s="162">
        <f t="shared" si="8"/>
        <v>164.375</v>
      </c>
      <c r="BW15" s="162">
        <f t="shared" si="8"/>
        <v>164.375</v>
      </c>
      <c r="BX15" s="162">
        <f t="shared" si="8"/>
        <v>164.375</v>
      </c>
      <c r="BY15" s="162">
        <f t="shared" si="8"/>
        <v>164.375</v>
      </c>
      <c r="BZ15" s="162">
        <f t="shared" si="8"/>
        <v>164.375</v>
      </c>
      <c r="CA15" s="162">
        <f t="shared" si="8"/>
        <v>164.375</v>
      </c>
      <c r="CB15" s="162">
        <f t="shared" si="8"/>
        <v>164.375</v>
      </c>
      <c r="CC15" s="162">
        <f t="shared" si="8"/>
        <v>164.375</v>
      </c>
      <c r="CD15" s="162">
        <f t="shared" si="8"/>
        <v>164.375</v>
      </c>
      <c r="CE15" s="162">
        <f t="shared" si="8"/>
        <v>164.375</v>
      </c>
      <c r="CF15" s="162">
        <f t="shared" si="8"/>
        <v>164.375</v>
      </c>
      <c r="CG15" s="162">
        <f t="shared" si="8"/>
        <v>164.375</v>
      </c>
      <c r="CH15" s="162"/>
    </row>
    <row r="16" spans="2:86" ht="16.5" customHeight="1">
      <c r="B16" s="10" t="s">
        <v>780</v>
      </c>
      <c r="C16" s="10">
        <f t="shared" ref="C16:AH16" si="9">2*C$10*(C$5+C$11*C$6)/(SQRT(2)*C7*SIN(C$4))</f>
        <v>15.234970761884593</v>
      </c>
      <c r="D16" s="10">
        <f t="shared" si="9"/>
        <v>7.65573215345667</v>
      </c>
      <c r="E16" s="10">
        <f t="shared" si="9"/>
        <v>5.1467180564625803</v>
      </c>
      <c r="F16" s="10">
        <f t="shared" si="9"/>
        <v>3.9057204513185635</v>
      </c>
      <c r="G16" s="10">
        <f t="shared" si="9"/>
        <v>3.1724617509980426</v>
      </c>
      <c r="H16" s="10">
        <f t="shared" si="9"/>
        <v>2.6936676841335938</v>
      </c>
      <c r="I16" s="10">
        <f t="shared" si="9"/>
        <v>2.3609398093292269</v>
      </c>
      <c r="J16" s="10">
        <f t="shared" si="9"/>
        <v>2.1202289950117734</v>
      </c>
      <c r="K16" s="10">
        <f t="shared" si="9"/>
        <v>1.9416659442949207</v>
      </c>
      <c r="L16" s="10">
        <f t="shared" si="9"/>
        <v>1.8075004499658378</v>
      </c>
      <c r="M16" s="10">
        <f t="shared" si="9"/>
        <v>1.7066277185689109</v>
      </c>
      <c r="N16" s="10">
        <f t="shared" si="9"/>
        <v>1.6318620179915413</v>
      </c>
      <c r="O16" s="10">
        <f t="shared" si="9"/>
        <v>1.5784819294695089</v>
      </c>
      <c r="P16" s="10">
        <f t="shared" si="9"/>
        <v>1.5434163076905814</v>
      </c>
      <c r="Q16" s="10">
        <f t="shared" si="9"/>
        <v>1.5247787749305239</v>
      </c>
      <c r="R16" s="10">
        <f t="shared" si="9"/>
        <v>1.5216079926935755</v>
      </c>
      <c r="S16" s="10">
        <f t="shared" si="9"/>
        <v>1.5337432241641196</v>
      </c>
      <c r="T16" s="10">
        <f t="shared" si="9"/>
        <v>1.5618040599450869</v>
      </c>
      <c r="U16" s="10">
        <f t="shared" si="9"/>
        <v>1.607269410056188</v>
      </c>
      <c r="V16" s="10">
        <f t="shared" si="9"/>
        <v>1.6726751212560589</v>
      </c>
      <c r="W16" s="10">
        <f t="shared" si="9"/>
        <v>1.761981788471658</v>
      </c>
      <c r="X16" s="10">
        <f t="shared" si="9"/>
        <v>1.8812194791318579</v>
      </c>
      <c r="Y16" s="10">
        <f t="shared" si="9"/>
        <v>2.0396252551779486</v>
      </c>
      <c r="Z16" s="10">
        <f t="shared" si="9"/>
        <v>2.2517277439644121</v>
      </c>
      <c r="AA16" s="10">
        <f t="shared" si="9"/>
        <v>2.5414034699153416</v>
      </c>
      <c r="AB16" s="10">
        <f t="shared" si="9"/>
        <v>2.9504464329538775</v>
      </c>
      <c r="AC16" s="10">
        <f t="shared" si="9"/>
        <v>3.5587992182535975</v>
      </c>
      <c r="AD16" s="10">
        <f t="shared" si="9"/>
        <v>4.5403372715291797</v>
      </c>
      <c r="AE16" s="10">
        <f t="shared" si="9"/>
        <v>6.3572139937459866</v>
      </c>
      <c r="AF16" s="10">
        <f t="shared" si="9"/>
        <v>10.777771377593986</v>
      </c>
      <c r="AG16" s="10">
        <f t="shared" si="9"/>
        <v>29.493232777766128</v>
      </c>
      <c r="AH16" s="10">
        <f t="shared" si="9"/>
        <v>36.578522194387951</v>
      </c>
    </row>
    <row r="17" spans="2:85" ht="16.5" customHeight="1">
      <c r="B17" s="10" t="s">
        <v>781</v>
      </c>
      <c r="C17" s="10">
        <f t="shared" ref="C17:AH17" si="10">2*C$10*(C$5+C$11*C$6)/(SQRT(2)*C9*SIN(C$4))</f>
        <v>7.9416336950249473</v>
      </c>
      <c r="D17" s="10">
        <f t="shared" si="10"/>
        <v>3.9907539948869872</v>
      </c>
      <c r="E17" s="10">
        <f t="shared" si="10"/>
        <v>2.6828636677304942</v>
      </c>
      <c r="F17" s="10">
        <f t="shared" si="10"/>
        <v>2.0359606607937195</v>
      </c>
      <c r="G17" s="10">
        <f t="shared" si="10"/>
        <v>1.6537300616904691</v>
      </c>
      <c r="H17" s="10">
        <f t="shared" si="10"/>
        <v>1.4041459204526183</v>
      </c>
      <c r="I17" s="10">
        <f t="shared" si="10"/>
        <v>1.2307026665652352</v>
      </c>
      <c r="J17" s="10">
        <f t="shared" si="10"/>
        <v>1.1052257527189031</v>
      </c>
      <c r="K17" s="10">
        <f t="shared" si="10"/>
        <v>1.0121450135154373</v>
      </c>
      <c r="L17" s="10">
        <f t="shared" si="10"/>
        <v>0.94220768136517064</v>
      </c>
      <c r="M17" s="10">
        <f t="shared" si="10"/>
        <v>0.88962508733911316</v>
      </c>
      <c r="N17" s="10">
        <f t="shared" si="10"/>
        <v>0.85065147746367575</v>
      </c>
      <c r="O17" s="10">
        <f t="shared" si="10"/>
        <v>0.82282568663836098</v>
      </c>
      <c r="P17" s="10">
        <f t="shared" si="10"/>
        <v>0.80454679868977108</v>
      </c>
      <c r="Q17" s="10">
        <f t="shared" si="10"/>
        <v>0.79483148905952838</v>
      </c>
      <c r="R17" s="10">
        <f t="shared" si="10"/>
        <v>0.79317863448920423</v>
      </c>
      <c r="S17" s="10">
        <f t="shared" si="10"/>
        <v>0.79950444663874309</v>
      </c>
      <c r="T17" s="10">
        <f t="shared" si="10"/>
        <v>0.81413190358839638</v>
      </c>
      <c r="U17" s="10">
        <f t="shared" si="10"/>
        <v>0.83783192651865113</v>
      </c>
      <c r="V17" s="10">
        <f t="shared" si="10"/>
        <v>0.87192639299517971</v>
      </c>
      <c r="W17" s="10">
        <f t="shared" si="10"/>
        <v>0.91847986845863006</v>
      </c>
      <c r="X17" s="10">
        <f t="shared" si="10"/>
        <v>0.98063568593043648</v>
      </c>
      <c r="Y17" s="10">
        <f t="shared" si="10"/>
        <v>1.0632089096140371</v>
      </c>
      <c r="Z17" s="10">
        <f t="shared" si="10"/>
        <v>1.173772972917619</v>
      </c>
      <c r="AA17" s="10">
        <f t="shared" si="10"/>
        <v>1.3247741492111886</v>
      </c>
      <c r="AB17" s="10">
        <f t="shared" si="10"/>
        <v>1.5379986724972341</v>
      </c>
      <c r="AC17" s="10">
        <f t="shared" si="10"/>
        <v>1.8551187414300667</v>
      </c>
      <c r="AD17" s="10">
        <f t="shared" si="10"/>
        <v>2.3667715564354239</v>
      </c>
      <c r="AE17" s="10">
        <f t="shared" si="10"/>
        <v>3.3138668690803548</v>
      </c>
      <c r="AF17" s="10">
        <f t="shared" si="10"/>
        <v>5.6181999734266528</v>
      </c>
      <c r="AG17" s="10">
        <f t="shared" si="10"/>
        <v>15.374131979899364</v>
      </c>
      <c r="AH17" s="10">
        <f t="shared" si="10"/>
        <v>19.067527526861802</v>
      </c>
    </row>
    <row r="18" spans="2:85" ht="16.5" customHeight="1">
      <c r="B18" s="10" t="s">
        <v>782</v>
      </c>
      <c r="C18" s="10">
        <f t="shared" ref="C18:AH18" si="11">2*C10*(C5+C11*C6)/(SQRT(2)*C9*SIN(PI()/2))</f>
        <v>0.79284042553191492</v>
      </c>
      <c r="D18" s="10">
        <f t="shared" si="11"/>
        <v>0.79284042553191492</v>
      </c>
      <c r="E18" s="10">
        <f t="shared" si="11"/>
        <v>0.79284042553191492</v>
      </c>
      <c r="F18" s="10">
        <f t="shared" si="11"/>
        <v>0.79284042553191492</v>
      </c>
      <c r="G18" s="10">
        <f t="shared" si="11"/>
        <v>0.79284042553191492</v>
      </c>
      <c r="H18" s="10">
        <f t="shared" si="11"/>
        <v>0.79284042553191492</v>
      </c>
      <c r="I18" s="10">
        <f t="shared" si="11"/>
        <v>0.79284042553191492</v>
      </c>
      <c r="J18" s="10">
        <f t="shared" si="11"/>
        <v>0.79284042553191492</v>
      </c>
      <c r="K18" s="10">
        <f t="shared" si="11"/>
        <v>0.79284042553191492</v>
      </c>
      <c r="L18" s="10">
        <f t="shared" si="11"/>
        <v>0.79284042553191492</v>
      </c>
      <c r="M18" s="10">
        <f t="shared" si="11"/>
        <v>0.79284042553191492</v>
      </c>
      <c r="N18" s="10">
        <f t="shared" si="11"/>
        <v>0.79284042553191492</v>
      </c>
      <c r="O18" s="10">
        <f t="shared" si="11"/>
        <v>0.79284042553191492</v>
      </c>
      <c r="P18" s="10">
        <f t="shared" si="11"/>
        <v>0.79284042553191492</v>
      </c>
      <c r="Q18" s="10">
        <f t="shared" si="11"/>
        <v>0.79284042553191492</v>
      </c>
      <c r="R18" s="10">
        <f t="shared" si="11"/>
        <v>0.79284042553191492</v>
      </c>
      <c r="S18" s="10">
        <f t="shared" si="11"/>
        <v>0.79284042553191492</v>
      </c>
      <c r="T18" s="10">
        <f t="shared" si="11"/>
        <v>0.79284042553191492</v>
      </c>
      <c r="U18" s="10">
        <f t="shared" si="11"/>
        <v>0.79284042553191492</v>
      </c>
      <c r="V18" s="10">
        <f t="shared" si="11"/>
        <v>0.79284042553191492</v>
      </c>
      <c r="W18" s="10">
        <f t="shared" si="11"/>
        <v>0.79284042553191492</v>
      </c>
      <c r="X18" s="10">
        <f t="shared" si="11"/>
        <v>0.79284042553191492</v>
      </c>
      <c r="Y18" s="10">
        <f t="shared" si="11"/>
        <v>0.79284042553191492</v>
      </c>
      <c r="Z18" s="10">
        <f t="shared" si="11"/>
        <v>0.79284042553191492</v>
      </c>
      <c r="AA18" s="10">
        <f t="shared" si="11"/>
        <v>0.79284042553191492</v>
      </c>
      <c r="AB18" s="10">
        <f t="shared" si="11"/>
        <v>0.79284042553191492</v>
      </c>
      <c r="AC18" s="10">
        <f t="shared" si="11"/>
        <v>0.79284042553191492</v>
      </c>
      <c r="AD18" s="10">
        <f t="shared" si="11"/>
        <v>0.79284042553191492</v>
      </c>
      <c r="AE18" s="10">
        <f t="shared" si="11"/>
        <v>0.79284042553191492</v>
      </c>
      <c r="AF18" s="10">
        <f t="shared" si="11"/>
        <v>0.79284042553191492</v>
      </c>
      <c r="AG18" s="10">
        <f t="shared" si="11"/>
        <v>0.79284042553191492</v>
      </c>
      <c r="AH18" s="10">
        <f t="shared" si="11"/>
        <v>0.79284042553191492</v>
      </c>
      <c r="AI18" s="10">
        <f t="shared" ref="AI18:BN18" si="12">2*AI10*(AI5+AI11*AI6)/(SQRT(2)*AI9*SIN(PI()/2))</f>
        <v>0.79284042553191492</v>
      </c>
      <c r="AJ18" s="10">
        <f t="shared" si="12"/>
        <v>0.79284042553191492</v>
      </c>
      <c r="AK18" s="10">
        <f t="shared" si="12"/>
        <v>0.79284042553191492</v>
      </c>
      <c r="AL18" s="10">
        <f t="shared" si="12"/>
        <v>0.79284042553191492</v>
      </c>
      <c r="AM18" s="10">
        <f t="shared" si="12"/>
        <v>0.79284042553191492</v>
      </c>
      <c r="AN18" s="10">
        <f t="shared" si="12"/>
        <v>0.79284042553191492</v>
      </c>
      <c r="AO18" s="10">
        <f t="shared" si="12"/>
        <v>0.79284042553191492</v>
      </c>
      <c r="AP18" s="10">
        <f t="shared" si="12"/>
        <v>0.79284042553191492</v>
      </c>
      <c r="AQ18" s="10">
        <f t="shared" si="12"/>
        <v>0.79284042553191492</v>
      </c>
      <c r="AR18" s="10">
        <f t="shared" si="12"/>
        <v>0.79284042553191492</v>
      </c>
      <c r="AS18" s="10">
        <f t="shared" si="12"/>
        <v>0.79284042553191492</v>
      </c>
      <c r="AT18" s="10">
        <f t="shared" si="12"/>
        <v>0.79284042553191492</v>
      </c>
      <c r="AU18" s="10">
        <f t="shared" si="12"/>
        <v>0.79284042553191492</v>
      </c>
      <c r="AV18" s="10">
        <f t="shared" si="12"/>
        <v>0.79284042553191492</v>
      </c>
      <c r="AW18" s="10">
        <f t="shared" si="12"/>
        <v>0.79284042553191492</v>
      </c>
      <c r="AX18" s="10">
        <f t="shared" si="12"/>
        <v>0.79284042553191492</v>
      </c>
      <c r="AY18" s="10">
        <f t="shared" si="12"/>
        <v>0.79284042553191492</v>
      </c>
      <c r="AZ18" s="10">
        <f t="shared" si="12"/>
        <v>0.79284042553191492</v>
      </c>
      <c r="BA18" s="10">
        <f t="shared" si="12"/>
        <v>0.79284042553191492</v>
      </c>
      <c r="BB18" s="10">
        <f t="shared" si="12"/>
        <v>0.79284042553191492</v>
      </c>
      <c r="BC18" s="10">
        <f t="shared" si="12"/>
        <v>0.79284042553191492</v>
      </c>
      <c r="BD18" s="10">
        <f t="shared" si="12"/>
        <v>0.79284042553191492</v>
      </c>
      <c r="BE18" s="10">
        <f t="shared" si="12"/>
        <v>0.79284042553191492</v>
      </c>
      <c r="BF18" s="10">
        <f t="shared" si="12"/>
        <v>0.79284042553191492</v>
      </c>
      <c r="BG18" s="10">
        <f t="shared" si="12"/>
        <v>0.79284042553191492</v>
      </c>
      <c r="BH18" s="10">
        <f t="shared" si="12"/>
        <v>0.79284042553191492</v>
      </c>
      <c r="BI18" s="10">
        <f t="shared" si="12"/>
        <v>0.79284042553191492</v>
      </c>
      <c r="BJ18" s="10">
        <f t="shared" si="12"/>
        <v>0.79284042553191492</v>
      </c>
      <c r="BK18" s="10">
        <f t="shared" si="12"/>
        <v>0.79284042553191492</v>
      </c>
      <c r="BL18" s="10">
        <f t="shared" si="12"/>
        <v>0.79284042553191492</v>
      </c>
      <c r="BM18" s="10">
        <f t="shared" si="12"/>
        <v>0.79284042553191492</v>
      </c>
      <c r="BN18" s="10">
        <f t="shared" si="12"/>
        <v>0.79284042553191492</v>
      </c>
      <c r="BO18" s="10">
        <f t="shared" ref="BO18:CG18" si="13">2*BO10*(BO5+BO11*BO6)/(SQRT(2)*BO9*SIN(PI()/2))</f>
        <v>0.79284042553191492</v>
      </c>
      <c r="BP18" s="10">
        <f t="shared" si="13"/>
        <v>0.79284042553191492</v>
      </c>
      <c r="BQ18" s="10">
        <f t="shared" si="13"/>
        <v>0.79284042553191492</v>
      </c>
      <c r="BR18" s="10">
        <f t="shared" si="13"/>
        <v>0.79284042553191492</v>
      </c>
      <c r="BS18" s="10">
        <f t="shared" si="13"/>
        <v>0.79284042553191492</v>
      </c>
      <c r="BT18" s="10">
        <f t="shared" si="13"/>
        <v>0.79284042553191492</v>
      </c>
      <c r="BU18" s="10">
        <f t="shared" si="13"/>
        <v>0.79284042553191492</v>
      </c>
      <c r="BV18" s="10">
        <f t="shared" si="13"/>
        <v>0.79284042553191492</v>
      </c>
      <c r="BW18" s="10">
        <f t="shared" si="13"/>
        <v>0.79284042553191492</v>
      </c>
      <c r="BX18" s="10">
        <f t="shared" si="13"/>
        <v>0.79284042553191492</v>
      </c>
      <c r="BY18" s="10">
        <f t="shared" si="13"/>
        <v>0.79284042553191492</v>
      </c>
      <c r="BZ18" s="10">
        <f t="shared" si="13"/>
        <v>0.79284042553191492</v>
      </c>
      <c r="CA18" s="10">
        <f t="shared" si="13"/>
        <v>0.79284042553191492</v>
      </c>
      <c r="CB18" s="10">
        <f t="shared" si="13"/>
        <v>0.79284042553191492</v>
      </c>
      <c r="CC18" s="10">
        <f t="shared" si="13"/>
        <v>0.79284042553191492</v>
      </c>
      <c r="CD18" s="10">
        <f t="shared" si="13"/>
        <v>0.79284042553191492</v>
      </c>
      <c r="CE18" s="10">
        <f t="shared" si="13"/>
        <v>0.79284042553191492</v>
      </c>
      <c r="CF18" s="10">
        <f t="shared" si="13"/>
        <v>0.79284042553191492</v>
      </c>
      <c r="CG18" s="10">
        <f t="shared" si="13"/>
        <v>0.79284042553191492</v>
      </c>
    </row>
    <row r="19" spans="2:85" ht="16.5" customHeight="1">
      <c r="B19" s="10" t="s">
        <v>783</v>
      </c>
      <c r="C19" s="10">
        <f t="shared" ref="C19:AH19" si="14">2*C12*(SIN(C4))^2</f>
        <v>13.106225069383628</v>
      </c>
      <c r="D19" s="10">
        <f t="shared" si="14"/>
        <v>51.902396443103051</v>
      </c>
      <c r="E19" s="10">
        <f t="shared" si="14"/>
        <v>114.8418331968865</v>
      </c>
      <c r="F19" s="10">
        <f t="shared" si="14"/>
        <v>199.41533860423877</v>
      </c>
      <c r="G19" s="10">
        <f t="shared" si="14"/>
        <v>302.25123389169812</v>
      </c>
      <c r="H19" s="10">
        <f t="shared" si="14"/>
        <v>419.24977643158718</v>
      </c>
      <c r="I19" s="10">
        <f t="shared" si="14"/>
        <v>545.74660354309151</v>
      </c>
      <c r="J19" s="10">
        <f t="shared" si="14"/>
        <v>676.69868591309739</v>
      </c>
      <c r="K19" s="10">
        <f t="shared" si="14"/>
        <v>806.88537726070479</v>
      </c>
      <c r="L19" s="10">
        <f t="shared" si="14"/>
        <v>931.11654502974613</v>
      </c>
      <c r="M19" s="10">
        <f t="shared" si="14"/>
        <v>1044.43948459539</v>
      </c>
      <c r="N19" s="10">
        <f t="shared" si="14"/>
        <v>1142.3363679683689</v>
      </c>
      <c r="O19" s="10">
        <f t="shared" si="14"/>
        <v>1220.9043553400829</v>
      </c>
      <c r="P19" s="10">
        <f t="shared" si="14"/>
        <v>1277.0111889896427</v>
      </c>
      <c r="Q19" s="10">
        <f t="shared" si="14"/>
        <v>1308.4200665147928</v>
      </c>
      <c r="R19" s="10">
        <f t="shared" si="14"/>
        <v>1313.8788150850501</v>
      </c>
      <c r="S19" s="10">
        <f t="shared" si="14"/>
        <v>1293.1698116209955</v>
      </c>
      <c r="T19" s="10">
        <f t="shared" si="14"/>
        <v>1247.1186587397017</v>
      </c>
      <c r="U19" s="10">
        <f t="shared" si="14"/>
        <v>1177.5612705837291</v>
      </c>
      <c r="V19" s="10">
        <f t="shared" si="14"/>
        <v>1087.2706807178249</v>
      </c>
      <c r="W19" s="10">
        <f t="shared" si="14"/>
        <v>979.8464900315098</v>
      </c>
      <c r="X19" s="10">
        <f t="shared" si="14"/>
        <v>859.57136201081084</v>
      </c>
      <c r="Y19" s="10">
        <f t="shared" si="14"/>
        <v>731.24028645979854</v>
      </c>
      <c r="Z19" s="10">
        <f t="shared" si="14"/>
        <v>599.96941838856389</v>
      </c>
      <c r="AA19" s="10">
        <f t="shared" si="14"/>
        <v>470.99211305792886</v>
      </c>
      <c r="AB19" s="10">
        <f t="shared" si="14"/>
        <v>349.45028862000203</v>
      </c>
      <c r="AC19" s="10">
        <f t="shared" si="14"/>
        <v>240.18943406771774</v>
      </c>
      <c r="AD19" s="10">
        <f t="shared" si="14"/>
        <v>147.56543487951092</v>
      </c>
      <c r="AE19" s="10">
        <f t="shared" si="14"/>
        <v>75.270917611082822</v>
      </c>
      <c r="AF19" s="10">
        <f t="shared" si="14"/>
        <v>26.188036527384341</v>
      </c>
      <c r="AG19" s="10">
        <f t="shared" si="14"/>
        <v>3.4971649316722297</v>
      </c>
      <c r="AH19" s="10">
        <f t="shared" si="14"/>
        <v>2.2735712072345002</v>
      </c>
    </row>
    <row r="20" spans="2:85" ht="16.5" customHeight="1">
      <c r="B20" s="10" t="s">
        <v>784</v>
      </c>
      <c r="C20" s="10">
        <f t="shared" ref="C20:AH20" si="15">2*C13*(SIN(C4))^2</f>
        <v>9.8296688020377214</v>
      </c>
      <c r="D20" s="10">
        <f t="shared" si="15"/>
        <v>38.92679733232729</v>
      </c>
      <c r="E20" s="10">
        <f t="shared" si="15"/>
        <v>86.13137489766487</v>
      </c>
      <c r="F20" s="10">
        <f t="shared" si="15"/>
        <v>149.56150395317906</v>
      </c>
      <c r="G20" s="10">
        <f t="shared" si="15"/>
        <v>226.68842541877362</v>
      </c>
      <c r="H20" s="10">
        <f t="shared" si="15"/>
        <v>314.43733232369038</v>
      </c>
      <c r="I20" s="10">
        <f t="shared" si="15"/>
        <v>409.3099526573186</v>
      </c>
      <c r="J20" s="10">
        <f t="shared" si="15"/>
        <v>507.52401443482307</v>
      </c>
      <c r="K20" s="10">
        <f t="shared" si="15"/>
        <v>605.16403294552856</v>
      </c>
      <c r="L20" s="10">
        <f t="shared" si="15"/>
        <v>698.33740877230957</v>
      </c>
      <c r="M20" s="10">
        <f t="shared" si="15"/>
        <v>783.32961344654257</v>
      </c>
      <c r="N20" s="10">
        <f t="shared" si="15"/>
        <v>856.75227597627656</v>
      </c>
      <c r="O20" s="10">
        <f t="shared" si="15"/>
        <v>915.6782665050622</v>
      </c>
      <c r="P20" s="10">
        <f t="shared" si="15"/>
        <v>957.75839174223199</v>
      </c>
      <c r="Q20" s="10">
        <f t="shared" si="15"/>
        <v>981.3150498860947</v>
      </c>
      <c r="R20" s="10">
        <f t="shared" si="15"/>
        <v>985.40911131378755</v>
      </c>
      <c r="S20" s="10">
        <f t="shared" si="15"/>
        <v>969.8773587157466</v>
      </c>
      <c r="T20" s="10">
        <f t="shared" si="15"/>
        <v>935.33899405477621</v>
      </c>
      <c r="U20" s="10">
        <f t="shared" si="15"/>
        <v>883.17095293779676</v>
      </c>
      <c r="V20" s="10">
        <f t="shared" si="15"/>
        <v>815.45301053836874</v>
      </c>
      <c r="W20" s="10">
        <f t="shared" si="15"/>
        <v>734.88486752363235</v>
      </c>
      <c r="X20" s="10">
        <f t="shared" si="15"/>
        <v>644.67852150810813</v>
      </c>
      <c r="Y20" s="10">
        <f t="shared" si="15"/>
        <v>548.43021484484882</v>
      </c>
      <c r="Z20" s="10">
        <f t="shared" si="15"/>
        <v>449.97706379142295</v>
      </c>
      <c r="AA20" s="10">
        <f t="shared" si="15"/>
        <v>353.24408479344663</v>
      </c>
      <c r="AB20" s="10">
        <f t="shared" si="15"/>
        <v>262.08771646500156</v>
      </c>
      <c r="AC20" s="10">
        <f t="shared" si="15"/>
        <v>180.14207555078829</v>
      </c>
      <c r="AD20" s="10">
        <f t="shared" si="15"/>
        <v>110.67407615963319</v>
      </c>
      <c r="AE20" s="10">
        <f t="shared" si="15"/>
        <v>56.453188208312113</v>
      </c>
      <c r="AF20" s="10">
        <f t="shared" si="15"/>
        <v>19.641027395538256</v>
      </c>
      <c r="AG20" s="10">
        <f t="shared" si="15"/>
        <v>2.6228736987541725</v>
      </c>
      <c r="AH20" s="10">
        <f t="shared" si="15"/>
        <v>1.7051784054258752</v>
      </c>
    </row>
    <row r="21" spans="2:85" ht="16.5" customHeight="1">
      <c r="B21" s="10" t="s">
        <v>785</v>
      </c>
      <c r="C21" s="10">
        <f t="shared" ref="C21:AH21" si="16">2*C14*(SIN(C4))^2</f>
        <v>6.553112534691814</v>
      </c>
      <c r="D21" s="10">
        <f t="shared" si="16"/>
        <v>25.951198221551525</v>
      </c>
      <c r="E21" s="10">
        <f t="shared" si="16"/>
        <v>57.420916598443249</v>
      </c>
      <c r="F21" s="10">
        <f t="shared" si="16"/>
        <v>99.707669302119385</v>
      </c>
      <c r="G21" s="10">
        <f t="shared" si="16"/>
        <v>151.12561694584906</v>
      </c>
      <c r="H21" s="10">
        <f t="shared" si="16"/>
        <v>209.62488821579359</v>
      </c>
      <c r="I21" s="10">
        <f t="shared" si="16"/>
        <v>272.87330177154575</v>
      </c>
      <c r="J21" s="10">
        <f t="shared" si="16"/>
        <v>338.3493429565487</v>
      </c>
      <c r="K21" s="10">
        <f t="shared" si="16"/>
        <v>403.44268863035239</v>
      </c>
      <c r="L21" s="10">
        <f t="shared" si="16"/>
        <v>465.55827251487307</v>
      </c>
      <c r="M21" s="10">
        <f t="shared" si="16"/>
        <v>522.21974229769501</v>
      </c>
      <c r="N21" s="10">
        <f t="shared" si="16"/>
        <v>571.16818398418445</v>
      </c>
      <c r="O21" s="10">
        <f t="shared" si="16"/>
        <v>610.45217767004146</v>
      </c>
      <c r="P21" s="10">
        <f t="shared" si="16"/>
        <v>638.50559449482137</v>
      </c>
      <c r="Q21" s="10">
        <f t="shared" si="16"/>
        <v>654.21003325739639</v>
      </c>
      <c r="R21" s="10">
        <f t="shared" si="16"/>
        <v>656.93940754252503</v>
      </c>
      <c r="S21" s="10">
        <f t="shared" si="16"/>
        <v>646.58490581049773</v>
      </c>
      <c r="T21" s="10">
        <f t="shared" si="16"/>
        <v>623.55932936985084</v>
      </c>
      <c r="U21" s="10">
        <f t="shared" si="16"/>
        <v>588.78063529186454</v>
      </c>
      <c r="V21" s="10">
        <f t="shared" si="16"/>
        <v>543.63534035891246</v>
      </c>
      <c r="W21" s="10">
        <f t="shared" si="16"/>
        <v>489.9232450157549</v>
      </c>
      <c r="X21" s="10">
        <f t="shared" si="16"/>
        <v>429.78568100540542</v>
      </c>
      <c r="Y21" s="10">
        <f t="shared" si="16"/>
        <v>365.62014322989927</v>
      </c>
      <c r="Z21" s="10">
        <f t="shared" si="16"/>
        <v>299.98470919428195</v>
      </c>
      <c r="AA21" s="10">
        <f t="shared" si="16"/>
        <v>235.49605652896443</v>
      </c>
      <c r="AB21" s="10">
        <f t="shared" si="16"/>
        <v>174.72514431000101</v>
      </c>
      <c r="AC21" s="10">
        <f t="shared" si="16"/>
        <v>120.09471703385887</v>
      </c>
      <c r="AD21" s="10">
        <f t="shared" si="16"/>
        <v>73.782717439755459</v>
      </c>
      <c r="AE21" s="10">
        <f t="shared" si="16"/>
        <v>37.635458805541411</v>
      </c>
      <c r="AF21" s="10">
        <f t="shared" si="16"/>
        <v>13.09401826369217</v>
      </c>
      <c r="AG21" s="10">
        <f t="shared" si="16"/>
        <v>1.7485824658361149</v>
      </c>
      <c r="AH21" s="10">
        <f t="shared" si="16"/>
        <v>1.1367856036172501</v>
      </c>
    </row>
    <row r="22" spans="2:85" ht="16.5" customHeight="1">
      <c r="B22" s="10" t="s">
        <v>786</v>
      </c>
      <c r="C22" s="10">
        <f t="shared" ref="C22:AH22" si="17">2*C15*(SIN(C4))^2</f>
        <v>3.276556267345907</v>
      </c>
      <c r="D22" s="10">
        <f t="shared" si="17"/>
        <v>12.975599110775763</v>
      </c>
      <c r="E22" s="10">
        <f t="shared" si="17"/>
        <v>28.710458299221624</v>
      </c>
      <c r="F22" s="10">
        <f t="shared" si="17"/>
        <v>49.853834651059692</v>
      </c>
      <c r="G22" s="10">
        <f t="shared" si="17"/>
        <v>75.56280847292453</v>
      </c>
      <c r="H22" s="10">
        <f t="shared" si="17"/>
        <v>104.81244410789679</v>
      </c>
      <c r="I22" s="10">
        <f t="shared" si="17"/>
        <v>136.43665088577288</v>
      </c>
      <c r="J22" s="10">
        <f t="shared" si="17"/>
        <v>169.17467147827435</v>
      </c>
      <c r="K22" s="10">
        <f t="shared" si="17"/>
        <v>201.7213443151762</v>
      </c>
      <c r="L22" s="10">
        <f t="shared" si="17"/>
        <v>232.77913625743653</v>
      </c>
      <c r="M22" s="10">
        <f t="shared" si="17"/>
        <v>261.1098711488475</v>
      </c>
      <c r="N22" s="10">
        <f t="shared" si="17"/>
        <v>285.58409199209223</v>
      </c>
      <c r="O22" s="10">
        <f t="shared" si="17"/>
        <v>305.22608883502073</v>
      </c>
      <c r="P22" s="10">
        <f t="shared" si="17"/>
        <v>319.25279724741068</v>
      </c>
      <c r="Q22" s="10">
        <f t="shared" si="17"/>
        <v>327.10501662869819</v>
      </c>
      <c r="R22" s="10">
        <f t="shared" si="17"/>
        <v>328.46970377126252</v>
      </c>
      <c r="S22" s="10">
        <f t="shared" si="17"/>
        <v>323.29245290524887</v>
      </c>
      <c r="T22" s="10">
        <f t="shared" si="17"/>
        <v>311.77966468492542</v>
      </c>
      <c r="U22" s="10">
        <f t="shared" si="17"/>
        <v>294.39031764593227</v>
      </c>
      <c r="V22" s="10">
        <f t="shared" si="17"/>
        <v>271.81767017945623</v>
      </c>
      <c r="W22" s="10">
        <f t="shared" si="17"/>
        <v>244.96162250787745</v>
      </c>
      <c r="X22" s="10">
        <f t="shared" si="17"/>
        <v>214.89284050270271</v>
      </c>
      <c r="Y22" s="10">
        <f t="shared" si="17"/>
        <v>182.81007161494963</v>
      </c>
      <c r="Z22" s="10">
        <f t="shared" si="17"/>
        <v>149.99235459714097</v>
      </c>
      <c r="AA22" s="10">
        <f t="shared" si="17"/>
        <v>117.74802826448222</v>
      </c>
      <c r="AB22" s="10">
        <f t="shared" si="17"/>
        <v>87.362572155000507</v>
      </c>
      <c r="AC22" s="10">
        <f t="shared" si="17"/>
        <v>60.047358516929435</v>
      </c>
      <c r="AD22" s="10">
        <f t="shared" si="17"/>
        <v>36.891358719877729</v>
      </c>
      <c r="AE22" s="10">
        <f t="shared" si="17"/>
        <v>18.817729402770706</v>
      </c>
      <c r="AF22" s="10">
        <f t="shared" si="17"/>
        <v>6.5470091318460852</v>
      </c>
      <c r="AG22" s="10">
        <f t="shared" si="17"/>
        <v>0.87429123291805744</v>
      </c>
      <c r="AH22" s="10">
        <f t="shared" si="17"/>
        <v>0.56839280180862506</v>
      </c>
    </row>
    <row r="23" spans="2:85" ht="16.5" customHeight="1">
      <c r="B23" s="10" t="s">
        <v>282</v>
      </c>
      <c r="C23" s="163">
        <f>'Res. Tank Design'!$D$50</f>
        <v>0.45833333333333331</v>
      </c>
      <c r="D23" s="163">
        <f>'Res. Tank Design'!$D$50</f>
        <v>0.45833333333333331</v>
      </c>
      <c r="E23" s="163">
        <f>'Res. Tank Design'!$D$50</f>
        <v>0.45833333333333331</v>
      </c>
      <c r="F23" s="163">
        <f>'Res. Tank Design'!$D$50</f>
        <v>0.45833333333333331</v>
      </c>
      <c r="G23" s="163">
        <f>'Res. Tank Design'!$D$50</f>
        <v>0.45833333333333331</v>
      </c>
      <c r="H23" s="163">
        <f>'Res. Tank Design'!$D$50</f>
        <v>0.45833333333333331</v>
      </c>
      <c r="I23" s="163">
        <f>'Res. Tank Design'!$D$50</f>
        <v>0.45833333333333331</v>
      </c>
      <c r="J23" s="163">
        <f>'Res. Tank Design'!$D$50</f>
        <v>0.45833333333333331</v>
      </c>
      <c r="K23" s="163">
        <f>'Res. Tank Design'!$D$50</f>
        <v>0.45833333333333331</v>
      </c>
      <c r="L23" s="163">
        <f>'Res. Tank Design'!$D$50</f>
        <v>0.45833333333333331</v>
      </c>
      <c r="M23" s="163">
        <f>'Res. Tank Design'!$D$50</f>
        <v>0.45833333333333331</v>
      </c>
      <c r="N23" s="163">
        <f>'Res. Tank Design'!$D$50</f>
        <v>0.45833333333333331</v>
      </c>
      <c r="O23" s="163">
        <f>'Res. Tank Design'!$D$50</f>
        <v>0.45833333333333331</v>
      </c>
      <c r="P23" s="163">
        <f>'Res. Tank Design'!$D$50</f>
        <v>0.45833333333333331</v>
      </c>
      <c r="Q23" s="163">
        <f>'Res. Tank Design'!$D$50</f>
        <v>0.45833333333333331</v>
      </c>
      <c r="R23" s="163">
        <f>'Res. Tank Design'!$D$50</f>
        <v>0.45833333333333331</v>
      </c>
      <c r="S23" s="163">
        <f>'Res. Tank Design'!$D$50</f>
        <v>0.45833333333333331</v>
      </c>
      <c r="T23" s="163">
        <f>'Res. Tank Design'!$D$50</f>
        <v>0.45833333333333331</v>
      </c>
      <c r="U23" s="163">
        <f>'Res. Tank Design'!$D$50</f>
        <v>0.45833333333333331</v>
      </c>
      <c r="V23" s="163">
        <f>'Res. Tank Design'!$D$50</f>
        <v>0.45833333333333331</v>
      </c>
      <c r="W23" s="163">
        <f>'Res. Tank Design'!$D$50</f>
        <v>0.45833333333333331</v>
      </c>
      <c r="X23" s="163">
        <f>'Res. Tank Design'!$D$50</f>
        <v>0.45833333333333331</v>
      </c>
      <c r="Y23" s="163">
        <f>'Res. Tank Design'!$D$50</f>
        <v>0.45833333333333331</v>
      </c>
      <c r="Z23" s="163">
        <f>'Res. Tank Design'!$D$50</f>
        <v>0.45833333333333331</v>
      </c>
      <c r="AA23" s="163">
        <f>'Res. Tank Design'!$D$50</f>
        <v>0.45833333333333331</v>
      </c>
      <c r="AB23" s="163">
        <f>'Res. Tank Design'!$D$50</f>
        <v>0.45833333333333331</v>
      </c>
      <c r="AC23" s="163">
        <f>'Res. Tank Design'!$D$50</f>
        <v>0.45833333333333331</v>
      </c>
      <c r="AD23" s="163">
        <f>'Res. Tank Design'!$D$50</f>
        <v>0.45833333333333331</v>
      </c>
      <c r="AE23" s="163">
        <f>'Res. Tank Design'!$D$50</f>
        <v>0.45833333333333331</v>
      </c>
      <c r="AF23" s="163">
        <f>'Res. Tank Design'!$D$50</f>
        <v>0.45833333333333331</v>
      </c>
      <c r="AG23" s="163">
        <f>'Res. Tank Design'!$D$50</f>
        <v>0.45833333333333331</v>
      </c>
      <c r="AH23" s="163">
        <f>'Res. Tank Design'!$D$50</f>
        <v>0.45833333333333331</v>
      </c>
      <c r="AI23" s="163">
        <f>'Res. Tank Design'!$D$50</f>
        <v>0.45833333333333331</v>
      </c>
      <c r="AJ23" s="163">
        <f>'Res. Tank Design'!$D$50</f>
        <v>0.45833333333333331</v>
      </c>
      <c r="AK23" s="163">
        <f>'Res. Tank Design'!$D$50</f>
        <v>0.45833333333333331</v>
      </c>
      <c r="AL23" s="163">
        <f>'Res. Tank Design'!$D$50</f>
        <v>0.45833333333333331</v>
      </c>
      <c r="AM23" s="163">
        <f>'Res. Tank Design'!$D$50</f>
        <v>0.45833333333333331</v>
      </c>
      <c r="AN23" s="163">
        <f>'Res. Tank Design'!$D$50</f>
        <v>0.45833333333333331</v>
      </c>
      <c r="AO23" s="163">
        <f>'Res. Tank Design'!$D$50</f>
        <v>0.45833333333333331</v>
      </c>
      <c r="AP23" s="163">
        <f>'Res. Tank Design'!$D$50</f>
        <v>0.45833333333333331</v>
      </c>
      <c r="AQ23" s="163">
        <f>'Res. Tank Design'!$D$50</f>
        <v>0.45833333333333331</v>
      </c>
      <c r="AR23" s="163">
        <f>'Res. Tank Design'!$D$50</f>
        <v>0.45833333333333331</v>
      </c>
      <c r="AS23" s="163">
        <f>'Res. Tank Design'!$D$50</f>
        <v>0.45833333333333331</v>
      </c>
      <c r="AT23" s="163">
        <f>'Res. Tank Design'!$D$50</f>
        <v>0.45833333333333331</v>
      </c>
      <c r="AU23" s="163">
        <f>'Res. Tank Design'!$D$50</f>
        <v>0.45833333333333331</v>
      </c>
      <c r="AV23" s="163">
        <f>'Res. Tank Design'!$D$50</f>
        <v>0.45833333333333331</v>
      </c>
      <c r="AW23" s="163">
        <f>'Res. Tank Design'!$D$50</f>
        <v>0.45833333333333331</v>
      </c>
      <c r="AX23" s="163">
        <f>'Res. Tank Design'!$D$50</f>
        <v>0.45833333333333331</v>
      </c>
      <c r="AY23" s="163">
        <f>'Res. Tank Design'!$D$50</f>
        <v>0.45833333333333331</v>
      </c>
      <c r="AZ23" s="163">
        <f>'Res. Tank Design'!$D$50</f>
        <v>0.45833333333333331</v>
      </c>
      <c r="BA23" s="163">
        <f>'Res. Tank Design'!$D$50</f>
        <v>0.45833333333333331</v>
      </c>
      <c r="BB23" s="163">
        <f>'Res. Tank Design'!$D$50</f>
        <v>0.45833333333333331</v>
      </c>
      <c r="BC23" s="163">
        <f>'Res. Tank Design'!$D$50</f>
        <v>0.45833333333333331</v>
      </c>
      <c r="BD23" s="163">
        <f>'Res. Tank Design'!$D$50</f>
        <v>0.45833333333333331</v>
      </c>
      <c r="BE23" s="163">
        <f>'Res. Tank Design'!$D$50</f>
        <v>0.45833333333333331</v>
      </c>
      <c r="BF23" s="163">
        <f>'Res. Tank Design'!$D$50</f>
        <v>0.45833333333333331</v>
      </c>
      <c r="BG23" s="163">
        <f>'Res. Tank Design'!$D$50</f>
        <v>0.45833333333333331</v>
      </c>
      <c r="BH23" s="163">
        <f>'Res. Tank Design'!$D$50</f>
        <v>0.45833333333333331</v>
      </c>
      <c r="BI23" s="163">
        <f>'Res. Tank Design'!$D$50</f>
        <v>0.45833333333333331</v>
      </c>
      <c r="BJ23" s="163">
        <f>'Res. Tank Design'!$D$50</f>
        <v>0.45833333333333331</v>
      </c>
      <c r="BK23" s="163">
        <f>'Res. Tank Design'!$D$50</f>
        <v>0.45833333333333331</v>
      </c>
      <c r="BL23" s="163">
        <f>'Res. Tank Design'!$D$50</f>
        <v>0.45833333333333331</v>
      </c>
      <c r="BM23" s="163">
        <f>'Res. Tank Design'!$D$50</f>
        <v>0.45833333333333331</v>
      </c>
      <c r="BN23" s="163">
        <f>'Res. Tank Design'!$D$50</f>
        <v>0.45833333333333331</v>
      </c>
      <c r="BO23" s="163">
        <f>'Res. Tank Design'!$D$50</f>
        <v>0.45833333333333331</v>
      </c>
      <c r="BP23" s="163">
        <f>'Res. Tank Design'!$D$50</f>
        <v>0.45833333333333331</v>
      </c>
      <c r="BQ23" s="163">
        <f>'Res. Tank Design'!$D$50</f>
        <v>0.45833333333333331</v>
      </c>
      <c r="BR23" s="163">
        <f>'Res. Tank Design'!$D$50</f>
        <v>0.45833333333333331</v>
      </c>
      <c r="BS23" s="163">
        <f>'Res. Tank Design'!$D$50</f>
        <v>0.45833333333333331</v>
      </c>
      <c r="BT23" s="163">
        <f>'Res. Tank Design'!$D$50</f>
        <v>0.45833333333333331</v>
      </c>
      <c r="BU23" s="163">
        <f>'Res. Tank Design'!$D$50</f>
        <v>0.45833333333333331</v>
      </c>
      <c r="BV23" s="163">
        <f>'Res. Tank Design'!$D$50</f>
        <v>0.45833333333333331</v>
      </c>
      <c r="BW23" s="163">
        <f>'Res. Tank Design'!$D$50</f>
        <v>0.45833333333333331</v>
      </c>
      <c r="BX23" s="163">
        <f>'Res. Tank Design'!$D$50</f>
        <v>0.45833333333333331</v>
      </c>
      <c r="BY23" s="163">
        <f>'Res. Tank Design'!$D$50</f>
        <v>0.45833333333333331</v>
      </c>
      <c r="BZ23" s="163">
        <f>'Res. Tank Design'!$D$50</f>
        <v>0.45833333333333331</v>
      </c>
      <c r="CA23" s="163">
        <f>'Res. Tank Design'!$D$50</f>
        <v>0.45833333333333331</v>
      </c>
      <c r="CB23" s="163">
        <f>'Res. Tank Design'!$D$50</f>
        <v>0.45833333333333331</v>
      </c>
      <c r="CC23" s="163">
        <f>'Res. Tank Design'!$D$50</f>
        <v>0.45833333333333331</v>
      </c>
      <c r="CD23" s="163">
        <f>'Res. Tank Design'!$D$50</f>
        <v>0.45833333333333331</v>
      </c>
      <c r="CE23" s="163">
        <f>'Res. Tank Design'!$D$50</f>
        <v>0.45833333333333331</v>
      </c>
      <c r="CF23" s="163">
        <f>'Res. Tank Design'!$D$50</f>
        <v>0.45833333333333331</v>
      </c>
      <c r="CG23" s="163">
        <f>'Res. Tank Design'!$D$50</f>
        <v>0.45833333333333331</v>
      </c>
    </row>
    <row r="24" spans="2:85" ht="16.5" customHeight="1">
      <c r="B24" s="10" t="s">
        <v>787</v>
      </c>
      <c r="C24" s="10">
        <f>'Res. Tank Design'!$D$56/'Res. Tank Design'!$D$55</f>
        <v>0.56061191058138804</v>
      </c>
      <c r="D24" s="10">
        <f>'Res. Tank Design'!$D$56/'Res. Tank Design'!$D$55</f>
        <v>0.56061191058138804</v>
      </c>
      <c r="E24" s="10">
        <f>'Res. Tank Design'!$D$56/'Res. Tank Design'!$D$55</f>
        <v>0.56061191058138804</v>
      </c>
      <c r="F24" s="10">
        <f>'Res. Tank Design'!$D$56/'Res. Tank Design'!$D$55</f>
        <v>0.56061191058138804</v>
      </c>
      <c r="G24" s="10">
        <f>'Res. Tank Design'!$D$56/'Res. Tank Design'!$D$55</f>
        <v>0.56061191058138804</v>
      </c>
      <c r="H24" s="10">
        <f>'Res. Tank Design'!$D$56/'Res. Tank Design'!$D$55</f>
        <v>0.56061191058138804</v>
      </c>
      <c r="I24" s="10">
        <f>'Res. Tank Design'!$D$56/'Res. Tank Design'!$D$55</f>
        <v>0.56061191058138804</v>
      </c>
      <c r="J24" s="10">
        <f>'Res. Tank Design'!$D$56/'Res. Tank Design'!$D$55</f>
        <v>0.56061191058138804</v>
      </c>
      <c r="K24" s="10">
        <f>'Res. Tank Design'!$D$56/'Res. Tank Design'!$D$55</f>
        <v>0.56061191058138804</v>
      </c>
      <c r="L24" s="10">
        <f>'Res. Tank Design'!$D$56/'Res. Tank Design'!$D$55</f>
        <v>0.56061191058138804</v>
      </c>
      <c r="M24" s="10">
        <f>'Res. Tank Design'!$D$56/'Res. Tank Design'!$D$55</f>
        <v>0.56061191058138804</v>
      </c>
      <c r="N24" s="10">
        <f>'Res. Tank Design'!$D$56/'Res. Tank Design'!$D$55</f>
        <v>0.56061191058138804</v>
      </c>
      <c r="O24" s="10">
        <f>'Res. Tank Design'!$D$56/'Res. Tank Design'!$D$55</f>
        <v>0.56061191058138804</v>
      </c>
      <c r="P24" s="10">
        <f>'Res. Tank Design'!$D$56/'Res. Tank Design'!$D$55</f>
        <v>0.56061191058138804</v>
      </c>
      <c r="Q24" s="10">
        <f>'Res. Tank Design'!$D$56/'Res. Tank Design'!$D$55</f>
        <v>0.56061191058138804</v>
      </c>
      <c r="R24" s="10">
        <f>'Res. Tank Design'!$D$56/'Res. Tank Design'!$D$55</f>
        <v>0.56061191058138804</v>
      </c>
      <c r="S24" s="10">
        <f>'Res. Tank Design'!$D$56/'Res. Tank Design'!$D$55</f>
        <v>0.56061191058138804</v>
      </c>
      <c r="T24" s="10">
        <f>'Res. Tank Design'!$D$56/'Res. Tank Design'!$D$55</f>
        <v>0.56061191058138804</v>
      </c>
      <c r="U24" s="10">
        <f>'Res. Tank Design'!$D$56/'Res. Tank Design'!$D$55</f>
        <v>0.56061191058138804</v>
      </c>
      <c r="V24" s="10">
        <f>'Res. Tank Design'!$D$56/'Res. Tank Design'!$D$55</f>
        <v>0.56061191058138804</v>
      </c>
      <c r="W24" s="10">
        <f>'Res. Tank Design'!$D$56/'Res. Tank Design'!$D$55</f>
        <v>0.56061191058138804</v>
      </c>
      <c r="X24" s="10">
        <f>'Res. Tank Design'!$D$56/'Res. Tank Design'!$D$55</f>
        <v>0.56061191058138804</v>
      </c>
      <c r="Y24" s="10">
        <f>'Res. Tank Design'!$D$56/'Res. Tank Design'!$D$55</f>
        <v>0.56061191058138804</v>
      </c>
      <c r="Z24" s="10">
        <f>'Res. Tank Design'!$D$56/'Res. Tank Design'!$D$55</f>
        <v>0.56061191058138804</v>
      </c>
      <c r="AA24" s="10">
        <f>'Res. Tank Design'!$D$56/'Res. Tank Design'!$D$55</f>
        <v>0.56061191058138804</v>
      </c>
      <c r="AB24" s="10">
        <f>'Res. Tank Design'!$D$56/'Res. Tank Design'!$D$55</f>
        <v>0.56061191058138804</v>
      </c>
      <c r="AC24" s="10">
        <f>'Res. Tank Design'!$D$56/'Res. Tank Design'!$D$55</f>
        <v>0.56061191058138804</v>
      </c>
      <c r="AD24" s="10">
        <f>'Res. Tank Design'!$D$56/'Res. Tank Design'!$D$55</f>
        <v>0.56061191058138804</v>
      </c>
      <c r="AE24" s="10">
        <f>'Res. Tank Design'!$D$56/'Res. Tank Design'!$D$55</f>
        <v>0.56061191058138804</v>
      </c>
      <c r="AF24" s="10">
        <f>'Res. Tank Design'!$D$56/'Res. Tank Design'!$D$55</f>
        <v>0.56061191058138804</v>
      </c>
      <c r="AG24" s="10">
        <f>'Res. Tank Design'!$D$56/'Res. Tank Design'!$D$55</f>
        <v>0.56061191058138804</v>
      </c>
      <c r="AH24" s="10">
        <f>'Res. Tank Design'!$D$56/'Res. Tank Design'!$D$55</f>
        <v>0.56061191058138804</v>
      </c>
      <c r="AI24" s="10">
        <f>'Res. Tank Design'!$D$56/'Res. Tank Design'!$D$55</f>
        <v>0.56061191058138804</v>
      </c>
      <c r="AJ24" s="10">
        <f>'Res. Tank Design'!$D$56/'Res. Tank Design'!$D$55</f>
        <v>0.56061191058138804</v>
      </c>
      <c r="AK24" s="10">
        <f>'Res. Tank Design'!$D$56/'Res. Tank Design'!$D$55</f>
        <v>0.56061191058138804</v>
      </c>
      <c r="AL24" s="10">
        <f>'Res. Tank Design'!$D$56/'Res. Tank Design'!$D$55</f>
        <v>0.56061191058138804</v>
      </c>
      <c r="AM24" s="10">
        <f>'Res. Tank Design'!$D$56/'Res. Tank Design'!$D$55</f>
        <v>0.56061191058138804</v>
      </c>
      <c r="AN24" s="10">
        <f>'Res. Tank Design'!$D$56/'Res. Tank Design'!$D$55</f>
        <v>0.56061191058138804</v>
      </c>
      <c r="AO24" s="10">
        <f>'Res. Tank Design'!$D$56/'Res. Tank Design'!$D$55</f>
        <v>0.56061191058138804</v>
      </c>
      <c r="AP24" s="10">
        <f>'Res. Tank Design'!$D$56/'Res. Tank Design'!$D$55</f>
        <v>0.56061191058138804</v>
      </c>
      <c r="AQ24" s="10">
        <f>'Res. Tank Design'!$D$56/'Res. Tank Design'!$D$55</f>
        <v>0.56061191058138804</v>
      </c>
      <c r="AR24" s="10">
        <f>'Res. Tank Design'!$D$56/'Res. Tank Design'!$D$55</f>
        <v>0.56061191058138804</v>
      </c>
      <c r="AS24" s="10">
        <f>'Res. Tank Design'!$D$56/'Res. Tank Design'!$D$55</f>
        <v>0.56061191058138804</v>
      </c>
      <c r="AT24" s="10">
        <f>'Res. Tank Design'!$D$56/'Res. Tank Design'!$D$55</f>
        <v>0.56061191058138804</v>
      </c>
      <c r="AU24" s="10">
        <f>'Res. Tank Design'!$D$56/'Res. Tank Design'!$D$55</f>
        <v>0.56061191058138804</v>
      </c>
      <c r="AV24" s="10">
        <f>'Res. Tank Design'!$D$56/'Res. Tank Design'!$D$55</f>
        <v>0.56061191058138804</v>
      </c>
      <c r="AW24" s="10">
        <f>'Res. Tank Design'!$D$56/'Res. Tank Design'!$D$55</f>
        <v>0.56061191058138804</v>
      </c>
      <c r="AX24" s="10">
        <f>'Res. Tank Design'!$D$56/'Res. Tank Design'!$D$55</f>
        <v>0.56061191058138804</v>
      </c>
      <c r="AY24" s="10">
        <f>'Res. Tank Design'!$D$56/'Res. Tank Design'!$D$55</f>
        <v>0.56061191058138804</v>
      </c>
      <c r="AZ24" s="10">
        <f>'Res. Tank Design'!$D$56/'Res. Tank Design'!$D$55</f>
        <v>0.56061191058138804</v>
      </c>
      <c r="BA24" s="10">
        <f>'Res. Tank Design'!$D$56/'Res. Tank Design'!$D$55</f>
        <v>0.56061191058138804</v>
      </c>
      <c r="BB24" s="10">
        <f>'Res. Tank Design'!$D$56/'Res. Tank Design'!$D$55</f>
        <v>0.56061191058138804</v>
      </c>
      <c r="BC24" s="10">
        <f>'Res. Tank Design'!$D$56/'Res. Tank Design'!$D$55</f>
        <v>0.56061191058138804</v>
      </c>
      <c r="BD24" s="10">
        <f>'Res. Tank Design'!$D$56/'Res. Tank Design'!$D$55</f>
        <v>0.56061191058138804</v>
      </c>
      <c r="BE24" s="10">
        <f>'Res. Tank Design'!$D$56/'Res. Tank Design'!$D$55</f>
        <v>0.56061191058138804</v>
      </c>
      <c r="BF24" s="10">
        <f>'Res. Tank Design'!$D$56/'Res. Tank Design'!$D$55</f>
        <v>0.56061191058138804</v>
      </c>
      <c r="BG24" s="10">
        <f>'Res. Tank Design'!$D$56/'Res. Tank Design'!$D$55</f>
        <v>0.56061191058138804</v>
      </c>
      <c r="BH24" s="10">
        <f>'Res. Tank Design'!$D$56/'Res. Tank Design'!$D$55</f>
        <v>0.56061191058138804</v>
      </c>
      <c r="BI24" s="10">
        <f>'Res. Tank Design'!$D$56/'Res. Tank Design'!$D$55</f>
        <v>0.56061191058138804</v>
      </c>
      <c r="BJ24" s="10">
        <f>'Res. Tank Design'!$D$56/'Res. Tank Design'!$D$55</f>
        <v>0.56061191058138804</v>
      </c>
      <c r="BK24" s="10">
        <f>'Res. Tank Design'!$D$56/'Res. Tank Design'!$D$55</f>
        <v>0.56061191058138804</v>
      </c>
      <c r="BL24" s="10">
        <f>'Res. Tank Design'!$D$56/'Res. Tank Design'!$D$55</f>
        <v>0.56061191058138804</v>
      </c>
      <c r="BM24" s="10">
        <f>'Res. Tank Design'!$D$56/'Res. Tank Design'!$D$55</f>
        <v>0.56061191058138804</v>
      </c>
      <c r="BN24" s="10">
        <f>'Res. Tank Design'!$D$56/'Res. Tank Design'!$D$55</f>
        <v>0.56061191058138804</v>
      </c>
      <c r="BO24" s="10">
        <f>'Res. Tank Design'!$D$56/'Res. Tank Design'!$D$55</f>
        <v>0.56061191058138804</v>
      </c>
      <c r="BP24" s="10">
        <f>'Res. Tank Design'!$D$56/'Res. Tank Design'!$D$55</f>
        <v>0.56061191058138804</v>
      </c>
      <c r="BQ24" s="10">
        <f>'Res. Tank Design'!$D$56/'Res. Tank Design'!$D$55</f>
        <v>0.56061191058138804</v>
      </c>
      <c r="BR24" s="10">
        <f>'Res. Tank Design'!$D$56/'Res. Tank Design'!$D$55</f>
        <v>0.56061191058138804</v>
      </c>
      <c r="BS24" s="10">
        <f>'Res. Tank Design'!$D$56/'Res. Tank Design'!$D$55</f>
        <v>0.56061191058138804</v>
      </c>
      <c r="BT24" s="10">
        <f>'Res. Tank Design'!$D$56/'Res. Tank Design'!$D$55</f>
        <v>0.56061191058138804</v>
      </c>
      <c r="BU24" s="10">
        <f>'Res. Tank Design'!$D$56/'Res. Tank Design'!$D$55</f>
        <v>0.56061191058138804</v>
      </c>
      <c r="BV24" s="10">
        <f>'Res. Tank Design'!$D$56/'Res. Tank Design'!$D$55</f>
        <v>0.56061191058138804</v>
      </c>
      <c r="BW24" s="10">
        <f>'Res. Tank Design'!$D$56/'Res. Tank Design'!$D$55</f>
        <v>0.56061191058138804</v>
      </c>
      <c r="BX24" s="10">
        <f>'Res. Tank Design'!$D$56/'Res. Tank Design'!$D$55</f>
        <v>0.56061191058138804</v>
      </c>
      <c r="BY24" s="10">
        <f>'Res. Tank Design'!$D$56/'Res. Tank Design'!$D$55</f>
        <v>0.56061191058138804</v>
      </c>
      <c r="BZ24" s="10">
        <f>'Res. Tank Design'!$D$56/'Res. Tank Design'!$D$55</f>
        <v>0.56061191058138804</v>
      </c>
      <c r="CA24" s="10">
        <f>'Res. Tank Design'!$D$56/'Res. Tank Design'!$D$55</f>
        <v>0.56061191058138804</v>
      </c>
      <c r="CB24" s="10">
        <f>'Res. Tank Design'!$D$56/'Res. Tank Design'!$D$55</f>
        <v>0.56061191058138804</v>
      </c>
      <c r="CC24" s="10">
        <f>'Res. Tank Design'!$D$56/'Res. Tank Design'!$D$55</f>
        <v>0.56061191058138804</v>
      </c>
      <c r="CD24" s="10">
        <f>'Res. Tank Design'!$D$56/'Res. Tank Design'!$D$55</f>
        <v>0.56061191058138804</v>
      </c>
      <c r="CE24" s="10">
        <f>'Res. Tank Design'!$D$56/'Res. Tank Design'!$D$55</f>
        <v>0.56061191058138804</v>
      </c>
      <c r="CF24" s="10">
        <f>'Res. Tank Design'!$D$56/'Res. Tank Design'!$D$55</f>
        <v>0.56061191058138804</v>
      </c>
      <c r="CG24" s="10">
        <f>'Res. Tank Design'!$D$56/'Res. Tank Design'!$D$55</f>
        <v>0.56061191058138804</v>
      </c>
    </row>
    <row r="25" spans="2:85" ht="16.5" customHeight="1">
      <c r="B25" s="10" t="s">
        <v>788</v>
      </c>
      <c r="C25" s="10">
        <v>1E-4</v>
      </c>
      <c r="D25" s="10">
        <f t="shared" ref="D25:AI25" si="18">IF(OR(E25&lt;=D24,E25-1/69&gt;D24),E25-1/69,D24-0.0001)</f>
        <v>2.4280026523417007E-2</v>
      </c>
      <c r="E25" s="10">
        <f t="shared" si="18"/>
        <v>3.8772780146605415E-2</v>
      </c>
      <c r="F25" s="10">
        <f t="shared" si="18"/>
        <v>5.3265533769793823E-2</v>
      </c>
      <c r="G25" s="10">
        <f t="shared" si="18"/>
        <v>6.775828739298223E-2</v>
      </c>
      <c r="H25" s="10">
        <f t="shared" si="18"/>
        <v>8.2251041016170631E-2</v>
      </c>
      <c r="I25" s="10">
        <f t="shared" si="18"/>
        <v>9.6743794639359032E-2</v>
      </c>
      <c r="J25" s="10">
        <f t="shared" si="18"/>
        <v>0.11123654826254743</v>
      </c>
      <c r="K25" s="10">
        <f t="shared" si="18"/>
        <v>0.12572930188573583</v>
      </c>
      <c r="L25" s="10">
        <f t="shared" si="18"/>
        <v>0.14022205550892425</v>
      </c>
      <c r="M25" s="10">
        <f t="shared" si="18"/>
        <v>0.15471480913211266</v>
      </c>
      <c r="N25" s="10">
        <f t="shared" si="18"/>
        <v>0.16920756275530108</v>
      </c>
      <c r="O25" s="10">
        <f t="shared" si="18"/>
        <v>0.18370031637848949</v>
      </c>
      <c r="P25" s="10">
        <f t="shared" si="18"/>
        <v>0.19819307000167791</v>
      </c>
      <c r="Q25" s="10">
        <f t="shared" si="18"/>
        <v>0.21268582362486632</v>
      </c>
      <c r="R25" s="10">
        <f t="shared" si="18"/>
        <v>0.22717857724805474</v>
      </c>
      <c r="S25" s="10">
        <f t="shared" si="18"/>
        <v>0.24167133087124315</v>
      </c>
      <c r="T25" s="10">
        <f t="shared" si="18"/>
        <v>0.25616408449443157</v>
      </c>
      <c r="U25" s="10">
        <f t="shared" si="18"/>
        <v>0.27065683811761998</v>
      </c>
      <c r="V25" s="10">
        <f t="shared" si="18"/>
        <v>0.28514959174080839</v>
      </c>
      <c r="W25" s="10">
        <f t="shared" si="18"/>
        <v>0.29964234536399681</v>
      </c>
      <c r="X25" s="10">
        <f t="shared" si="18"/>
        <v>0.31413509898718522</v>
      </c>
      <c r="Y25" s="10">
        <f t="shared" si="18"/>
        <v>0.32862785261037364</v>
      </c>
      <c r="Z25" s="10">
        <f t="shared" si="18"/>
        <v>0.34312060623356205</v>
      </c>
      <c r="AA25" s="10">
        <f t="shared" si="18"/>
        <v>0.35761335985675047</v>
      </c>
      <c r="AB25" s="10">
        <f t="shared" si="18"/>
        <v>0.37210611347993888</v>
      </c>
      <c r="AC25" s="10">
        <f t="shared" si="18"/>
        <v>0.3865988671031273</v>
      </c>
      <c r="AD25" s="10">
        <f t="shared" si="18"/>
        <v>0.40109162072631571</v>
      </c>
      <c r="AE25" s="10">
        <f t="shared" si="18"/>
        <v>0.41558437434950413</v>
      </c>
      <c r="AF25" s="10">
        <f t="shared" si="18"/>
        <v>0.43007712797269254</v>
      </c>
      <c r="AG25" s="10">
        <f t="shared" si="18"/>
        <v>0.44456988159588096</v>
      </c>
      <c r="AH25" s="10">
        <f t="shared" si="18"/>
        <v>0.45906263521906937</v>
      </c>
      <c r="AI25" s="10">
        <f t="shared" si="18"/>
        <v>0.47355538884225779</v>
      </c>
      <c r="AJ25" s="10">
        <f t="shared" ref="AJ25:BO25" si="19">IF(OR(AK25&lt;=AJ24,AK25-1/69&gt;AJ24),AK25-1/69,AJ24-0.0001)</f>
        <v>0.4880481424654462</v>
      </c>
      <c r="AK25" s="10">
        <f t="shared" si="19"/>
        <v>0.50254089608863461</v>
      </c>
      <c r="AL25" s="10">
        <f t="shared" si="19"/>
        <v>0.51703364971182297</v>
      </c>
      <c r="AM25" s="10">
        <f t="shared" si="19"/>
        <v>0.53152640333501133</v>
      </c>
      <c r="AN25" s="10">
        <f t="shared" si="19"/>
        <v>0.54601915695819969</v>
      </c>
      <c r="AO25" s="10">
        <f t="shared" si="19"/>
        <v>0.56051191058138805</v>
      </c>
      <c r="AP25" s="10">
        <f t="shared" si="19"/>
        <v>0.56521739130434923</v>
      </c>
      <c r="AQ25" s="10">
        <f t="shared" si="19"/>
        <v>0.57971014492753759</v>
      </c>
      <c r="AR25" s="10">
        <f t="shared" si="19"/>
        <v>0.59420289855072594</v>
      </c>
      <c r="AS25" s="10">
        <f t="shared" si="19"/>
        <v>0.6086956521739143</v>
      </c>
      <c r="AT25" s="10">
        <f t="shared" si="19"/>
        <v>0.62318840579710266</v>
      </c>
      <c r="AU25" s="10">
        <f t="shared" si="19"/>
        <v>0.63768115942029102</v>
      </c>
      <c r="AV25" s="10">
        <f t="shared" si="19"/>
        <v>0.65217391304347938</v>
      </c>
      <c r="AW25" s="10">
        <f t="shared" si="19"/>
        <v>0.66666666666666774</v>
      </c>
      <c r="AX25" s="10">
        <f t="shared" si="19"/>
        <v>0.6811594202898561</v>
      </c>
      <c r="AY25" s="10">
        <f t="shared" si="19"/>
        <v>0.69565217391304446</v>
      </c>
      <c r="AZ25" s="10">
        <f t="shared" si="19"/>
        <v>0.71014492753623282</v>
      </c>
      <c r="BA25" s="10">
        <f t="shared" si="19"/>
        <v>0.72463768115942118</v>
      </c>
      <c r="BB25" s="10">
        <f t="shared" si="19"/>
        <v>0.73913043478260954</v>
      </c>
      <c r="BC25" s="10">
        <f t="shared" si="19"/>
        <v>0.75362318840579789</v>
      </c>
      <c r="BD25" s="10">
        <f t="shared" si="19"/>
        <v>0.76811594202898625</v>
      </c>
      <c r="BE25" s="10">
        <f t="shared" si="19"/>
        <v>0.78260869565217461</v>
      </c>
      <c r="BF25" s="10">
        <f t="shared" si="19"/>
        <v>0.79710144927536297</v>
      </c>
      <c r="BG25" s="10">
        <f t="shared" si="19"/>
        <v>0.81159420289855133</v>
      </c>
      <c r="BH25" s="10">
        <f t="shared" si="19"/>
        <v>0.82608695652173969</v>
      </c>
      <c r="BI25" s="10">
        <f t="shared" si="19"/>
        <v>0.84057971014492805</v>
      </c>
      <c r="BJ25" s="10">
        <f t="shared" si="19"/>
        <v>0.85507246376811641</v>
      </c>
      <c r="BK25" s="10">
        <f t="shared" si="19"/>
        <v>0.86956521739130477</v>
      </c>
      <c r="BL25" s="10">
        <f t="shared" si="19"/>
        <v>0.88405797101449313</v>
      </c>
      <c r="BM25" s="10">
        <f t="shared" si="19"/>
        <v>0.89855072463768149</v>
      </c>
      <c r="BN25" s="10">
        <f t="shared" si="19"/>
        <v>0.91304347826086985</v>
      </c>
      <c r="BO25" s="10">
        <f t="shared" si="19"/>
        <v>0.9275362318840582</v>
      </c>
      <c r="BP25" s="10">
        <f t="shared" ref="BP25:BS25" si="20">IF(OR(BQ25&lt;=BP24,BQ25-1/69&gt;BP24),BQ25-1/69,BP24-0.0001)</f>
        <v>0.94202898550724656</v>
      </c>
      <c r="BQ25" s="10">
        <f t="shared" si="20"/>
        <v>0.95652173913043492</v>
      </c>
      <c r="BR25" s="10">
        <f t="shared" si="20"/>
        <v>0.97101449275362328</v>
      </c>
      <c r="BS25" s="10">
        <f t="shared" si="20"/>
        <v>0.98550724637681164</v>
      </c>
      <c r="BT25" s="10">
        <f t="shared" ref="BT25:CF25" si="21">($CG$25-1)*(BT3-70)/($CG$3-70)+1</f>
        <v>1</v>
      </c>
      <c r="BU25" s="10">
        <f t="shared" si="21"/>
        <v>1.0990537133847369</v>
      </c>
      <c r="BV25" s="10">
        <f t="shared" si="21"/>
        <v>1.1981074267694738</v>
      </c>
      <c r="BW25" s="10">
        <f t="shared" si="21"/>
        <v>1.2971611401542109</v>
      </c>
      <c r="BX25" s="10">
        <f t="shared" si="21"/>
        <v>1.3962148535389478</v>
      </c>
      <c r="BY25" s="10">
        <f t="shared" si="21"/>
        <v>1.4952685669236847</v>
      </c>
      <c r="BZ25" s="10">
        <f t="shared" si="21"/>
        <v>1.5943222803084218</v>
      </c>
      <c r="CA25" s="10">
        <f t="shared" si="21"/>
        <v>1.6933759936931585</v>
      </c>
      <c r="CB25" s="10">
        <f t="shared" si="21"/>
        <v>1.7924297070778956</v>
      </c>
      <c r="CC25" s="10">
        <f t="shared" si="21"/>
        <v>1.8914834204626327</v>
      </c>
      <c r="CD25" s="10">
        <f t="shared" si="21"/>
        <v>1.9905371338473694</v>
      </c>
      <c r="CE25" s="10">
        <f t="shared" si="21"/>
        <v>2.0895908472321061</v>
      </c>
      <c r="CF25" s="10">
        <f t="shared" si="21"/>
        <v>2.1886445606168436</v>
      </c>
      <c r="CG25" s="10">
        <f>1.5*$CG$26</f>
        <v>2.2876982740015803</v>
      </c>
    </row>
    <row r="26" spans="2:85" ht="16.5" customHeight="1">
      <c r="B26" s="10" t="s">
        <v>1178</v>
      </c>
      <c r="C26" s="10">
        <f t="shared" ref="C26:AH26" si="22">IF(1+C23-1/C18&gt;0,SQRT(C23/(1+C23-1/C18)),$CG$26)</f>
        <v>1.5251321826677202</v>
      </c>
      <c r="D26" s="10">
        <f t="shared" si="22"/>
        <v>1.5251321826677202</v>
      </c>
      <c r="E26" s="10">
        <f t="shared" si="22"/>
        <v>1.5251321826677202</v>
      </c>
      <c r="F26" s="10">
        <f t="shared" si="22"/>
        <v>1.5251321826677202</v>
      </c>
      <c r="G26" s="10">
        <f t="shared" si="22"/>
        <v>1.5251321826677202</v>
      </c>
      <c r="H26" s="10">
        <f t="shared" si="22"/>
        <v>1.5251321826677202</v>
      </c>
      <c r="I26" s="10">
        <f t="shared" si="22"/>
        <v>1.5251321826677202</v>
      </c>
      <c r="J26" s="10">
        <f t="shared" si="22"/>
        <v>1.5251321826677202</v>
      </c>
      <c r="K26" s="10">
        <f t="shared" si="22"/>
        <v>1.5251321826677202</v>
      </c>
      <c r="L26" s="10">
        <f t="shared" si="22"/>
        <v>1.5251321826677202</v>
      </c>
      <c r="M26" s="10">
        <f t="shared" si="22"/>
        <v>1.5251321826677202</v>
      </c>
      <c r="N26" s="10">
        <f t="shared" si="22"/>
        <v>1.5251321826677202</v>
      </c>
      <c r="O26" s="10">
        <f t="shared" si="22"/>
        <v>1.5251321826677202</v>
      </c>
      <c r="P26" s="10">
        <f t="shared" si="22"/>
        <v>1.5251321826677202</v>
      </c>
      <c r="Q26" s="10">
        <f t="shared" si="22"/>
        <v>1.5251321826677202</v>
      </c>
      <c r="R26" s="10">
        <f t="shared" si="22"/>
        <v>1.5251321826677202</v>
      </c>
      <c r="S26" s="10">
        <f t="shared" si="22"/>
        <v>1.5251321826677202</v>
      </c>
      <c r="T26" s="10">
        <f t="shared" si="22"/>
        <v>1.5251321826677202</v>
      </c>
      <c r="U26" s="10">
        <f t="shared" si="22"/>
        <v>1.5251321826677202</v>
      </c>
      <c r="V26" s="10">
        <f t="shared" si="22"/>
        <v>1.5251321826677202</v>
      </c>
      <c r="W26" s="10">
        <f t="shared" si="22"/>
        <v>1.5251321826677202</v>
      </c>
      <c r="X26" s="10">
        <f t="shared" si="22"/>
        <v>1.5251321826677202</v>
      </c>
      <c r="Y26" s="10">
        <f t="shared" si="22"/>
        <v>1.5251321826677202</v>
      </c>
      <c r="Z26" s="10">
        <f t="shared" si="22"/>
        <v>1.5251321826677202</v>
      </c>
      <c r="AA26" s="10">
        <f t="shared" si="22"/>
        <v>1.5251321826677202</v>
      </c>
      <c r="AB26" s="10">
        <f t="shared" si="22"/>
        <v>1.5251321826677202</v>
      </c>
      <c r="AC26" s="10">
        <f t="shared" si="22"/>
        <v>1.5251321826677202</v>
      </c>
      <c r="AD26" s="10">
        <f t="shared" si="22"/>
        <v>1.5251321826677202</v>
      </c>
      <c r="AE26" s="10">
        <f t="shared" si="22"/>
        <v>1.5251321826677202</v>
      </c>
      <c r="AF26" s="10">
        <f t="shared" si="22"/>
        <v>1.5251321826677202</v>
      </c>
      <c r="AG26" s="10">
        <f t="shared" si="22"/>
        <v>1.5251321826677202</v>
      </c>
      <c r="AH26" s="10">
        <f t="shared" si="22"/>
        <v>1.5251321826677202</v>
      </c>
      <c r="AI26" s="10">
        <f t="shared" ref="AI26:BN26" si="23">IF(1+AI23-1/AI18&gt;0,SQRT(AI23/(1+AI23-1/AI18)),$CG$26)</f>
        <v>1.5251321826677202</v>
      </c>
      <c r="AJ26" s="10">
        <f t="shared" si="23"/>
        <v>1.5251321826677202</v>
      </c>
      <c r="AK26" s="10">
        <f t="shared" si="23"/>
        <v>1.5251321826677202</v>
      </c>
      <c r="AL26" s="10">
        <f t="shared" si="23"/>
        <v>1.5251321826677202</v>
      </c>
      <c r="AM26" s="10">
        <f t="shared" si="23"/>
        <v>1.5251321826677202</v>
      </c>
      <c r="AN26" s="10">
        <f t="shared" si="23"/>
        <v>1.5251321826677202</v>
      </c>
      <c r="AO26" s="10">
        <f t="shared" si="23"/>
        <v>1.5251321826677202</v>
      </c>
      <c r="AP26" s="10">
        <f t="shared" si="23"/>
        <v>1.5251321826677202</v>
      </c>
      <c r="AQ26" s="10">
        <f t="shared" si="23"/>
        <v>1.5251321826677202</v>
      </c>
      <c r="AR26" s="10">
        <f t="shared" si="23"/>
        <v>1.5251321826677202</v>
      </c>
      <c r="AS26" s="10">
        <f t="shared" si="23"/>
        <v>1.5251321826677202</v>
      </c>
      <c r="AT26" s="10">
        <f t="shared" si="23"/>
        <v>1.5251321826677202</v>
      </c>
      <c r="AU26" s="10">
        <f t="shared" si="23"/>
        <v>1.5251321826677202</v>
      </c>
      <c r="AV26" s="10">
        <f t="shared" si="23"/>
        <v>1.5251321826677202</v>
      </c>
      <c r="AW26" s="10">
        <f t="shared" si="23"/>
        <v>1.5251321826677202</v>
      </c>
      <c r="AX26" s="10">
        <f t="shared" si="23"/>
        <v>1.5251321826677202</v>
      </c>
      <c r="AY26" s="10">
        <f t="shared" si="23"/>
        <v>1.5251321826677202</v>
      </c>
      <c r="AZ26" s="10">
        <f t="shared" si="23"/>
        <v>1.5251321826677202</v>
      </c>
      <c r="BA26" s="10">
        <f t="shared" si="23"/>
        <v>1.5251321826677202</v>
      </c>
      <c r="BB26" s="10">
        <f t="shared" si="23"/>
        <v>1.5251321826677202</v>
      </c>
      <c r="BC26" s="10">
        <f t="shared" si="23"/>
        <v>1.5251321826677202</v>
      </c>
      <c r="BD26" s="10">
        <f t="shared" si="23"/>
        <v>1.5251321826677202</v>
      </c>
      <c r="BE26" s="10">
        <f t="shared" si="23"/>
        <v>1.5251321826677202</v>
      </c>
      <c r="BF26" s="10">
        <f t="shared" si="23"/>
        <v>1.5251321826677202</v>
      </c>
      <c r="BG26" s="10">
        <f t="shared" si="23"/>
        <v>1.5251321826677202</v>
      </c>
      <c r="BH26" s="10">
        <f t="shared" si="23"/>
        <v>1.5251321826677202</v>
      </c>
      <c r="BI26" s="10">
        <f t="shared" si="23"/>
        <v>1.5251321826677202</v>
      </c>
      <c r="BJ26" s="10">
        <f t="shared" si="23"/>
        <v>1.5251321826677202</v>
      </c>
      <c r="BK26" s="10">
        <f t="shared" si="23"/>
        <v>1.5251321826677202</v>
      </c>
      <c r="BL26" s="10">
        <f t="shared" si="23"/>
        <v>1.5251321826677202</v>
      </c>
      <c r="BM26" s="10">
        <f t="shared" si="23"/>
        <v>1.5251321826677202</v>
      </c>
      <c r="BN26" s="10">
        <f t="shared" si="23"/>
        <v>1.5251321826677202</v>
      </c>
      <c r="BO26" s="10">
        <f t="shared" ref="BO26:CF26" si="24">IF(1+BO23-1/BO18&gt;0,SQRT(BO23/(1+BO23-1/BO18)),$CG$26)</f>
        <v>1.5251321826677202</v>
      </c>
      <c r="BP26" s="10">
        <f t="shared" si="24"/>
        <v>1.5251321826677202</v>
      </c>
      <c r="BQ26" s="10">
        <f t="shared" si="24"/>
        <v>1.5251321826677202</v>
      </c>
      <c r="BR26" s="10">
        <f t="shared" si="24"/>
        <v>1.5251321826677202</v>
      </c>
      <c r="BS26" s="10">
        <f t="shared" si="24"/>
        <v>1.5251321826677202</v>
      </c>
      <c r="BT26" s="10">
        <f t="shared" si="24"/>
        <v>1.5251321826677202</v>
      </c>
      <c r="BU26" s="10">
        <f t="shared" si="24"/>
        <v>1.5251321826677202</v>
      </c>
      <c r="BV26" s="10">
        <f t="shared" si="24"/>
        <v>1.5251321826677202</v>
      </c>
      <c r="BW26" s="10">
        <f t="shared" si="24"/>
        <v>1.5251321826677202</v>
      </c>
      <c r="BX26" s="10">
        <f t="shared" si="24"/>
        <v>1.5251321826677202</v>
      </c>
      <c r="BY26" s="10">
        <f t="shared" si="24"/>
        <v>1.5251321826677202</v>
      </c>
      <c r="BZ26" s="10">
        <f t="shared" si="24"/>
        <v>1.5251321826677202</v>
      </c>
      <c r="CA26" s="10">
        <f t="shared" si="24"/>
        <v>1.5251321826677202</v>
      </c>
      <c r="CB26" s="10">
        <f t="shared" si="24"/>
        <v>1.5251321826677202</v>
      </c>
      <c r="CC26" s="10">
        <f t="shared" si="24"/>
        <v>1.5251321826677202</v>
      </c>
      <c r="CD26" s="10">
        <f t="shared" si="24"/>
        <v>1.5251321826677202</v>
      </c>
      <c r="CE26" s="10">
        <f t="shared" si="24"/>
        <v>1.5251321826677202</v>
      </c>
      <c r="CF26" s="10">
        <f t="shared" si="24"/>
        <v>1.5251321826677202</v>
      </c>
      <c r="CG26" s="10">
        <f>MAX(IF(1+$C$23-1/$C$18&gt;0,SQRT($C$23/(1+$C$23-1/$C$18)),0),(SQRT(MAX(0,1/$C$18^2-(1+$C$23)^2))/$C$41+SQRT(SQRT(MAX(0,1/$C$18^2-(1+$C$23)^2))/$C$41^2+4))/2,'Design Spec'!$D$43/'Res. Tank Design'!$D$55)</f>
        <v>1.5251321826677202</v>
      </c>
    </row>
    <row r="27" spans="2:85" ht="16.5" customHeight="1">
      <c r="B27" s="10" t="s">
        <v>789</v>
      </c>
      <c r="C27" s="10">
        <f>C26*'Res. Tank Design'!$D$55</f>
        <v>231.43619179375941</v>
      </c>
      <c r="D27" s="10">
        <f>D26*'Res. Tank Design'!$D$55</f>
        <v>231.43619179375941</v>
      </c>
      <c r="E27" s="10">
        <f>E26*'Res. Tank Design'!$D$55</f>
        <v>231.43619179375941</v>
      </c>
      <c r="F27" s="10">
        <f>F26*'Res. Tank Design'!$D$55</f>
        <v>231.43619179375941</v>
      </c>
      <c r="G27" s="10">
        <f>G26*'Res. Tank Design'!$D$55</f>
        <v>231.43619179375941</v>
      </c>
      <c r="H27" s="10">
        <f>H26*'Res. Tank Design'!$D$55</f>
        <v>231.43619179375941</v>
      </c>
      <c r="I27" s="10">
        <f>I26*'Res. Tank Design'!$D$55</f>
        <v>231.43619179375941</v>
      </c>
      <c r="J27" s="10">
        <f>J26*'Res. Tank Design'!$D$55</f>
        <v>231.43619179375941</v>
      </c>
      <c r="K27" s="10">
        <f>K26*'Res. Tank Design'!$D$55</f>
        <v>231.43619179375941</v>
      </c>
      <c r="L27" s="10">
        <f>L26*'Res. Tank Design'!$D$55</f>
        <v>231.43619179375941</v>
      </c>
      <c r="M27" s="10">
        <f>M26*'Res. Tank Design'!$D$55</f>
        <v>231.43619179375941</v>
      </c>
      <c r="N27" s="10">
        <f>N26*'Res. Tank Design'!$D$55</f>
        <v>231.43619179375941</v>
      </c>
      <c r="O27" s="10">
        <f>O26*'Res. Tank Design'!$D$55</f>
        <v>231.43619179375941</v>
      </c>
      <c r="P27" s="10">
        <f>P26*'Res. Tank Design'!$D$55</f>
        <v>231.43619179375941</v>
      </c>
      <c r="Q27" s="10">
        <f>Q26*'Res. Tank Design'!$D$55</f>
        <v>231.43619179375941</v>
      </c>
      <c r="R27" s="10">
        <f>R26*'Res. Tank Design'!$D$55</f>
        <v>231.43619179375941</v>
      </c>
      <c r="S27" s="10">
        <f>S26*'Res. Tank Design'!$D$55</f>
        <v>231.43619179375941</v>
      </c>
      <c r="T27" s="10">
        <f>T26*'Res. Tank Design'!$D$55</f>
        <v>231.43619179375941</v>
      </c>
      <c r="U27" s="10">
        <f>U26*'Res. Tank Design'!$D$55</f>
        <v>231.43619179375941</v>
      </c>
      <c r="V27" s="10">
        <f>V26*'Res. Tank Design'!$D$55</f>
        <v>231.43619179375941</v>
      </c>
      <c r="W27" s="10">
        <f>W26*'Res. Tank Design'!$D$55</f>
        <v>231.43619179375941</v>
      </c>
      <c r="X27" s="10">
        <f>X26*'Res. Tank Design'!$D$55</f>
        <v>231.43619179375941</v>
      </c>
      <c r="Y27" s="10">
        <f>Y26*'Res. Tank Design'!$D$55</f>
        <v>231.43619179375941</v>
      </c>
      <c r="Z27" s="10">
        <f>Z26*'Res. Tank Design'!$D$55</f>
        <v>231.43619179375941</v>
      </c>
      <c r="AA27" s="10">
        <f>AA26*'Res. Tank Design'!$D$55</f>
        <v>231.43619179375941</v>
      </c>
      <c r="AB27" s="10">
        <f>AB26*'Res. Tank Design'!$D$55</f>
        <v>231.43619179375941</v>
      </c>
      <c r="AC27" s="10">
        <f>AC26*'Res. Tank Design'!$D$55</f>
        <v>231.43619179375941</v>
      </c>
      <c r="AD27" s="10">
        <f>AD26*'Res. Tank Design'!$D$55</f>
        <v>231.43619179375941</v>
      </c>
      <c r="AE27" s="10">
        <f>AE26*'Res. Tank Design'!$D$55</f>
        <v>231.43619179375941</v>
      </c>
      <c r="AF27" s="10">
        <f>AF26*'Res. Tank Design'!$D$55</f>
        <v>231.43619179375941</v>
      </c>
      <c r="AG27" s="10">
        <f>AG26*'Res. Tank Design'!$D$55</f>
        <v>231.43619179375941</v>
      </c>
      <c r="AH27" s="10">
        <f>AH26*'Res. Tank Design'!$D$55</f>
        <v>231.43619179375941</v>
      </c>
      <c r="AI27" s="10">
        <f>AI26*'Res. Tank Design'!$D$55</f>
        <v>231.43619179375941</v>
      </c>
      <c r="AJ27" s="10">
        <f>AJ26*'Res. Tank Design'!$D$55</f>
        <v>231.43619179375941</v>
      </c>
      <c r="AK27" s="10">
        <f>AK26*'Res. Tank Design'!$D$55</f>
        <v>231.43619179375941</v>
      </c>
      <c r="AL27" s="10">
        <f>AL26*'Res. Tank Design'!$D$55</f>
        <v>231.43619179375941</v>
      </c>
      <c r="AM27" s="10">
        <f>AM26*'Res. Tank Design'!$D$55</f>
        <v>231.43619179375941</v>
      </c>
      <c r="AN27" s="10">
        <f>AN26*'Res. Tank Design'!$D$55</f>
        <v>231.43619179375941</v>
      </c>
      <c r="AO27" s="10">
        <f>AO26*'Res. Tank Design'!$D$55</f>
        <v>231.43619179375941</v>
      </c>
      <c r="AP27" s="10">
        <f>AP26*'Res. Tank Design'!$D$55</f>
        <v>231.43619179375941</v>
      </c>
      <c r="AQ27" s="10">
        <f>AQ26*'Res. Tank Design'!$D$55</f>
        <v>231.43619179375941</v>
      </c>
      <c r="AR27" s="10">
        <f>AR26*'Res. Tank Design'!$D$55</f>
        <v>231.43619179375941</v>
      </c>
      <c r="AS27" s="10">
        <f>AS26*'Res. Tank Design'!$D$55</f>
        <v>231.43619179375941</v>
      </c>
      <c r="AT27" s="10">
        <f>AT26*'Res. Tank Design'!$D$55</f>
        <v>231.43619179375941</v>
      </c>
      <c r="AU27" s="10">
        <f>AU26*'Res. Tank Design'!$D$55</f>
        <v>231.43619179375941</v>
      </c>
      <c r="AV27" s="10">
        <f>AV26*'Res. Tank Design'!$D$55</f>
        <v>231.43619179375941</v>
      </c>
      <c r="AW27" s="10">
        <f>AW26*'Res. Tank Design'!$D$55</f>
        <v>231.43619179375941</v>
      </c>
      <c r="AX27" s="10">
        <f>AX26*'Res. Tank Design'!$D$55</f>
        <v>231.43619179375941</v>
      </c>
      <c r="AY27" s="10">
        <f>AY26*'Res. Tank Design'!$D$55</f>
        <v>231.43619179375941</v>
      </c>
      <c r="AZ27" s="10">
        <f>AZ26*'Res. Tank Design'!$D$55</f>
        <v>231.43619179375941</v>
      </c>
      <c r="BA27" s="10">
        <f>BA26*'Res. Tank Design'!$D$55</f>
        <v>231.43619179375941</v>
      </c>
      <c r="BB27" s="10">
        <f>BB26*'Res. Tank Design'!$D$55</f>
        <v>231.43619179375941</v>
      </c>
      <c r="BC27" s="10">
        <f>BC26*'Res. Tank Design'!$D$55</f>
        <v>231.43619179375941</v>
      </c>
      <c r="BD27" s="10">
        <f>BD26*'Res. Tank Design'!$D$55</f>
        <v>231.43619179375941</v>
      </c>
      <c r="BE27" s="10">
        <f>BE26*'Res. Tank Design'!$D$55</f>
        <v>231.43619179375941</v>
      </c>
      <c r="BF27" s="10">
        <f>BF26*'Res. Tank Design'!$D$55</f>
        <v>231.43619179375941</v>
      </c>
      <c r="BG27" s="10">
        <f>BG26*'Res. Tank Design'!$D$55</f>
        <v>231.43619179375941</v>
      </c>
      <c r="BH27" s="10">
        <f>BH26*'Res. Tank Design'!$D$55</f>
        <v>231.43619179375941</v>
      </c>
      <c r="BI27" s="10">
        <f>BI26*'Res. Tank Design'!$D$55</f>
        <v>231.43619179375941</v>
      </c>
      <c r="BJ27" s="10">
        <f>BJ26*'Res. Tank Design'!$D$55</f>
        <v>231.43619179375941</v>
      </c>
      <c r="BK27" s="10">
        <f>BK26*'Res. Tank Design'!$D$55</f>
        <v>231.43619179375941</v>
      </c>
      <c r="BL27" s="10">
        <f>BL26*'Res. Tank Design'!$D$55</f>
        <v>231.43619179375941</v>
      </c>
      <c r="BM27" s="10">
        <f>BM26*'Res. Tank Design'!$D$55</f>
        <v>231.43619179375941</v>
      </c>
      <c r="BN27" s="10">
        <f>BN26*'Res. Tank Design'!$D$55</f>
        <v>231.43619179375941</v>
      </c>
      <c r="BO27" s="10">
        <f>BO26*'Res. Tank Design'!$D$55</f>
        <v>231.43619179375941</v>
      </c>
      <c r="BP27" s="10">
        <f>BP26*'Res. Tank Design'!$D$55</f>
        <v>231.43619179375941</v>
      </c>
      <c r="BQ27" s="10">
        <f>BQ26*'Res. Tank Design'!$D$55</f>
        <v>231.43619179375941</v>
      </c>
      <c r="BR27" s="10">
        <f>BR26*'Res. Tank Design'!$D$55</f>
        <v>231.43619179375941</v>
      </c>
      <c r="BS27" s="10">
        <f>BS26*'Res. Tank Design'!$D$55</f>
        <v>231.43619179375941</v>
      </c>
      <c r="BT27" s="10">
        <f>BT26*'Res. Tank Design'!$D$55</f>
        <v>231.43619179375941</v>
      </c>
      <c r="BU27" s="10">
        <f>BU26*'Res. Tank Design'!$D$55</f>
        <v>231.43619179375941</v>
      </c>
      <c r="BV27" s="10">
        <f>BV26*'Res. Tank Design'!$D$55</f>
        <v>231.43619179375941</v>
      </c>
      <c r="BW27" s="10">
        <f>BW26*'Res. Tank Design'!$D$55</f>
        <v>231.43619179375941</v>
      </c>
      <c r="BX27" s="10">
        <f>BX26*'Res. Tank Design'!$D$55</f>
        <v>231.43619179375941</v>
      </c>
      <c r="BY27" s="10">
        <f>BY26*'Res. Tank Design'!$D$55</f>
        <v>231.43619179375941</v>
      </c>
      <c r="BZ27" s="10">
        <f>BZ26*'Res. Tank Design'!$D$55</f>
        <v>231.43619179375941</v>
      </c>
      <c r="CA27" s="10">
        <f>CA26*'Res. Tank Design'!$D$55</f>
        <v>231.43619179375941</v>
      </c>
      <c r="CB27" s="10">
        <f>CB26*'Res. Tank Design'!$D$55</f>
        <v>231.43619179375941</v>
      </c>
      <c r="CC27" s="10">
        <f>CC26*'Res. Tank Design'!$D$55</f>
        <v>231.43619179375941</v>
      </c>
      <c r="CD27" s="10">
        <f>CD26*'Res. Tank Design'!$D$55</f>
        <v>231.43619179375941</v>
      </c>
      <c r="CE27" s="10">
        <f>CE26*'Res. Tank Design'!$D$55</f>
        <v>231.43619179375941</v>
      </c>
      <c r="CF27" s="10">
        <f>CF26*'Res. Tank Design'!$D$55</f>
        <v>231.43619179375941</v>
      </c>
      <c r="CG27" s="10">
        <f>CG26*'Res. Tank Design'!$D$55</f>
        <v>231.43619179375941</v>
      </c>
    </row>
    <row r="28" spans="2:85" ht="16.5" customHeight="1">
      <c r="B28" s="10" t="s">
        <v>790</v>
      </c>
      <c r="C28" s="10">
        <f t="shared" ref="C28:AH28" si="25">1/ABS(1+C23-(C23/(C25^2)))</f>
        <v>2.1818182512396718E-8</v>
      </c>
      <c r="D28" s="10">
        <f t="shared" si="25"/>
        <v>1.2886419367458453E-3</v>
      </c>
      <c r="E28" s="10">
        <f t="shared" si="25"/>
        <v>3.2957540508757933E-3</v>
      </c>
      <c r="F28" s="10">
        <f t="shared" si="25"/>
        <v>6.2466838217803949E-3</v>
      </c>
      <c r="G28" s="10">
        <f t="shared" si="25"/>
        <v>1.0165634844491057E-2</v>
      </c>
      <c r="H28" s="10">
        <f t="shared" si="25"/>
        <v>1.5085230808885637E-2</v>
      </c>
      <c r="I28" s="10">
        <f t="shared" si="25"/>
        <v>2.104720710419164E-2</v>
      </c>
      <c r="J28" s="10">
        <f t="shared" si="25"/>
        <v>2.8103319587713758E-2</v>
      </c>
      <c r="K28" s="10">
        <f t="shared" si="25"/>
        <v>3.6316508449383139E-2</v>
      </c>
      <c r="L28" s="10">
        <f t="shared" si="25"/>
        <v>4.5762367743434479E-2</v>
      </c>
      <c r="M28" s="10">
        <f t="shared" si="25"/>
        <v>5.6530987448607108E-2</v>
      </c>
      <c r="N28" s="10">
        <f t="shared" si="25"/>
        <v>6.8729256295102084E-2</v>
      </c>
      <c r="O28" s="10">
        <f t="shared" si="25"/>
        <v>8.2483742085161724E-2</v>
      </c>
      <c r="P28" s="10">
        <f t="shared" si="25"/>
        <v>9.7944304735298124E-2</v>
      </c>
      <c r="Q28" s="10">
        <f t="shared" si="25"/>
        <v>0.11528864999952876</v>
      </c>
      <c r="R28" s="10">
        <f t="shared" si="25"/>
        <v>0.1347281050187448</v>
      </c>
      <c r="S28" s="10">
        <f t="shared" si="25"/>
        <v>0.15651499980883612</v>
      </c>
      <c r="T28" s="10">
        <f t="shared" si="25"/>
        <v>0.18095218575415503</v>
      </c>
      <c r="U28" s="10">
        <f t="shared" si="25"/>
        <v>0.20840543512238516</v>
      </c>
      <c r="V28" s="10">
        <f t="shared" si="25"/>
        <v>0.23931977930378859</v>
      </c>
      <c r="W28" s="10">
        <f t="shared" si="25"/>
        <v>0.27424131386312434</v>
      </c>
      <c r="X28" s="10">
        <f t="shared" si="25"/>
        <v>0.31384671772931005</v>
      </c>
      <c r="Y28" s="10">
        <f t="shared" si="25"/>
        <v>0.3589838574142431</v>
      </c>
      <c r="Z28" s="10">
        <f t="shared" si="25"/>
        <v>0.41072864448862639</v>
      </c>
      <c r="AA28" s="10">
        <f t="shared" si="25"/>
        <v>0.47046626668653735</v>
      </c>
      <c r="AB28" s="10">
        <f t="shared" si="25"/>
        <v>0.54000990781304037</v>
      </c>
      <c r="AC28" s="10">
        <f t="shared" si="25"/>
        <v>0.62177881033586746</v>
      </c>
      <c r="AD28" s="10">
        <f t="shared" si="25"/>
        <v>0.71907341857608231</v>
      </c>
      <c r="AE28" s="10">
        <f t="shared" si="25"/>
        <v>0.83651551018079373</v>
      </c>
      <c r="AF28" s="10">
        <f t="shared" si="25"/>
        <v>0.98078153994784389</v>
      </c>
      <c r="AG28" s="10">
        <f t="shared" si="25"/>
        <v>1.1618855338834528</v>
      </c>
      <c r="AH28" s="10">
        <f t="shared" si="25"/>
        <v>1.3955605407023011</v>
      </c>
      <c r="AI28" s="10">
        <f t="shared" ref="AI28:BN28" si="26">1/ABS(1+AI23-(AI23/(AI25^2)))</f>
        <v>1.70801881699095</v>
      </c>
      <c r="AJ28" s="10">
        <f t="shared" si="26"/>
        <v>2.1464163817304032</v>
      </c>
      <c r="AK28" s="10">
        <f t="shared" si="26"/>
        <v>2.8049873938594398</v>
      </c>
      <c r="AL28" s="10">
        <f t="shared" si="26"/>
        <v>3.9033273688464369</v>
      </c>
      <c r="AM28" s="10">
        <f t="shared" si="26"/>
        <v>6.098718634915044</v>
      </c>
      <c r="AN28" s="10">
        <f t="shared" si="26"/>
        <v>12.659566924581251</v>
      </c>
      <c r="AO28" s="10">
        <f t="shared" si="26"/>
        <v>1921.5837087114464</v>
      </c>
      <c r="AP28" s="10">
        <f t="shared" si="26"/>
        <v>42.249999999987104</v>
      </c>
      <c r="AQ28" s="10">
        <f t="shared" si="26"/>
        <v>10.581427390464974</v>
      </c>
      <c r="AR28" s="10">
        <f t="shared" si="26"/>
        <v>6.2413366336631526</v>
      </c>
      <c r="AS28" s="10">
        <f t="shared" si="26"/>
        <v>4.5187319884725161</v>
      </c>
      <c r="AT28" s="10">
        <f t="shared" si="26"/>
        <v>3.5949449125080415</v>
      </c>
      <c r="AU28" s="10">
        <f t="shared" si="26"/>
        <v>3.0192994996425648</v>
      </c>
      <c r="AV28" s="10">
        <f t="shared" si="26"/>
        <v>2.6264591439688467</v>
      </c>
      <c r="AW28" s="10">
        <f t="shared" si="26"/>
        <v>2.3414634146341284</v>
      </c>
      <c r="AX28" s="10">
        <f t="shared" si="26"/>
        <v>2.1254008980115326</v>
      </c>
      <c r="AY28" s="10">
        <f t="shared" si="26"/>
        <v>1.9560649474689491</v>
      </c>
      <c r="AZ28" s="10">
        <f t="shared" si="26"/>
        <v>1.8198585144012047</v>
      </c>
      <c r="BA28" s="10">
        <f t="shared" si="26"/>
        <v>1.7079905491189553</v>
      </c>
      <c r="BB28" s="10">
        <f t="shared" si="26"/>
        <v>1.6145251396647997</v>
      </c>
      <c r="BC28" s="10">
        <f t="shared" si="26"/>
        <v>1.5353095649293769</v>
      </c>
      <c r="BD28" s="10">
        <f t="shared" si="26"/>
        <v>1.4673515584189416</v>
      </c>
      <c r="BE28" s="10">
        <f t="shared" si="26"/>
        <v>1.4084404999094342</v>
      </c>
      <c r="BF28" s="10">
        <f t="shared" si="26"/>
        <v>1.35690789473684</v>
      </c>
      <c r="BG28" s="10">
        <f t="shared" si="26"/>
        <v>1.3114708393594574</v>
      </c>
      <c r="BH28" s="10">
        <f t="shared" si="26"/>
        <v>1.2711267605633787</v>
      </c>
      <c r="BI28" s="10">
        <f t="shared" si="26"/>
        <v>1.2350808487203404</v>
      </c>
      <c r="BJ28" s="10">
        <f t="shared" si="26"/>
        <v>1.2026949211102145</v>
      </c>
      <c r="BK28" s="10">
        <f t="shared" si="26"/>
        <v>1.1734506784011727</v>
      </c>
      <c r="BL28" s="10">
        <f t="shared" si="26"/>
        <v>1.1469228398232809</v>
      </c>
      <c r="BM28" s="10">
        <f t="shared" si="26"/>
        <v>1.1227591914225556</v>
      </c>
      <c r="BN28" s="10">
        <f t="shared" si="26"/>
        <v>1.1006655574043258</v>
      </c>
      <c r="BO28" s="10">
        <f t="shared" ref="BO28:CG28" si="27">1/ABS(1+BO23-(BO23/(BO25^2)))</f>
        <v>1.080394333380958</v>
      </c>
      <c r="BP28" s="10">
        <f t="shared" si="27"/>
        <v>1.0617356341095658</v>
      </c>
      <c r="BQ28" s="10">
        <f t="shared" si="27"/>
        <v>1.0445103857566764</v>
      </c>
      <c r="BR28" s="10">
        <f t="shared" si="27"/>
        <v>1.0285648819980142</v>
      </c>
      <c r="BS28" s="10">
        <f t="shared" si="27"/>
        <v>1.0137664544300213</v>
      </c>
      <c r="BT28" s="10">
        <f t="shared" si="27"/>
        <v>1</v>
      </c>
      <c r="BU28" s="10">
        <f t="shared" si="27"/>
        <v>0.92687605964801134</v>
      </c>
      <c r="BV28" s="10">
        <f t="shared" si="27"/>
        <v>0.87793233473094412</v>
      </c>
      <c r="BW28" s="10">
        <f t="shared" si="27"/>
        <v>0.8432116897802775</v>
      </c>
      <c r="BX28" s="10">
        <f t="shared" si="27"/>
        <v>0.81751431221486071</v>
      </c>
      <c r="BY28" s="10">
        <f t="shared" si="27"/>
        <v>0.79786908756308172</v>
      </c>
      <c r="BZ28" s="10">
        <f t="shared" si="27"/>
        <v>0.78246071684854068</v>
      </c>
      <c r="CA28" s="10">
        <f t="shared" si="27"/>
        <v>0.7701209595806876</v>
      </c>
      <c r="CB28" s="10">
        <f t="shared" si="27"/>
        <v>0.76006613168945525</v>
      </c>
      <c r="CC28" s="10">
        <f t="shared" si="27"/>
        <v>0.75175235378607119</v>
      </c>
      <c r="CD28" s="10">
        <f t="shared" si="27"/>
        <v>0.74479131918510189</v>
      </c>
      <c r="CE28" s="10">
        <f t="shared" si="27"/>
        <v>0.73889904941593587</v>
      </c>
      <c r="CF28" s="10">
        <f t="shared" si="27"/>
        <v>0.73386352963092394</v>
      </c>
      <c r="CG28" s="10">
        <f t="shared" si="27"/>
        <v>0.72952360451323239</v>
      </c>
    </row>
    <row r="29" spans="2:85" ht="16.5" customHeight="1">
      <c r="B29" s="10" t="s">
        <v>791</v>
      </c>
      <c r="C29" s="10" t="e">
        <f t="shared" ref="C29:AH29" si="28">IF(D30&gt;C30,NA(),(IF(C30&lt;1,NA(),C30)))</f>
        <v>#N/A</v>
      </c>
      <c r="D29" s="10" t="e">
        <f t="shared" si="28"/>
        <v>#N/A</v>
      </c>
      <c r="E29" s="10" t="e">
        <f t="shared" si="28"/>
        <v>#N/A</v>
      </c>
      <c r="F29" s="10" t="e">
        <f t="shared" si="28"/>
        <v>#N/A</v>
      </c>
      <c r="G29" s="10" t="e">
        <f t="shared" si="28"/>
        <v>#N/A</v>
      </c>
      <c r="H29" s="10" t="e">
        <f t="shared" si="28"/>
        <v>#N/A</v>
      </c>
      <c r="I29" s="10" t="e">
        <f t="shared" si="28"/>
        <v>#N/A</v>
      </c>
      <c r="J29" s="10" t="e">
        <f t="shared" si="28"/>
        <v>#N/A</v>
      </c>
      <c r="K29" s="10" t="e">
        <f t="shared" si="28"/>
        <v>#N/A</v>
      </c>
      <c r="L29" s="10" t="e">
        <f t="shared" si="28"/>
        <v>#N/A</v>
      </c>
      <c r="M29" s="10" t="e">
        <f t="shared" si="28"/>
        <v>#N/A</v>
      </c>
      <c r="N29" s="10" t="e">
        <f t="shared" si="28"/>
        <v>#N/A</v>
      </c>
      <c r="O29" s="10" t="e">
        <f t="shared" si="28"/>
        <v>#N/A</v>
      </c>
      <c r="P29" s="10" t="e">
        <f t="shared" si="28"/>
        <v>#N/A</v>
      </c>
      <c r="Q29" s="10" t="e">
        <f t="shared" si="28"/>
        <v>#N/A</v>
      </c>
      <c r="R29" s="10" t="e">
        <f t="shared" si="28"/>
        <v>#N/A</v>
      </c>
      <c r="S29" s="10" t="e">
        <f t="shared" si="28"/>
        <v>#N/A</v>
      </c>
      <c r="T29" s="10" t="e">
        <f t="shared" si="28"/>
        <v>#N/A</v>
      </c>
      <c r="U29" s="10" t="e">
        <f t="shared" si="28"/>
        <v>#N/A</v>
      </c>
      <c r="V29" s="10" t="e">
        <f t="shared" si="28"/>
        <v>#N/A</v>
      </c>
      <c r="W29" s="10" t="e">
        <f t="shared" si="28"/>
        <v>#N/A</v>
      </c>
      <c r="X29" s="10" t="e">
        <f t="shared" si="28"/>
        <v>#N/A</v>
      </c>
      <c r="Y29" s="10" t="e">
        <f t="shared" si="28"/>
        <v>#N/A</v>
      </c>
      <c r="Z29" s="10" t="e">
        <f t="shared" si="28"/>
        <v>#N/A</v>
      </c>
      <c r="AA29" s="10" t="e">
        <f t="shared" si="28"/>
        <v>#N/A</v>
      </c>
      <c r="AB29" s="10" t="e">
        <f t="shared" si="28"/>
        <v>#N/A</v>
      </c>
      <c r="AC29" s="10" t="e">
        <f t="shared" si="28"/>
        <v>#N/A</v>
      </c>
      <c r="AD29" s="10" t="e">
        <f t="shared" si="28"/>
        <v>#N/A</v>
      </c>
      <c r="AE29" s="10" t="e">
        <f t="shared" si="28"/>
        <v>#N/A</v>
      </c>
      <c r="AF29" s="10" t="e">
        <f t="shared" si="28"/>
        <v>#N/A</v>
      </c>
      <c r="AG29" s="10" t="e">
        <f t="shared" si="28"/>
        <v>#N/A</v>
      </c>
      <c r="AH29" s="10" t="e">
        <f t="shared" si="28"/>
        <v>#N/A</v>
      </c>
      <c r="AI29" s="10" t="e">
        <f t="shared" ref="AI29:BN29" si="29">IF(AJ30&gt;AI30,NA(),(IF(AI30&lt;1,NA(),AI30)))</f>
        <v>#N/A</v>
      </c>
      <c r="AJ29" s="10" t="e">
        <f t="shared" si="29"/>
        <v>#N/A</v>
      </c>
      <c r="AK29" s="10" t="e">
        <f t="shared" si="29"/>
        <v>#N/A</v>
      </c>
      <c r="AL29" s="10" t="e">
        <f t="shared" si="29"/>
        <v>#N/A</v>
      </c>
      <c r="AM29" s="10" t="e">
        <f t="shared" si="29"/>
        <v>#N/A</v>
      </c>
      <c r="AN29" s="10" t="e">
        <f t="shared" si="29"/>
        <v>#N/A</v>
      </c>
      <c r="AO29" s="10">
        <f t="shared" si="29"/>
        <v>1921.5837087114464</v>
      </c>
      <c r="AP29" s="10">
        <f t="shared" si="29"/>
        <v>6.499999999999007</v>
      </c>
      <c r="AQ29" s="10">
        <f t="shared" si="29"/>
        <v>3.2529106029008803</v>
      </c>
      <c r="AR29" s="10">
        <f t="shared" si="29"/>
        <v>2.4982667258847973</v>
      </c>
      <c r="AS29" s="10">
        <f t="shared" si="29"/>
        <v>2.1257309304031207</v>
      </c>
      <c r="AT29" s="10">
        <f t="shared" si="29"/>
        <v>1.8960339956097945</v>
      </c>
      <c r="AU29" s="10">
        <f t="shared" si="29"/>
        <v>1.7376131616797115</v>
      </c>
      <c r="AV29" s="10">
        <f t="shared" si="29"/>
        <v>1.6206354136476369</v>
      </c>
      <c r="AW29" s="10">
        <f t="shared" si="29"/>
        <v>1.5301841113520063</v>
      </c>
      <c r="AX29" s="10">
        <f t="shared" si="29"/>
        <v>1.4578754741100259</v>
      </c>
      <c r="AY29" s="10">
        <f t="shared" si="29"/>
        <v>1.3985939180008431</v>
      </c>
      <c r="AZ29" s="10">
        <f t="shared" si="29"/>
        <v>1.3490213172523273</v>
      </c>
      <c r="BA29" s="10">
        <f t="shared" si="29"/>
        <v>1.3069011244615849</v>
      </c>
      <c r="BB29" s="10">
        <f t="shared" si="29"/>
        <v>1.2706396576782892</v>
      </c>
      <c r="BC29" s="10">
        <f t="shared" si="29"/>
        <v>1.2390760932765092</v>
      </c>
      <c r="BD29" s="10">
        <f t="shared" si="29"/>
        <v>1.2113428740117067</v>
      </c>
      <c r="BE29" s="10">
        <f t="shared" si="29"/>
        <v>1.1867773590313537</v>
      </c>
      <c r="BF29" s="10">
        <f t="shared" si="29"/>
        <v>1.1648638953701158</v>
      </c>
      <c r="BG29" s="10">
        <f t="shared" si="29"/>
        <v>1.1451946731274369</v>
      </c>
      <c r="BH29" s="10">
        <f t="shared" si="29"/>
        <v>1.1274425752841599</v>
      </c>
      <c r="BI29" s="10">
        <f t="shared" si="29"/>
        <v>1.1113419135083229</v>
      </c>
      <c r="BJ29" s="10">
        <f t="shared" si="29"/>
        <v>1.0966744827478272</v>
      </c>
      <c r="BK29" s="10">
        <f t="shared" si="29"/>
        <v>1.0832592849365161</v>
      </c>
      <c r="BL29" s="10">
        <f t="shared" si="29"/>
        <v>1.0709448350980926</v>
      </c>
      <c r="BM29" s="10">
        <f t="shared" si="29"/>
        <v>1.0596033179556184</v>
      </c>
      <c r="BN29" s="10">
        <f t="shared" si="29"/>
        <v>1.0491260922331147</v>
      </c>
      <c r="BO29" s="10">
        <f t="shared" ref="BO29:CG29" si="30">IF(BP30&gt;BO30,NA(),(IF(BO30&lt;1,NA(),BO30)))</f>
        <v>1.0394201909627108</v>
      </c>
      <c r="BP29" s="10">
        <f t="shared" si="30"/>
        <v>1.0304055677788071</v>
      </c>
      <c r="BQ29" s="10">
        <f t="shared" si="30"/>
        <v>1.022012908801389</v>
      </c>
      <c r="BR29" s="10">
        <f t="shared" si="30"/>
        <v>1.0141818781648655</v>
      </c>
      <c r="BS29" s="10">
        <f t="shared" si="30"/>
        <v>1.0068596994765564</v>
      </c>
      <c r="BT29" s="10">
        <f t="shared" si="30"/>
        <v>1</v>
      </c>
      <c r="BU29" s="10" t="e">
        <f t="shared" si="30"/>
        <v>#N/A</v>
      </c>
      <c r="BV29" s="10" t="e">
        <f t="shared" si="30"/>
        <v>#N/A</v>
      </c>
      <c r="BW29" s="10" t="e">
        <f t="shared" si="30"/>
        <v>#N/A</v>
      </c>
      <c r="BX29" s="10" t="e">
        <f t="shared" si="30"/>
        <v>#N/A</v>
      </c>
      <c r="BY29" s="10" t="e">
        <f t="shared" si="30"/>
        <v>#N/A</v>
      </c>
      <c r="BZ29" s="10" t="e">
        <f t="shared" si="30"/>
        <v>#N/A</v>
      </c>
      <c r="CA29" s="10" t="e">
        <f t="shared" si="30"/>
        <v>#N/A</v>
      </c>
      <c r="CB29" s="10" t="e">
        <f t="shared" si="30"/>
        <v>#N/A</v>
      </c>
      <c r="CC29" s="10" t="e">
        <f t="shared" si="30"/>
        <v>#N/A</v>
      </c>
      <c r="CD29" s="10" t="e">
        <f t="shared" si="30"/>
        <v>#N/A</v>
      </c>
      <c r="CE29" s="10" t="e">
        <f t="shared" si="30"/>
        <v>#N/A</v>
      </c>
      <c r="CF29" s="10" t="e">
        <f t="shared" si="30"/>
        <v>#N/A</v>
      </c>
      <c r="CG29" s="10" t="e">
        <f t="shared" si="30"/>
        <v>#N/A</v>
      </c>
    </row>
    <row r="30" spans="2:85" ht="16.5" customHeight="1">
      <c r="C30" s="10">
        <f t="shared" ref="C30:AH30" si="31">IFERROR(C25/((((C25^2)*(1+C23))-C23)^0.5),C28)</f>
        <v>2.1818182512396718E-8</v>
      </c>
      <c r="D30" s="10">
        <f t="shared" si="31"/>
        <v>1.2886419367458453E-3</v>
      </c>
      <c r="E30" s="10">
        <f t="shared" si="31"/>
        <v>3.2957540508757933E-3</v>
      </c>
      <c r="F30" s="10">
        <f t="shared" si="31"/>
        <v>6.2466838217803949E-3</v>
      </c>
      <c r="G30" s="10">
        <f t="shared" si="31"/>
        <v>1.0165634844491057E-2</v>
      </c>
      <c r="H30" s="10">
        <f t="shared" si="31"/>
        <v>1.5085230808885637E-2</v>
      </c>
      <c r="I30" s="10">
        <f t="shared" si="31"/>
        <v>2.104720710419164E-2</v>
      </c>
      <c r="J30" s="10">
        <f t="shared" si="31"/>
        <v>2.8103319587713758E-2</v>
      </c>
      <c r="K30" s="10">
        <f t="shared" si="31"/>
        <v>3.6316508449383139E-2</v>
      </c>
      <c r="L30" s="10">
        <f t="shared" si="31"/>
        <v>4.5762367743434479E-2</v>
      </c>
      <c r="M30" s="10">
        <f t="shared" si="31"/>
        <v>5.6530987448607108E-2</v>
      </c>
      <c r="N30" s="10">
        <f t="shared" si="31"/>
        <v>6.8729256295102084E-2</v>
      </c>
      <c r="O30" s="10">
        <f t="shared" si="31"/>
        <v>8.2483742085161724E-2</v>
      </c>
      <c r="P30" s="10">
        <f t="shared" si="31"/>
        <v>9.7944304735298124E-2</v>
      </c>
      <c r="Q30" s="10">
        <f t="shared" si="31"/>
        <v>0.11528864999952876</v>
      </c>
      <c r="R30" s="10">
        <f t="shared" si="31"/>
        <v>0.1347281050187448</v>
      </c>
      <c r="S30" s="10">
        <f t="shared" si="31"/>
        <v>0.15651499980883612</v>
      </c>
      <c r="T30" s="10">
        <f t="shared" si="31"/>
        <v>0.18095218575415503</v>
      </c>
      <c r="U30" s="10">
        <f t="shared" si="31"/>
        <v>0.20840543512238516</v>
      </c>
      <c r="V30" s="10">
        <f t="shared" si="31"/>
        <v>0.23931977930378859</v>
      </c>
      <c r="W30" s="10">
        <f t="shared" si="31"/>
        <v>0.27424131386312434</v>
      </c>
      <c r="X30" s="10">
        <f t="shared" si="31"/>
        <v>0.31384671772931005</v>
      </c>
      <c r="Y30" s="10">
        <f t="shared" si="31"/>
        <v>0.3589838574142431</v>
      </c>
      <c r="Z30" s="10">
        <f t="shared" si="31"/>
        <v>0.41072864448862639</v>
      </c>
      <c r="AA30" s="10">
        <f t="shared" si="31"/>
        <v>0.47046626668653735</v>
      </c>
      <c r="AB30" s="10">
        <f t="shared" si="31"/>
        <v>0.54000990781304037</v>
      </c>
      <c r="AC30" s="10">
        <f t="shared" si="31"/>
        <v>0.62177881033586746</v>
      </c>
      <c r="AD30" s="10">
        <f t="shared" si="31"/>
        <v>0.71907341857608231</v>
      </c>
      <c r="AE30" s="10">
        <f t="shared" si="31"/>
        <v>0.83651551018079373</v>
      </c>
      <c r="AF30" s="10">
        <f t="shared" si="31"/>
        <v>0.98078153994784389</v>
      </c>
      <c r="AG30" s="10">
        <f t="shared" si="31"/>
        <v>1.1618855338834528</v>
      </c>
      <c r="AH30" s="10">
        <f t="shared" si="31"/>
        <v>1.3955605407023011</v>
      </c>
      <c r="AI30" s="10">
        <f t="shared" ref="AI30:BN30" si="32">IFERROR(AI25/((((AI25^2)*(1+AI23))-AI23)^0.5),AI28)</f>
        <v>1.70801881699095</v>
      </c>
      <c r="AJ30" s="10">
        <f t="shared" si="32"/>
        <v>2.1464163817304032</v>
      </c>
      <c r="AK30" s="10">
        <f t="shared" si="32"/>
        <v>2.8049873938594398</v>
      </c>
      <c r="AL30" s="10">
        <f t="shared" si="32"/>
        <v>3.9033273688464369</v>
      </c>
      <c r="AM30" s="10">
        <f t="shared" si="32"/>
        <v>6.098718634915044</v>
      </c>
      <c r="AN30" s="10">
        <f t="shared" si="32"/>
        <v>12.659566924581251</v>
      </c>
      <c r="AO30" s="10">
        <f t="shared" si="32"/>
        <v>1921.5837087114464</v>
      </c>
      <c r="AP30" s="10">
        <f t="shared" si="32"/>
        <v>6.499999999999007</v>
      </c>
      <c r="AQ30" s="10">
        <f t="shared" si="32"/>
        <v>3.2529106029008803</v>
      </c>
      <c r="AR30" s="10">
        <f t="shared" si="32"/>
        <v>2.4982667258847973</v>
      </c>
      <c r="AS30" s="10">
        <f t="shared" si="32"/>
        <v>2.1257309304031207</v>
      </c>
      <c r="AT30" s="10">
        <f t="shared" si="32"/>
        <v>1.8960339956097945</v>
      </c>
      <c r="AU30" s="10">
        <f t="shared" si="32"/>
        <v>1.7376131616797115</v>
      </c>
      <c r="AV30" s="10">
        <f t="shared" si="32"/>
        <v>1.6206354136476369</v>
      </c>
      <c r="AW30" s="10">
        <f t="shared" si="32"/>
        <v>1.5301841113520063</v>
      </c>
      <c r="AX30" s="10">
        <f t="shared" si="32"/>
        <v>1.4578754741100259</v>
      </c>
      <c r="AY30" s="10">
        <f t="shared" si="32"/>
        <v>1.3985939180008431</v>
      </c>
      <c r="AZ30" s="10">
        <f t="shared" si="32"/>
        <v>1.3490213172523273</v>
      </c>
      <c r="BA30" s="10">
        <f t="shared" si="32"/>
        <v>1.3069011244615849</v>
      </c>
      <c r="BB30" s="10">
        <f t="shared" si="32"/>
        <v>1.2706396576782892</v>
      </c>
      <c r="BC30" s="10">
        <f t="shared" si="32"/>
        <v>1.2390760932765092</v>
      </c>
      <c r="BD30" s="10">
        <f t="shared" si="32"/>
        <v>1.2113428740117067</v>
      </c>
      <c r="BE30" s="10">
        <f t="shared" si="32"/>
        <v>1.1867773590313537</v>
      </c>
      <c r="BF30" s="10">
        <f t="shared" si="32"/>
        <v>1.1648638953701158</v>
      </c>
      <c r="BG30" s="10">
        <f t="shared" si="32"/>
        <v>1.1451946731274369</v>
      </c>
      <c r="BH30" s="10">
        <f t="shared" si="32"/>
        <v>1.1274425752841599</v>
      </c>
      <c r="BI30" s="10">
        <f t="shared" si="32"/>
        <v>1.1113419135083229</v>
      </c>
      <c r="BJ30" s="10">
        <f t="shared" si="32"/>
        <v>1.0966744827478272</v>
      </c>
      <c r="BK30" s="10">
        <f t="shared" si="32"/>
        <v>1.0832592849365161</v>
      </c>
      <c r="BL30" s="10">
        <f t="shared" si="32"/>
        <v>1.0709448350980926</v>
      </c>
      <c r="BM30" s="10">
        <f t="shared" si="32"/>
        <v>1.0596033179556184</v>
      </c>
      <c r="BN30" s="10">
        <f t="shared" si="32"/>
        <v>1.0491260922331147</v>
      </c>
      <c r="BO30" s="10">
        <f t="shared" ref="BO30:CG30" si="33">IFERROR(BO25/((((BO25^2)*(1+BO23))-BO23)^0.5),BO28)</f>
        <v>1.0394201909627108</v>
      </c>
      <c r="BP30" s="10">
        <f t="shared" si="33"/>
        <v>1.0304055677788071</v>
      </c>
      <c r="BQ30" s="10">
        <f t="shared" si="33"/>
        <v>1.022012908801389</v>
      </c>
      <c r="BR30" s="10">
        <f t="shared" si="33"/>
        <v>1.0141818781648655</v>
      </c>
      <c r="BS30" s="10">
        <f t="shared" si="33"/>
        <v>1.0068596994765564</v>
      </c>
      <c r="BT30" s="10">
        <f t="shared" si="33"/>
        <v>1</v>
      </c>
      <c r="BU30" s="10">
        <f t="shared" si="33"/>
        <v>0.9627440260256156</v>
      </c>
      <c r="BV30" s="10">
        <f t="shared" si="33"/>
        <v>0.93698043455076707</v>
      </c>
      <c r="BW30" s="10">
        <f t="shared" si="33"/>
        <v>0.91826558782319478</v>
      </c>
      <c r="BX30" s="10">
        <f t="shared" si="33"/>
        <v>0.90416498063951856</v>
      </c>
      <c r="BY30" s="10">
        <f t="shared" si="33"/>
        <v>0.89323518043294836</v>
      </c>
      <c r="BZ30" s="10">
        <f t="shared" si="33"/>
        <v>0.88456809621901966</v>
      </c>
      <c r="CA30" s="10">
        <f t="shared" si="33"/>
        <v>0.87756535915035272</v>
      </c>
      <c r="CB30" s="10">
        <f t="shared" si="33"/>
        <v>0.87181771700823751</v>
      </c>
      <c r="CC30" s="10">
        <f t="shared" si="33"/>
        <v>0.86703653543900394</v>
      </c>
      <c r="CD30" s="10">
        <f t="shared" si="33"/>
        <v>0.86301293106482579</v>
      </c>
      <c r="CE30" s="10">
        <f t="shared" si="33"/>
        <v>0.85959237398661004</v>
      </c>
      <c r="CF30" s="10">
        <f t="shared" si="33"/>
        <v>0.85665835058728279</v>
      </c>
      <c r="CG30" s="10">
        <f t="shared" si="33"/>
        <v>0.85412153966120785</v>
      </c>
    </row>
    <row r="31" spans="2:85" ht="16.5" customHeight="1">
      <c r="B31" s="10" t="s">
        <v>792</v>
      </c>
      <c r="C31" s="10">
        <f t="shared" ref="C31:AH31" si="34">1/(1+C23)</f>
        <v>0.68571428571428572</v>
      </c>
      <c r="D31" s="10">
        <f t="shared" si="34"/>
        <v>0.68571428571428572</v>
      </c>
      <c r="E31" s="10">
        <f t="shared" si="34"/>
        <v>0.68571428571428572</v>
      </c>
      <c r="F31" s="10">
        <f t="shared" si="34"/>
        <v>0.68571428571428572</v>
      </c>
      <c r="G31" s="10">
        <f t="shared" si="34"/>
        <v>0.68571428571428572</v>
      </c>
      <c r="H31" s="10">
        <f t="shared" si="34"/>
        <v>0.68571428571428572</v>
      </c>
      <c r="I31" s="10">
        <f t="shared" si="34"/>
        <v>0.68571428571428572</v>
      </c>
      <c r="J31" s="10">
        <f t="shared" si="34"/>
        <v>0.68571428571428572</v>
      </c>
      <c r="K31" s="10">
        <f t="shared" si="34"/>
        <v>0.68571428571428572</v>
      </c>
      <c r="L31" s="10">
        <f t="shared" si="34"/>
        <v>0.68571428571428572</v>
      </c>
      <c r="M31" s="10">
        <f t="shared" si="34"/>
        <v>0.68571428571428572</v>
      </c>
      <c r="N31" s="10">
        <f t="shared" si="34"/>
        <v>0.68571428571428572</v>
      </c>
      <c r="O31" s="10">
        <f t="shared" si="34"/>
        <v>0.68571428571428572</v>
      </c>
      <c r="P31" s="10">
        <f t="shared" si="34"/>
        <v>0.68571428571428572</v>
      </c>
      <c r="Q31" s="10">
        <f t="shared" si="34"/>
        <v>0.68571428571428572</v>
      </c>
      <c r="R31" s="10">
        <f t="shared" si="34"/>
        <v>0.68571428571428572</v>
      </c>
      <c r="S31" s="10">
        <f t="shared" si="34"/>
        <v>0.68571428571428572</v>
      </c>
      <c r="T31" s="10">
        <f t="shared" si="34"/>
        <v>0.68571428571428572</v>
      </c>
      <c r="U31" s="10">
        <f t="shared" si="34"/>
        <v>0.68571428571428572</v>
      </c>
      <c r="V31" s="10">
        <f t="shared" si="34"/>
        <v>0.68571428571428572</v>
      </c>
      <c r="W31" s="10">
        <f t="shared" si="34"/>
        <v>0.68571428571428572</v>
      </c>
      <c r="X31" s="10">
        <f t="shared" si="34"/>
        <v>0.68571428571428572</v>
      </c>
      <c r="Y31" s="10">
        <f t="shared" si="34"/>
        <v>0.68571428571428572</v>
      </c>
      <c r="Z31" s="10">
        <f t="shared" si="34"/>
        <v>0.68571428571428572</v>
      </c>
      <c r="AA31" s="10">
        <f t="shared" si="34"/>
        <v>0.68571428571428572</v>
      </c>
      <c r="AB31" s="10">
        <f t="shared" si="34"/>
        <v>0.68571428571428572</v>
      </c>
      <c r="AC31" s="10">
        <f t="shared" si="34"/>
        <v>0.68571428571428572</v>
      </c>
      <c r="AD31" s="10">
        <f t="shared" si="34"/>
        <v>0.68571428571428572</v>
      </c>
      <c r="AE31" s="10">
        <f t="shared" si="34"/>
        <v>0.68571428571428572</v>
      </c>
      <c r="AF31" s="10">
        <f t="shared" si="34"/>
        <v>0.68571428571428572</v>
      </c>
      <c r="AG31" s="10">
        <f t="shared" si="34"/>
        <v>0.68571428571428572</v>
      </c>
      <c r="AH31" s="10">
        <f t="shared" si="34"/>
        <v>0.68571428571428572</v>
      </c>
      <c r="AI31" s="10">
        <f t="shared" ref="AI31:BN31" si="35">1/(1+AI23)</f>
        <v>0.68571428571428572</v>
      </c>
      <c r="AJ31" s="10">
        <f t="shared" si="35"/>
        <v>0.68571428571428572</v>
      </c>
      <c r="AK31" s="10">
        <f t="shared" si="35"/>
        <v>0.68571428571428572</v>
      </c>
      <c r="AL31" s="10">
        <f t="shared" si="35"/>
        <v>0.68571428571428572</v>
      </c>
      <c r="AM31" s="10">
        <f t="shared" si="35"/>
        <v>0.68571428571428572</v>
      </c>
      <c r="AN31" s="10">
        <f t="shared" si="35"/>
        <v>0.68571428571428572</v>
      </c>
      <c r="AO31" s="10">
        <f t="shared" si="35"/>
        <v>0.68571428571428572</v>
      </c>
      <c r="AP31" s="10">
        <f t="shared" si="35"/>
        <v>0.68571428571428572</v>
      </c>
      <c r="AQ31" s="10">
        <f t="shared" si="35"/>
        <v>0.68571428571428572</v>
      </c>
      <c r="AR31" s="10">
        <f t="shared" si="35"/>
        <v>0.68571428571428572</v>
      </c>
      <c r="AS31" s="10">
        <f t="shared" si="35"/>
        <v>0.68571428571428572</v>
      </c>
      <c r="AT31" s="10">
        <f t="shared" si="35"/>
        <v>0.68571428571428572</v>
      </c>
      <c r="AU31" s="10">
        <f t="shared" si="35"/>
        <v>0.68571428571428572</v>
      </c>
      <c r="AV31" s="10">
        <f t="shared" si="35"/>
        <v>0.68571428571428572</v>
      </c>
      <c r="AW31" s="10">
        <f t="shared" si="35"/>
        <v>0.68571428571428572</v>
      </c>
      <c r="AX31" s="10">
        <f t="shared" si="35"/>
        <v>0.68571428571428572</v>
      </c>
      <c r="AY31" s="10">
        <f t="shared" si="35"/>
        <v>0.68571428571428572</v>
      </c>
      <c r="AZ31" s="10">
        <f t="shared" si="35"/>
        <v>0.68571428571428572</v>
      </c>
      <c r="BA31" s="10">
        <f t="shared" si="35"/>
        <v>0.68571428571428572</v>
      </c>
      <c r="BB31" s="10">
        <f t="shared" si="35"/>
        <v>0.68571428571428572</v>
      </c>
      <c r="BC31" s="10">
        <f t="shared" si="35"/>
        <v>0.68571428571428572</v>
      </c>
      <c r="BD31" s="10">
        <f t="shared" si="35"/>
        <v>0.68571428571428572</v>
      </c>
      <c r="BE31" s="10">
        <f t="shared" si="35"/>
        <v>0.68571428571428572</v>
      </c>
      <c r="BF31" s="10">
        <f t="shared" si="35"/>
        <v>0.68571428571428572</v>
      </c>
      <c r="BG31" s="10">
        <f t="shared" si="35"/>
        <v>0.68571428571428572</v>
      </c>
      <c r="BH31" s="10">
        <f t="shared" si="35"/>
        <v>0.68571428571428572</v>
      </c>
      <c r="BI31" s="10">
        <f t="shared" si="35"/>
        <v>0.68571428571428572</v>
      </c>
      <c r="BJ31" s="10">
        <f t="shared" si="35"/>
        <v>0.68571428571428572</v>
      </c>
      <c r="BK31" s="10">
        <f t="shared" si="35"/>
        <v>0.68571428571428572</v>
      </c>
      <c r="BL31" s="10">
        <f t="shared" si="35"/>
        <v>0.68571428571428572</v>
      </c>
      <c r="BM31" s="10">
        <f t="shared" si="35"/>
        <v>0.68571428571428572</v>
      </c>
      <c r="BN31" s="10">
        <f t="shared" si="35"/>
        <v>0.68571428571428572</v>
      </c>
      <c r="BO31" s="10">
        <f t="shared" ref="BO31:CG31" si="36">1/(1+BO23)</f>
        <v>0.68571428571428572</v>
      </c>
      <c r="BP31" s="10">
        <f t="shared" si="36"/>
        <v>0.68571428571428572</v>
      </c>
      <c r="BQ31" s="10">
        <f t="shared" si="36"/>
        <v>0.68571428571428572</v>
      </c>
      <c r="BR31" s="10">
        <f t="shared" si="36"/>
        <v>0.68571428571428572</v>
      </c>
      <c r="BS31" s="10">
        <f t="shared" si="36"/>
        <v>0.68571428571428572</v>
      </c>
      <c r="BT31" s="10">
        <f t="shared" si="36"/>
        <v>0.68571428571428572</v>
      </c>
      <c r="BU31" s="10">
        <f t="shared" si="36"/>
        <v>0.68571428571428572</v>
      </c>
      <c r="BV31" s="10">
        <f t="shared" si="36"/>
        <v>0.68571428571428572</v>
      </c>
      <c r="BW31" s="10">
        <f t="shared" si="36"/>
        <v>0.68571428571428572</v>
      </c>
      <c r="BX31" s="10">
        <f t="shared" si="36"/>
        <v>0.68571428571428572</v>
      </c>
      <c r="BY31" s="10">
        <f t="shared" si="36"/>
        <v>0.68571428571428572</v>
      </c>
      <c r="BZ31" s="10">
        <f t="shared" si="36"/>
        <v>0.68571428571428572</v>
      </c>
      <c r="CA31" s="10">
        <f t="shared" si="36"/>
        <v>0.68571428571428572</v>
      </c>
      <c r="CB31" s="10">
        <f t="shared" si="36"/>
        <v>0.68571428571428572</v>
      </c>
      <c r="CC31" s="10">
        <f t="shared" si="36"/>
        <v>0.68571428571428572</v>
      </c>
      <c r="CD31" s="10">
        <f t="shared" si="36"/>
        <v>0.68571428571428572</v>
      </c>
      <c r="CE31" s="10">
        <f t="shared" si="36"/>
        <v>0.68571428571428572</v>
      </c>
      <c r="CF31" s="10">
        <f t="shared" si="36"/>
        <v>0.68571428571428572</v>
      </c>
      <c r="CG31" s="10">
        <f t="shared" si="36"/>
        <v>0.68571428571428572</v>
      </c>
    </row>
    <row r="33" spans="2:89" ht="16.5" customHeight="1">
      <c r="B33" s="164" t="s">
        <v>793</v>
      </c>
      <c r="C33" s="10">
        <f t="shared" ref="C33:AH33" si="37">PI()/2</f>
        <v>1.5707963267948966</v>
      </c>
      <c r="D33" s="10">
        <f t="shared" si="37"/>
        <v>1.5707963267948966</v>
      </c>
      <c r="E33" s="10">
        <f t="shared" si="37"/>
        <v>1.5707963267948966</v>
      </c>
      <c r="F33" s="10">
        <f t="shared" si="37"/>
        <v>1.5707963267948966</v>
      </c>
      <c r="G33" s="10">
        <f t="shared" si="37"/>
        <v>1.5707963267948966</v>
      </c>
      <c r="H33" s="10">
        <f t="shared" si="37"/>
        <v>1.5707963267948966</v>
      </c>
      <c r="I33" s="10">
        <f t="shared" si="37"/>
        <v>1.5707963267948966</v>
      </c>
      <c r="J33" s="10">
        <f t="shared" si="37"/>
        <v>1.5707963267948966</v>
      </c>
      <c r="K33" s="10">
        <f t="shared" si="37"/>
        <v>1.5707963267948966</v>
      </c>
      <c r="L33" s="10">
        <f t="shared" si="37"/>
        <v>1.5707963267948966</v>
      </c>
      <c r="M33" s="10">
        <f t="shared" si="37"/>
        <v>1.5707963267948966</v>
      </c>
      <c r="N33" s="10">
        <f t="shared" si="37"/>
        <v>1.5707963267948966</v>
      </c>
      <c r="O33" s="10">
        <f t="shared" si="37"/>
        <v>1.5707963267948966</v>
      </c>
      <c r="P33" s="10">
        <f t="shared" si="37"/>
        <v>1.5707963267948966</v>
      </c>
      <c r="Q33" s="10">
        <f t="shared" si="37"/>
        <v>1.5707963267948966</v>
      </c>
      <c r="R33" s="10">
        <f t="shared" si="37"/>
        <v>1.5707963267948966</v>
      </c>
      <c r="S33" s="10">
        <f t="shared" si="37"/>
        <v>1.5707963267948966</v>
      </c>
      <c r="T33" s="10">
        <f t="shared" si="37"/>
        <v>1.5707963267948966</v>
      </c>
      <c r="U33" s="10">
        <f t="shared" si="37"/>
        <v>1.5707963267948966</v>
      </c>
      <c r="V33" s="10">
        <f t="shared" si="37"/>
        <v>1.5707963267948966</v>
      </c>
      <c r="W33" s="10">
        <f t="shared" si="37"/>
        <v>1.5707963267948966</v>
      </c>
      <c r="X33" s="10">
        <f t="shared" si="37"/>
        <v>1.5707963267948966</v>
      </c>
      <c r="Y33" s="10">
        <f t="shared" si="37"/>
        <v>1.5707963267948966</v>
      </c>
      <c r="Z33" s="10">
        <f t="shared" si="37"/>
        <v>1.5707963267948966</v>
      </c>
      <c r="AA33" s="10">
        <f t="shared" si="37"/>
        <v>1.5707963267948966</v>
      </c>
      <c r="AB33" s="10">
        <f t="shared" si="37"/>
        <v>1.5707963267948966</v>
      </c>
      <c r="AC33" s="10">
        <f t="shared" si="37"/>
        <v>1.5707963267948966</v>
      </c>
      <c r="AD33" s="10">
        <f t="shared" si="37"/>
        <v>1.5707963267948966</v>
      </c>
      <c r="AE33" s="10">
        <f t="shared" si="37"/>
        <v>1.5707963267948966</v>
      </c>
      <c r="AF33" s="10">
        <f t="shared" si="37"/>
        <v>1.5707963267948966</v>
      </c>
      <c r="AG33" s="10">
        <f t="shared" si="37"/>
        <v>1.5707963267948966</v>
      </c>
      <c r="AH33" s="10">
        <f t="shared" si="37"/>
        <v>1.5707963267948966</v>
      </c>
      <c r="AI33" s="10">
        <f t="shared" ref="AI33:BN33" si="38">PI()/2</f>
        <v>1.5707963267948966</v>
      </c>
      <c r="AJ33" s="10">
        <f t="shared" si="38"/>
        <v>1.5707963267948966</v>
      </c>
      <c r="AK33" s="10">
        <f t="shared" si="38"/>
        <v>1.5707963267948966</v>
      </c>
      <c r="AL33" s="10">
        <f t="shared" si="38"/>
        <v>1.5707963267948966</v>
      </c>
      <c r="AM33" s="10">
        <f t="shared" si="38"/>
        <v>1.5707963267948966</v>
      </c>
      <c r="AN33" s="10">
        <f t="shared" si="38"/>
        <v>1.5707963267948966</v>
      </c>
      <c r="AO33" s="10">
        <f t="shared" si="38"/>
        <v>1.5707963267948966</v>
      </c>
      <c r="AP33" s="10">
        <f t="shared" si="38"/>
        <v>1.5707963267948966</v>
      </c>
      <c r="AQ33" s="10">
        <f t="shared" si="38"/>
        <v>1.5707963267948966</v>
      </c>
      <c r="AR33" s="10">
        <f t="shared" si="38"/>
        <v>1.5707963267948966</v>
      </c>
      <c r="AS33" s="10">
        <f t="shared" si="38"/>
        <v>1.5707963267948966</v>
      </c>
      <c r="AT33" s="10">
        <f t="shared" si="38"/>
        <v>1.5707963267948966</v>
      </c>
      <c r="AU33" s="10">
        <f t="shared" si="38"/>
        <v>1.5707963267948966</v>
      </c>
      <c r="AV33" s="10">
        <f t="shared" si="38"/>
        <v>1.5707963267948966</v>
      </c>
      <c r="AW33" s="10">
        <f t="shared" si="38"/>
        <v>1.5707963267948966</v>
      </c>
      <c r="AX33" s="10">
        <f t="shared" si="38"/>
        <v>1.5707963267948966</v>
      </c>
      <c r="AY33" s="10">
        <f t="shared" si="38"/>
        <v>1.5707963267948966</v>
      </c>
      <c r="AZ33" s="10">
        <f t="shared" si="38"/>
        <v>1.5707963267948966</v>
      </c>
      <c r="BA33" s="10">
        <f t="shared" si="38"/>
        <v>1.5707963267948966</v>
      </c>
      <c r="BB33" s="10">
        <f t="shared" si="38"/>
        <v>1.5707963267948966</v>
      </c>
      <c r="BC33" s="10">
        <f t="shared" si="38"/>
        <v>1.5707963267948966</v>
      </c>
      <c r="BD33" s="10">
        <f t="shared" si="38"/>
        <v>1.5707963267948966</v>
      </c>
      <c r="BE33" s="10">
        <f t="shared" si="38"/>
        <v>1.5707963267948966</v>
      </c>
      <c r="BF33" s="10">
        <f t="shared" si="38"/>
        <v>1.5707963267948966</v>
      </c>
      <c r="BG33" s="10">
        <f t="shared" si="38"/>
        <v>1.5707963267948966</v>
      </c>
      <c r="BH33" s="10">
        <f t="shared" si="38"/>
        <v>1.5707963267948966</v>
      </c>
      <c r="BI33" s="10">
        <f t="shared" si="38"/>
        <v>1.5707963267948966</v>
      </c>
      <c r="BJ33" s="10">
        <f t="shared" si="38"/>
        <v>1.5707963267948966</v>
      </c>
      <c r="BK33" s="10">
        <f t="shared" si="38"/>
        <v>1.5707963267948966</v>
      </c>
      <c r="BL33" s="10">
        <f t="shared" si="38"/>
        <v>1.5707963267948966</v>
      </c>
      <c r="BM33" s="10">
        <f t="shared" si="38"/>
        <v>1.5707963267948966</v>
      </c>
      <c r="BN33" s="10">
        <f t="shared" si="38"/>
        <v>1.5707963267948966</v>
      </c>
      <c r="BO33" s="10">
        <f t="shared" ref="BO33:CG33" si="39">PI()/2</f>
        <v>1.5707963267948966</v>
      </c>
      <c r="BP33" s="10">
        <f t="shared" si="39"/>
        <v>1.5707963267948966</v>
      </c>
      <c r="BQ33" s="10">
        <f t="shared" si="39"/>
        <v>1.5707963267948966</v>
      </c>
      <c r="BR33" s="10">
        <f t="shared" si="39"/>
        <v>1.5707963267948966</v>
      </c>
      <c r="BS33" s="10">
        <f t="shared" si="39"/>
        <v>1.5707963267948966</v>
      </c>
      <c r="BT33" s="10">
        <f t="shared" si="39"/>
        <v>1.5707963267948966</v>
      </c>
      <c r="BU33" s="10">
        <f t="shared" si="39"/>
        <v>1.5707963267948966</v>
      </c>
      <c r="BV33" s="10">
        <f t="shared" si="39"/>
        <v>1.5707963267948966</v>
      </c>
      <c r="BW33" s="10">
        <f t="shared" si="39"/>
        <v>1.5707963267948966</v>
      </c>
      <c r="BX33" s="10">
        <f t="shared" si="39"/>
        <v>1.5707963267948966</v>
      </c>
      <c r="BY33" s="10">
        <f t="shared" si="39"/>
        <v>1.5707963267948966</v>
      </c>
      <c r="BZ33" s="10">
        <f t="shared" si="39"/>
        <v>1.5707963267948966</v>
      </c>
      <c r="CA33" s="10">
        <f t="shared" si="39"/>
        <v>1.5707963267948966</v>
      </c>
      <c r="CB33" s="10">
        <f t="shared" si="39"/>
        <v>1.5707963267948966</v>
      </c>
      <c r="CC33" s="10">
        <f t="shared" si="39"/>
        <v>1.5707963267948966</v>
      </c>
      <c r="CD33" s="10">
        <f t="shared" si="39"/>
        <v>1.5707963267948966</v>
      </c>
      <c r="CE33" s="10">
        <f t="shared" si="39"/>
        <v>1.5707963267948966</v>
      </c>
      <c r="CF33" s="10">
        <f t="shared" si="39"/>
        <v>1.5707963267948966</v>
      </c>
      <c r="CG33" s="10">
        <f t="shared" si="39"/>
        <v>1.5707963267948966</v>
      </c>
    </row>
    <row r="34" spans="2:89" ht="16.5" customHeight="1">
      <c r="B34" s="164" t="s">
        <v>794</v>
      </c>
      <c r="C34" s="10">
        <f t="shared" ref="C34:AH34" si="40">5*PI()/12</f>
        <v>1.3089969389957472</v>
      </c>
      <c r="D34" s="10">
        <f t="shared" si="40"/>
        <v>1.3089969389957472</v>
      </c>
      <c r="E34" s="10">
        <f t="shared" si="40"/>
        <v>1.3089969389957472</v>
      </c>
      <c r="F34" s="10">
        <f t="shared" si="40"/>
        <v>1.3089969389957472</v>
      </c>
      <c r="G34" s="10">
        <f t="shared" si="40"/>
        <v>1.3089969389957472</v>
      </c>
      <c r="H34" s="10">
        <f t="shared" si="40"/>
        <v>1.3089969389957472</v>
      </c>
      <c r="I34" s="10">
        <f t="shared" si="40"/>
        <v>1.3089969389957472</v>
      </c>
      <c r="J34" s="10">
        <f t="shared" si="40"/>
        <v>1.3089969389957472</v>
      </c>
      <c r="K34" s="10">
        <f t="shared" si="40"/>
        <v>1.3089969389957472</v>
      </c>
      <c r="L34" s="10">
        <f t="shared" si="40"/>
        <v>1.3089969389957472</v>
      </c>
      <c r="M34" s="10">
        <f t="shared" si="40"/>
        <v>1.3089969389957472</v>
      </c>
      <c r="N34" s="10">
        <f t="shared" si="40"/>
        <v>1.3089969389957472</v>
      </c>
      <c r="O34" s="10">
        <f t="shared" si="40"/>
        <v>1.3089969389957472</v>
      </c>
      <c r="P34" s="10">
        <f t="shared" si="40"/>
        <v>1.3089969389957472</v>
      </c>
      <c r="Q34" s="10">
        <f t="shared" si="40"/>
        <v>1.3089969389957472</v>
      </c>
      <c r="R34" s="10">
        <f t="shared" si="40"/>
        <v>1.3089969389957472</v>
      </c>
      <c r="S34" s="10">
        <f t="shared" si="40"/>
        <v>1.3089969389957472</v>
      </c>
      <c r="T34" s="10">
        <f t="shared" si="40"/>
        <v>1.3089969389957472</v>
      </c>
      <c r="U34" s="10">
        <f t="shared" si="40"/>
        <v>1.3089969389957472</v>
      </c>
      <c r="V34" s="10">
        <f t="shared" si="40"/>
        <v>1.3089969389957472</v>
      </c>
      <c r="W34" s="10">
        <f t="shared" si="40"/>
        <v>1.3089969389957472</v>
      </c>
      <c r="X34" s="10">
        <f t="shared" si="40"/>
        <v>1.3089969389957472</v>
      </c>
      <c r="Y34" s="10">
        <f t="shared" si="40"/>
        <v>1.3089969389957472</v>
      </c>
      <c r="Z34" s="10">
        <f t="shared" si="40"/>
        <v>1.3089969389957472</v>
      </c>
      <c r="AA34" s="10">
        <f t="shared" si="40"/>
        <v>1.3089969389957472</v>
      </c>
      <c r="AB34" s="10">
        <f t="shared" si="40"/>
        <v>1.3089969389957472</v>
      </c>
      <c r="AC34" s="10">
        <f t="shared" si="40"/>
        <v>1.3089969389957472</v>
      </c>
      <c r="AD34" s="10">
        <f t="shared" si="40"/>
        <v>1.3089969389957472</v>
      </c>
      <c r="AE34" s="10">
        <f t="shared" si="40"/>
        <v>1.3089969389957472</v>
      </c>
      <c r="AF34" s="10">
        <f t="shared" si="40"/>
        <v>1.3089969389957472</v>
      </c>
      <c r="AG34" s="10">
        <f t="shared" si="40"/>
        <v>1.3089969389957472</v>
      </c>
      <c r="AH34" s="10">
        <f t="shared" si="40"/>
        <v>1.3089969389957472</v>
      </c>
      <c r="AI34" s="10">
        <f t="shared" ref="AI34:BN34" si="41">5*PI()/12</f>
        <v>1.3089969389957472</v>
      </c>
      <c r="AJ34" s="10">
        <f t="shared" si="41"/>
        <v>1.3089969389957472</v>
      </c>
      <c r="AK34" s="10">
        <f t="shared" si="41"/>
        <v>1.3089969389957472</v>
      </c>
      <c r="AL34" s="10">
        <f t="shared" si="41"/>
        <v>1.3089969389957472</v>
      </c>
      <c r="AM34" s="10">
        <f t="shared" si="41"/>
        <v>1.3089969389957472</v>
      </c>
      <c r="AN34" s="10">
        <f t="shared" si="41"/>
        <v>1.3089969389957472</v>
      </c>
      <c r="AO34" s="10">
        <f t="shared" si="41"/>
        <v>1.3089969389957472</v>
      </c>
      <c r="AP34" s="10">
        <f t="shared" si="41"/>
        <v>1.3089969389957472</v>
      </c>
      <c r="AQ34" s="10">
        <f t="shared" si="41"/>
        <v>1.3089969389957472</v>
      </c>
      <c r="AR34" s="10">
        <f t="shared" si="41"/>
        <v>1.3089969389957472</v>
      </c>
      <c r="AS34" s="10">
        <f t="shared" si="41"/>
        <v>1.3089969389957472</v>
      </c>
      <c r="AT34" s="10">
        <f t="shared" si="41"/>
        <v>1.3089969389957472</v>
      </c>
      <c r="AU34" s="10">
        <f t="shared" si="41"/>
        <v>1.3089969389957472</v>
      </c>
      <c r="AV34" s="10">
        <f t="shared" si="41"/>
        <v>1.3089969389957472</v>
      </c>
      <c r="AW34" s="10">
        <f t="shared" si="41"/>
        <v>1.3089969389957472</v>
      </c>
      <c r="AX34" s="10">
        <f t="shared" si="41"/>
        <v>1.3089969389957472</v>
      </c>
      <c r="AY34" s="10">
        <f t="shared" si="41"/>
        <v>1.3089969389957472</v>
      </c>
      <c r="AZ34" s="10">
        <f t="shared" si="41"/>
        <v>1.3089969389957472</v>
      </c>
      <c r="BA34" s="10">
        <f t="shared" si="41"/>
        <v>1.3089969389957472</v>
      </c>
      <c r="BB34" s="10">
        <f t="shared" si="41"/>
        <v>1.3089969389957472</v>
      </c>
      <c r="BC34" s="10">
        <f t="shared" si="41"/>
        <v>1.3089969389957472</v>
      </c>
      <c r="BD34" s="10">
        <f t="shared" si="41"/>
        <v>1.3089969389957472</v>
      </c>
      <c r="BE34" s="10">
        <f t="shared" si="41"/>
        <v>1.3089969389957472</v>
      </c>
      <c r="BF34" s="10">
        <f t="shared" si="41"/>
        <v>1.3089969389957472</v>
      </c>
      <c r="BG34" s="10">
        <f t="shared" si="41"/>
        <v>1.3089969389957472</v>
      </c>
      <c r="BH34" s="10">
        <f t="shared" si="41"/>
        <v>1.3089969389957472</v>
      </c>
      <c r="BI34" s="10">
        <f t="shared" si="41"/>
        <v>1.3089969389957472</v>
      </c>
      <c r="BJ34" s="10">
        <f t="shared" si="41"/>
        <v>1.3089969389957472</v>
      </c>
      <c r="BK34" s="10">
        <f t="shared" si="41"/>
        <v>1.3089969389957472</v>
      </c>
      <c r="BL34" s="10">
        <f t="shared" si="41"/>
        <v>1.3089969389957472</v>
      </c>
      <c r="BM34" s="10">
        <f t="shared" si="41"/>
        <v>1.3089969389957472</v>
      </c>
      <c r="BN34" s="10">
        <f t="shared" si="41"/>
        <v>1.3089969389957472</v>
      </c>
      <c r="BO34" s="10">
        <f t="shared" ref="BO34:CG34" si="42">5*PI()/12</f>
        <v>1.3089969389957472</v>
      </c>
      <c r="BP34" s="10">
        <f t="shared" si="42"/>
        <v>1.3089969389957472</v>
      </c>
      <c r="BQ34" s="10">
        <f t="shared" si="42"/>
        <v>1.3089969389957472</v>
      </c>
      <c r="BR34" s="10">
        <f t="shared" si="42"/>
        <v>1.3089969389957472</v>
      </c>
      <c r="BS34" s="10">
        <f t="shared" si="42"/>
        <v>1.3089969389957472</v>
      </c>
      <c r="BT34" s="10">
        <f t="shared" si="42"/>
        <v>1.3089969389957472</v>
      </c>
      <c r="BU34" s="10">
        <f t="shared" si="42"/>
        <v>1.3089969389957472</v>
      </c>
      <c r="BV34" s="10">
        <f t="shared" si="42"/>
        <v>1.3089969389957472</v>
      </c>
      <c r="BW34" s="10">
        <f t="shared" si="42"/>
        <v>1.3089969389957472</v>
      </c>
      <c r="BX34" s="10">
        <f t="shared" si="42"/>
        <v>1.3089969389957472</v>
      </c>
      <c r="BY34" s="10">
        <f t="shared" si="42"/>
        <v>1.3089969389957472</v>
      </c>
      <c r="BZ34" s="10">
        <f t="shared" si="42"/>
        <v>1.3089969389957472</v>
      </c>
      <c r="CA34" s="10">
        <f t="shared" si="42"/>
        <v>1.3089969389957472</v>
      </c>
      <c r="CB34" s="10">
        <f t="shared" si="42"/>
        <v>1.3089969389957472</v>
      </c>
      <c r="CC34" s="10">
        <f t="shared" si="42"/>
        <v>1.3089969389957472</v>
      </c>
      <c r="CD34" s="10">
        <f t="shared" si="42"/>
        <v>1.3089969389957472</v>
      </c>
      <c r="CE34" s="10">
        <f t="shared" si="42"/>
        <v>1.3089969389957472</v>
      </c>
      <c r="CF34" s="10">
        <f t="shared" si="42"/>
        <v>1.3089969389957472</v>
      </c>
      <c r="CG34" s="10">
        <f t="shared" si="42"/>
        <v>1.3089969389957472</v>
      </c>
    </row>
    <row r="35" spans="2:89" ht="16.5" customHeight="1">
      <c r="B35" s="164" t="s">
        <v>795</v>
      </c>
      <c r="C35" s="163">
        <f t="shared" ref="C35:AH35" si="43">PI()/3</f>
        <v>1.0471975511965976</v>
      </c>
      <c r="D35" s="163">
        <f t="shared" si="43"/>
        <v>1.0471975511965976</v>
      </c>
      <c r="E35" s="163">
        <f t="shared" si="43"/>
        <v>1.0471975511965976</v>
      </c>
      <c r="F35" s="163">
        <f t="shared" si="43"/>
        <v>1.0471975511965976</v>
      </c>
      <c r="G35" s="163">
        <f t="shared" si="43"/>
        <v>1.0471975511965976</v>
      </c>
      <c r="H35" s="163">
        <f t="shared" si="43"/>
        <v>1.0471975511965976</v>
      </c>
      <c r="I35" s="163">
        <f t="shared" si="43"/>
        <v>1.0471975511965976</v>
      </c>
      <c r="J35" s="163">
        <f t="shared" si="43"/>
        <v>1.0471975511965976</v>
      </c>
      <c r="K35" s="163">
        <f t="shared" si="43"/>
        <v>1.0471975511965976</v>
      </c>
      <c r="L35" s="163">
        <f t="shared" si="43"/>
        <v>1.0471975511965976</v>
      </c>
      <c r="M35" s="163">
        <f t="shared" si="43"/>
        <v>1.0471975511965976</v>
      </c>
      <c r="N35" s="163">
        <f t="shared" si="43"/>
        <v>1.0471975511965976</v>
      </c>
      <c r="O35" s="163">
        <f t="shared" si="43"/>
        <v>1.0471975511965976</v>
      </c>
      <c r="P35" s="163">
        <f t="shared" si="43"/>
        <v>1.0471975511965976</v>
      </c>
      <c r="Q35" s="163">
        <f t="shared" si="43"/>
        <v>1.0471975511965976</v>
      </c>
      <c r="R35" s="163">
        <f t="shared" si="43"/>
        <v>1.0471975511965976</v>
      </c>
      <c r="S35" s="163">
        <f t="shared" si="43"/>
        <v>1.0471975511965976</v>
      </c>
      <c r="T35" s="163">
        <f t="shared" si="43"/>
        <v>1.0471975511965976</v>
      </c>
      <c r="U35" s="163">
        <f t="shared" si="43"/>
        <v>1.0471975511965976</v>
      </c>
      <c r="V35" s="163">
        <f t="shared" si="43"/>
        <v>1.0471975511965976</v>
      </c>
      <c r="W35" s="163">
        <f t="shared" si="43"/>
        <v>1.0471975511965976</v>
      </c>
      <c r="X35" s="163">
        <f t="shared" si="43"/>
        <v>1.0471975511965976</v>
      </c>
      <c r="Y35" s="163">
        <f t="shared" si="43"/>
        <v>1.0471975511965976</v>
      </c>
      <c r="Z35" s="163">
        <f t="shared" si="43"/>
        <v>1.0471975511965976</v>
      </c>
      <c r="AA35" s="163">
        <f t="shared" si="43"/>
        <v>1.0471975511965976</v>
      </c>
      <c r="AB35" s="163">
        <f t="shared" si="43"/>
        <v>1.0471975511965976</v>
      </c>
      <c r="AC35" s="163">
        <f t="shared" si="43"/>
        <v>1.0471975511965976</v>
      </c>
      <c r="AD35" s="163">
        <f t="shared" si="43"/>
        <v>1.0471975511965976</v>
      </c>
      <c r="AE35" s="163">
        <f t="shared" si="43"/>
        <v>1.0471975511965976</v>
      </c>
      <c r="AF35" s="163">
        <f t="shared" si="43"/>
        <v>1.0471975511965976</v>
      </c>
      <c r="AG35" s="163">
        <f t="shared" si="43"/>
        <v>1.0471975511965976</v>
      </c>
      <c r="AH35" s="163">
        <f t="shared" si="43"/>
        <v>1.0471975511965976</v>
      </c>
      <c r="AI35" s="163">
        <f t="shared" ref="AI35:BN35" si="44">PI()/3</f>
        <v>1.0471975511965976</v>
      </c>
      <c r="AJ35" s="163">
        <f t="shared" si="44"/>
        <v>1.0471975511965976</v>
      </c>
      <c r="AK35" s="163">
        <f t="shared" si="44"/>
        <v>1.0471975511965976</v>
      </c>
      <c r="AL35" s="163">
        <f t="shared" si="44"/>
        <v>1.0471975511965976</v>
      </c>
      <c r="AM35" s="163">
        <f t="shared" si="44"/>
        <v>1.0471975511965976</v>
      </c>
      <c r="AN35" s="163">
        <f t="shared" si="44"/>
        <v>1.0471975511965976</v>
      </c>
      <c r="AO35" s="163">
        <f t="shared" si="44"/>
        <v>1.0471975511965976</v>
      </c>
      <c r="AP35" s="163">
        <f t="shared" si="44"/>
        <v>1.0471975511965976</v>
      </c>
      <c r="AQ35" s="163">
        <f t="shared" si="44"/>
        <v>1.0471975511965976</v>
      </c>
      <c r="AR35" s="163">
        <f t="shared" si="44"/>
        <v>1.0471975511965976</v>
      </c>
      <c r="AS35" s="163">
        <f t="shared" si="44"/>
        <v>1.0471975511965976</v>
      </c>
      <c r="AT35" s="163">
        <f t="shared" si="44"/>
        <v>1.0471975511965976</v>
      </c>
      <c r="AU35" s="163">
        <f t="shared" si="44"/>
        <v>1.0471975511965976</v>
      </c>
      <c r="AV35" s="163">
        <f t="shared" si="44"/>
        <v>1.0471975511965976</v>
      </c>
      <c r="AW35" s="163">
        <f t="shared" si="44"/>
        <v>1.0471975511965976</v>
      </c>
      <c r="AX35" s="163">
        <f t="shared" si="44"/>
        <v>1.0471975511965976</v>
      </c>
      <c r="AY35" s="163">
        <f t="shared" si="44"/>
        <v>1.0471975511965976</v>
      </c>
      <c r="AZ35" s="163">
        <f t="shared" si="44"/>
        <v>1.0471975511965976</v>
      </c>
      <c r="BA35" s="163">
        <f t="shared" si="44"/>
        <v>1.0471975511965976</v>
      </c>
      <c r="BB35" s="163">
        <f t="shared" si="44"/>
        <v>1.0471975511965976</v>
      </c>
      <c r="BC35" s="163">
        <f t="shared" si="44"/>
        <v>1.0471975511965976</v>
      </c>
      <c r="BD35" s="163">
        <f t="shared" si="44"/>
        <v>1.0471975511965976</v>
      </c>
      <c r="BE35" s="163">
        <f t="shared" si="44"/>
        <v>1.0471975511965976</v>
      </c>
      <c r="BF35" s="163">
        <f t="shared" si="44"/>
        <v>1.0471975511965976</v>
      </c>
      <c r="BG35" s="163">
        <f t="shared" si="44"/>
        <v>1.0471975511965976</v>
      </c>
      <c r="BH35" s="163">
        <f t="shared" si="44"/>
        <v>1.0471975511965976</v>
      </c>
      <c r="BI35" s="163">
        <f t="shared" si="44"/>
        <v>1.0471975511965976</v>
      </c>
      <c r="BJ35" s="163">
        <f t="shared" si="44"/>
        <v>1.0471975511965976</v>
      </c>
      <c r="BK35" s="163">
        <f t="shared" si="44"/>
        <v>1.0471975511965976</v>
      </c>
      <c r="BL35" s="163">
        <f t="shared" si="44"/>
        <v>1.0471975511965976</v>
      </c>
      <c r="BM35" s="163">
        <f t="shared" si="44"/>
        <v>1.0471975511965976</v>
      </c>
      <c r="BN35" s="163">
        <f t="shared" si="44"/>
        <v>1.0471975511965976</v>
      </c>
      <c r="BO35" s="163">
        <f t="shared" ref="BO35:CG35" si="45">PI()/3</f>
        <v>1.0471975511965976</v>
      </c>
      <c r="BP35" s="163">
        <f t="shared" si="45"/>
        <v>1.0471975511965976</v>
      </c>
      <c r="BQ35" s="163">
        <f t="shared" si="45"/>
        <v>1.0471975511965976</v>
      </c>
      <c r="BR35" s="163">
        <f t="shared" si="45"/>
        <v>1.0471975511965976</v>
      </c>
      <c r="BS35" s="163">
        <f t="shared" si="45"/>
        <v>1.0471975511965976</v>
      </c>
      <c r="BT35" s="163">
        <f t="shared" si="45"/>
        <v>1.0471975511965976</v>
      </c>
      <c r="BU35" s="163">
        <f t="shared" si="45"/>
        <v>1.0471975511965976</v>
      </c>
      <c r="BV35" s="163">
        <f t="shared" si="45"/>
        <v>1.0471975511965976</v>
      </c>
      <c r="BW35" s="163">
        <f t="shared" si="45"/>
        <v>1.0471975511965976</v>
      </c>
      <c r="BX35" s="163">
        <f t="shared" si="45"/>
        <v>1.0471975511965976</v>
      </c>
      <c r="BY35" s="163">
        <f t="shared" si="45"/>
        <v>1.0471975511965976</v>
      </c>
      <c r="BZ35" s="163">
        <f t="shared" si="45"/>
        <v>1.0471975511965976</v>
      </c>
      <c r="CA35" s="163">
        <f t="shared" si="45"/>
        <v>1.0471975511965976</v>
      </c>
      <c r="CB35" s="163">
        <f t="shared" si="45"/>
        <v>1.0471975511965976</v>
      </c>
      <c r="CC35" s="163">
        <f t="shared" si="45"/>
        <v>1.0471975511965976</v>
      </c>
      <c r="CD35" s="163">
        <f t="shared" si="45"/>
        <v>1.0471975511965976</v>
      </c>
      <c r="CE35" s="163">
        <f t="shared" si="45"/>
        <v>1.0471975511965976</v>
      </c>
      <c r="CF35" s="163">
        <f t="shared" si="45"/>
        <v>1.0471975511965976</v>
      </c>
      <c r="CG35" s="163">
        <f t="shared" si="45"/>
        <v>1.0471975511965976</v>
      </c>
      <c r="CH35" s="163"/>
    </row>
    <row r="36" spans="2:89" ht="16.5" customHeight="1">
      <c r="B36" s="164" t="s">
        <v>796</v>
      </c>
      <c r="C36" s="163">
        <f t="shared" ref="C36:AH36" si="46">PI()/4</f>
        <v>0.78539816339744828</v>
      </c>
      <c r="D36" s="163">
        <f t="shared" si="46"/>
        <v>0.78539816339744828</v>
      </c>
      <c r="E36" s="163">
        <f t="shared" si="46"/>
        <v>0.78539816339744828</v>
      </c>
      <c r="F36" s="163">
        <f t="shared" si="46"/>
        <v>0.78539816339744828</v>
      </c>
      <c r="G36" s="163">
        <f t="shared" si="46"/>
        <v>0.78539816339744828</v>
      </c>
      <c r="H36" s="163">
        <f t="shared" si="46"/>
        <v>0.78539816339744828</v>
      </c>
      <c r="I36" s="163">
        <f t="shared" si="46"/>
        <v>0.78539816339744828</v>
      </c>
      <c r="J36" s="163">
        <f t="shared" si="46"/>
        <v>0.78539816339744828</v>
      </c>
      <c r="K36" s="163">
        <f t="shared" si="46"/>
        <v>0.78539816339744828</v>
      </c>
      <c r="L36" s="163">
        <f t="shared" si="46"/>
        <v>0.78539816339744828</v>
      </c>
      <c r="M36" s="163">
        <f t="shared" si="46"/>
        <v>0.78539816339744828</v>
      </c>
      <c r="N36" s="163">
        <f t="shared" si="46"/>
        <v>0.78539816339744828</v>
      </c>
      <c r="O36" s="163">
        <f t="shared" si="46"/>
        <v>0.78539816339744828</v>
      </c>
      <c r="P36" s="163">
        <f t="shared" si="46"/>
        <v>0.78539816339744828</v>
      </c>
      <c r="Q36" s="163">
        <f t="shared" si="46"/>
        <v>0.78539816339744828</v>
      </c>
      <c r="R36" s="163">
        <f t="shared" si="46"/>
        <v>0.78539816339744828</v>
      </c>
      <c r="S36" s="163">
        <f t="shared" si="46"/>
        <v>0.78539816339744828</v>
      </c>
      <c r="T36" s="163">
        <f t="shared" si="46"/>
        <v>0.78539816339744828</v>
      </c>
      <c r="U36" s="163">
        <f t="shared" si="46"/>
        <v>0.78539816339744828</v>
      </c>
      <c r="V36" s="163">
        <f t="shared" si="46"/>
        <v>0.78539816339744828</v>
      </c>
      <c r="W36" s="163">
        <f t="shared" si="46"/>
        <v>0.78539816339744828</v>
      </c>
      <c r="X36" s="163">
        <f t="shared" si="46"/>
        <v>0.78539816339744828</v>
      </c>
      <c r="Y36" s="163">
        <f t="shared" si="46"/>
        <v>0.78539816339744828</v>
      </c>
      <c r="Z36" s="163">
        <f t="shared" si="46"/>
        <v>0.78539816339744828</v>
      </c>
      <c r="AA36" s="163">
        <f t="shared" si="46"/>
        <v>0.78539816339744828</v>
      </c>
      <c r="AB36" s="163">
        <f t="shared" si="46"/>
        <v>0.78539816339744828</v>
      </c>
      <c r="AC36" s="163">
        <f t="shared" si="46"/>
        <v>0.78539816339744828</v>
      </c>
      <c r="AD36" s="163">
        <f t="shared" si="46"/>
        <v>0.78539816339744828</v>
      </c>
      <c r="AE36" s="163">
        <f t="shared" si="46"/>
        <v>0.78539816339744828</v>
      </c>
      <c r="AF36" s="163">
        <f t="shared" si="46"/>
        <v>0.78539816339744828</v>
      </c>
      <c r="AG36" s="163">
        <f t="shared" si="46"/>
        <v>0.78539816339744828</v>
      </c>
      <c r="AH36" s="163">
        <f t="shared" si="46"/>
        <v>0.78539816339744828</v>
      </c>
      <c r="AI36" s="163">
        <f t="shared" ref="AI36:BN36" si="47">PI()/4</f>
        <v>0.78539816339744828</v>
      </c>
      <c r="AJ36" s="163">
        <f t="shared" si="47"/>
        <v>0.78539816339744828</v>
      </c>
      <c r="AK36" s="163">
        <f t="shared" si="47"/>
        <v>0.78539816339744828</v>
      </c>
      <c r="AL36" s="163">
        <f t="shared" si="47"/>
        <v>0.78539816339744828</v>
      </c>
      <c r="AM36" s="163">
        <f t="shared" si="47"/>
        <v>0.78539816339744828</v>
      </c>
      <c r="AN36" s="163">
        <f t="shared" si="47"/>
        <v>0.78539816339744828</v>
      </c>
      <c r="AO36" s="163">
        <f t="shared" si="47"/>
        <v>0.78539816339744828</v>
      </c>
      <c r="AP36" s="163">
        <f t="shared" si="47"/>
        <v>0.78539816339744828</v>
      </c>
      <c r="AQ36" s="163">
        <f t="shared" si="47"/>
        <v>0.78539816339744828</v>
      </c>
      <c r="AR36" s="163">
        <f t="shared" si="47"/>
        <v>0.78539816339744828</v>
      </c>
      <c r="AS36" s="163">
        <f t="shared" si="47"/>
        <v>0.78539816339744828</v>
      </c>
      <c r="AT36" s="163">
        <f t="shared" si="47"/>
        <v>0.78539816339744828</v>
      </c>
      <c r="AU36" s="163">
        <f t="shared" si="47"/>
        <v>0.78539816339744828</v>
      </c>
      <c r="AV36" s="163">
        <f t="shared" si="47"/>
        <v>0.78539816339744828</v>
      </c>
      <c r="AW36" s="163">
        <f t="shared" si="47"/>
        <v>0.78539816339744828</v>
      </c>
      <c r="AX36" s="163">
        <f t="shared" si="47"/>
        <v>0.78539816339744828</v>
      </c>
      <c r="AY36" s="163">
        <f t="shared" si="47"/>
        <v>0.78539816339744828</v>
      </c>
      <c r="AZ36" s="163">
        <f t="shared" si="47"/>
        <v>0.78539816339744828</v>
      </c>
      <c r="BA36" s="163">
        <f t="shared" si="47"/>
        <v>0.78539816339744828</v>
      </c>
      <c r="BB36" s="163">
        <f t="shared" si="47"/>
        <v>0.78539816339744828</v>
      </c>
      <c r="BC36" s="163">
        <f t="shared" si="47"/>
        <v>0.78539816339744828</v>
      </c>
      <c r="BD36" s="163">
        <f t="shared" si="47"/>
        <v>0.78539816339744828</v>
      </c>
      <c r="BE36" s="163">
        <f t="shared" si="47"/>
        <v>0.78539816339744828</v>
      </c>
      <c r="BF36" s="163">
        <f t="shared" si="47"/>
        <v>0.78539816339744828</v>
      </c>
      <c r="BG36" s="163">
        <f t="shared" si="47"/>
        <v>0.78539816339744828</v>
      </c>
      <c r="BH36" s="163">
        <f t="shared" si="47"/>
        <v>0.78539816339744828</v>
      </c>
      <c r="BI36" s="163">
        <f t="shared" si="47"/>
        <v>0.78539816339744828</v>
      </c>
      <c r="BJ36" s="163">
        <f t="shared" si="47"/>
        <v>0.78539816339744828</v>
      </c>
      <c r="BK36" s="163">
        <f t="shared" si="47"/>
        <v>0.78539816339744828</v>
      </c>
      <c r="BL36" s="163">
        <f t="shared" si="47"/>
        <v>0.78539816339744828</v>
      </c>
      <c r="BM36" s="163">
        <f t="shared" si="47"/>
        <v>0.78539816339744828</v>
      </c>
      <c r="BN36" s="163">
        <f t="shared" si="47"/>
        <v>0.78539816339744828</v>
      </c>
      <c r="BO36" s="163">
        <f t="shared" ref="BO36:CG36" si="48">PI()/4</f>
        <v>0.78539816339744828</v>
      </c>
      <c r="BP36" s="163">
        <f t="shared" si="48"/>
        <v>0.78539816339744828</v>
      </c>
      <c r="BQ36" s="163">
        <f t="shared" si="48"/>
        <v>0.78539816339744828</v>
      </c>
      <c r="BR36" s="163">
        <f t="shared" si="48"/>
        <v>0.78539816339744828</v>
      </c>
      <c r="BS36" s="163">
        <f t="shared" si="48"/>
        <v>0.78539816339744828</v>
      </c>
      <c r="BT36" s="163">
        <f t="shared" si="48"/>
        <v>0.78539816339744828</v>
      </c>
      <c r="BU36" s="163">
        <f t="shared" si="48"/>
        <v>0.78539816339744828</v>
      </c>
      <c r="BV36" s="163">
        <f t="shared" si="48"/>
        <v>0.78539816339744828</v>
      </c>
      <c r="BW36" s="163">
        <f t="shared" si="48"/>
        <v>0.78539816339744828</v>
      </c>
      <c r="BX36" s="163">
        <f t="shared" si="48"/>
        <v>0.78539816339744828</v>
      </c>
      <c r="BY36" s="163">
        <f t="shared" si="48"/>
        <v>0.78539816339744828</v>
      </c>
      <c r="BZ36" s="163">
        <f t="shared" si="48"/>
        <v>0.78539816339744828</v>
      </c>
      <c r="CA36" s="163">
        <f t="shared" si="48"/>
        <v>0.78539816339744828</v>
      </c>
      <c r="CB36" s="163">
        <f t="shared" si="48"/>
        <v>0.78539816339744828</v>
      </c>
      <c r="CC36" s="163">
        <f t="shared" si="48"/>
        <v>0.78539816339744828</v>
      </c>
      <c r="CD36" s="163">
        <f t="shared" si="48"/>
        <v>0.78539816339744828</v>
      </c>
      <c r="CE36" s="163">
        <f t="shared" si="48"/>
        <v>0.78539816339744828</v>
      </c>
      <c r="CF36" s="163">
        <f t="shared" si="48"/>
        <v>0.78539816339744828</v>
      </c>
      <c r="CG36" s="163">
        <f t="shared" si="48"/>
        <v>0.78539816339744828</v>
      </c>
      <c r="CH36" s="163"/>
    </row>
    <row r="37" spans="2:89" ht="16.5" customHeight="1">
      <c r="B37" s="164" t="s">
        <v>797</v>
      </c>
      <c r="C37" s="163">
        <f t="shared" ref="C37:AH37" si="49">PI()/6</f>
        <v>0.52359877559829882</v>
      </c>
      <c r="D37" s="163">
        <f t="shared" si="49"/>
        <v>0.52359877559829882</v>
      </c>
      <c r="E37" s="163">
        <f t="shared" si="49"/>
        <v>0.52359877559829882</v>
      </c>
      <c r="F37" s="163">
        <f t="shared" si="49"/>
        <v>0.52359877559829882</v>
      </c>
      <c r="G37" s="163">
        <f t="shared" si="49"/>
        <v>0.52359877559829882</v>
      </c>
      <c r="H37" s="163">
        <f t="shared" si="49"/>
        <v>0.52359877559829882</v>
      </c>
      <c r="I37" s="163">
        <f t="shared" si="49"/>
        <v>0.52359877559829882</v>
      </c>
      <c r="J37" s="163">
        <f t="shared" si="49"/>
        <v>0.52359877559829882</v>
      </c>
      <c r="K37" s="163">
        <f t="shared" si="49"/>
        <v>0.52359877559829882</v>
      </c>
      <c r="L37" s="163">
        <f t="shared" si="49"/>
        <v>0.52359877559829882</v>
      </c>
      <c r="M37" s="163">
        <f t="shared" si="49"/>
        <v>0.52359877559829882</v>
      </c>
      <c r="N37" s="163">
        <f t="shared" si="49"/>
        <v>0.52359877559829882</v>
      </c>
      <c r="O37" s="163">
        <f t="shared" si="49"/>
        <v>0.52359877559829882</v>
      </c>
      <c r="P37" s="163">
        <f t="shared" si="49"/>
        <v>0.52359877559829882</v>
      </c>
      <c r="Q37" s="163">
        <f t="shared" si="49"/>
        <v>0.52359877559829882</v>
      </c>
      <c r="R37" s="163">
        <f t="shared" si="49"/>
        <v>0.52359877559829882</v>
      </c>
      <c r="S37" s="163">
        <f t="shared" si="49"/>
        <v>0.52359877559829882</v>
      </c>
      <c r="T37" s="163">
        <f t="shared" si="49"/>
        <v>0.52359877559829882</v>
      </c>
      <c r="U37" s="163">
        <f t="shared" si="49"/>
        <v>0.52359877559829882</v>
      </c>
      <c r="V37" s="163">
        <f t="shared" si="49"/>
        <v>0.52359877559829882</v>
      </c>
      <c r="W37" s="163">
        <f t="shared" si="49"/>
        <v>0.52359877559829882</v>
      </c>
      <c r="X37" s="163">
        <f t="shared" si="49"/>
        <v>0.52359877559829882</v>
      </c>
      <c r="Y37" s="163">
        <f t="shared" si="49"/>
        <v>0.52359877559829882</v>
      </c>
      <c r="Z37" s="163">
        <f t="shared" si="49"/>
        <v>0.52359877559829882</v>
      </c>
      <c r="AA37" s="163">
        <f t="shared" si="49"/>
        <v>0.52359877559829882</v>
      </c>
      <c r="AB37" s="163">
        <f t="shared" si="49"/>
        <v>0.52359877559829882</v>
      </c>
      <c r="AC37" s="163">
        <f t="shared" si="49"/>
        <v>0.52359877559829882</v>
      </c>
      <c r="AD37" s="163">
        <f t="shared" si="49"/>
        <v>0.52359877559829882</v>
      </c>
      <c r="AE37" s="163">
        <f t="shared" si="49"/>
        <v>0.52359877559829882</v>
      </c>
      <c r="AF37" s="163">
        <f t="shared" si="49"/>
        <v>0.52359877559829882</v>
      </c>
      <c r="AG37" s="163">
        <f t="shared" si="49"/>
        <v>0.52359877559829882</v>
      </c>
      <c r="AH37" s="163">
        <f t="shared" si="49"/>
        <v>0.52359877559829882</v>
      </c>
      <c r="AI37" s="163">
        <f t="shared" ref="AI37:BN37" si="50">PI()/6</f>
        <v>0.52359877559829882</v>
      </c>
      <c r="AJ37" s="163">
        <f t="shared" si="50"/>
        <v>0.52359877559829882</v>
      </c>
      <c r="AK37" s="163">
        <f t="shared" si="50"/>
        <v>0.52359877559829882</v>
      </c>
      <c r="AL37" s="163">
        <f t="shared" si="50"/>
        <v>0.52359877559829882</v>
      </c>
      <c r="AM37" s="163">
        <f t="shared" si="50"/>
        <v>0.52359877559829882</v>
      </c>
      <c r="AN37" s="163">
        <f t="shared" si="50"/>
        <v>0.52359877559829882</v>
      </c>
      <c r="AO37" s="163">
        <f t="shared" si="50"/>
        <v>0.52359877559829882</v>
      </c>
      <c r="AP37" s="163">
        <f t="shared" si="50"/>
        <v>0.52359877559829882</v>
      </c>
      <c r="AQ37" s="163">
        <f t="shared" si="50"/>
        <v>0.52359877559829882</v>
      </c>
      <c r="AR37" s="163">
        <f t="shared" si="50"/>
        <v>0.52359877559829882</v>
      </c>
      <c r="AS37" s="163">
        <f t="shared" si="50"/>
        <v>0.52359877559829882</v>
      </c>
      <c r="AT37" s="163">
        <f t="shared" si="50"/>
        <v>0.52359877559829882</v>
      </c>
      <c r="AU37" s="163">
        <f t="shared" si="50"/>
        <v>0.52359877559829882</v>
      </c>
      <c r="AV37" s="163">
        <f t="shared" si="50"/>
        <v>0.52359877559829882</v>
      </c>
      <c r="AW37" s="163">
        <f t="shared" si="50"/>
        <v>0.52359877559829882</v>
      </c>
      <c r="AX37" s="163">
        <f t="shared" si="50"/>
        <v>0.52359877559829882</v>
      </c>
      <c r="AY37" s="163">
        <f t="shared" si="50"/>
        <v>0.52359877559829882</v>
      </c>
      <c r="AZ37" s="163">
        <f t="shared" si="50"/>
        <v>0.52359877559829882</v>
      </c>
      <c r="BA37" s="163">
        <f t="shared" si="50"/>
        <v>0.52359877559829882</v>
      </c>
      <c r="BB37" s="163">
        <f t="shared" si="50"/>
        <v>0.52359877559829882</v>
      </c>
      <c r="BC37" s="163">
        <f t="shared" si="50"/>
        <v>0.52359877559829882</v>
      </c>
      <c r="BD37" s="163">
        <f t="shared" si="50"/>
        <v>0.52359877559829882</v>
      </c>
      <c r="BE37" s="163">
        <f t="shared" si="50"/>
        <v>0.52359877559829882</v>
      </c>
      <c r="BF37" s="163">
        <f t="shared" si="50"/>
        <v>0.52359877559829882</v>
      </c>
      <c r="BG37" s="163">
        <f t="shared" si="50"/>
        <v>0.52359877559829882</v>
      </c>
      <c r="BH37" s="163">
        <f t="shared" si="50"/>
        <v>0.52359877559829882</v>
      </c>
      <c r="BI37" s="163">
        <f t="shared" si="50"/>
        <v>0.52359877559829882</v>
      </c>
      <c r="BJ37" s="163">
        <f t="shared" si="50"/>
        <v>0.52359877559829882</v>
      </c>
      <c r="BK37" s="163">
        <f t="shared" si="50"/>
        <v>0.52359877559829882</v>
      </c>
      <c r="BL37" s="163">
        <f t="shared" si="50"/>
        <v>0.52359877559829882</v>
      </c>
      <c r="BM37" s="163">
        <f t="shared" si="50"/>
        <v>0.52359877559829882</v>
      </c>
      <c r="BN37" s="163">
        <f t="shared" si="50"/>
        <v>0.52359877559829882</v>
      </c>
      <c r="BO37" s="163">
        <f t="shared" ref="BO37:CG37" si="51">PI()/6</f>
        <v>0.52359877559829882</v>
      </c>
      <c r="BP37" s="163">
        <f t="shared" si="51"/>
        <v>0.52359877559829882</v>
      </c>
      <c r="BQ37" s="163">
        <f t="shared" si="51"/>
        <v>0.52359877559829882</v>
      </c>
      <c r="BR37" s="163">
        <f t="shared" si="51"/>
        <v>0.52359877559829882</v>
      </c>
      <c r="BS37" s="163">
        <f t="shared" si="51"/>
        <v>0.52359877559829882</v>
      </c>
      <c r="BT37" s="163">
        <f t="shared" si="51"/>
        <v>0.52359877559829882</v>
      </c>
      <c r="BU37" s="163">
        <f t="shared" si="51"/>
        <v>0.52359877559829882</v>
      </c>
      <c r="BV37" s="163">
        <f t="shared" si="51"/>
        <v>0.52359877559829882</v>
      </c>
      <c r="BW37" s="163">
        <f t="shared" si="51"/>
        <v>0.52359877559829882</v>
      </c>
      <c r="BX37" s="163">
        <f t="shared" si="51"/>
        <v>0.52359877559829882</v>
      </c>
      <c r="BY37" s="163">
        <f t="shared" si="51"/>
        <v>0.52359877559829882</v>
      </c>
      <c r="BZ37" s="163">
        <f t="shared" si="51"/>
        <v>0.52359877559829882</v>
      </c>
      <c r="CA37" s="163">
        <f t="shared" si="51"/>
        <v>0.52359877559829882</v>
      </c>
      <c r="CB37" s="163">
        <f t="shared" si="51"/>
        <v>0.52359877559829882</v>
      </c>
      <c r="CC37" s="163">
        <f t="shared" si="51"/>
        <v>0.52359877559829882</v>
      </c>
      <c r="CD37" s="163">
        <f t="shared" si="51"/>
        <v>0.52359877559829882</v>
      </c>
      <c r="CE37" s="163">
        <f t="shared" si="51"/>
        <v>0.52359877559829882</v>
      </c>
      <c r="CF37" s="163">
        <f t="shared" si="51"/>
        <v>0.52359877559829882</v>
      </c>
      <c r="CG37" s="163">
        <f t="shared" si="51"/>
        <v>0.52359877559829882</v>
      </c>
      <c r="CH37" s="163"/>
    </row>
    <row r="38" spans="2:89" ht="16.5" customHeight="1">
      <c r="B38" s="164" t="s">
        <v>798</v>
      </c>
      <c r="C38" s="163">
        <f t="shared" ref="C38:AH38" si="52">PI()/12</f>
        <v>0.26179938779914941</v>
      </c>
      <c r="D38" s="163">
        <f t="shared" si="52"/>
        <v>0.26179938779914941</v>
      </c>
      <c r="E38" s="163">
        <f t="shared" si="52"/>
        <v>0.26179938779914941</v>
      </c>
      <c r="F38" s="163">
        <f t="shared" si="52"/>
        <v>0.26179938779914941</v>
      </c>
      <c r="G38" s="163">
        <f t="shared" si="52"/>
        <v>0.26179938779914941</v>
      </c>
      <c r="H38" s="163">
        <f t="shared" si="52"/>
        <v>0.26179938779914941</v>
      </c>
      <c r="I38" s="163">
        <f t="shared" si="52"/>
        <v>0.26179938779914941</v>
      </c>
      <c r="J38" s="163">
        <f t="shared" si="52"/>
        <v>0.26179938779914941</v>
      </c>
      <c r="K38" s="163">
        <f t="shared" si="52"/>
        <v>0.26179938779914941</v>
      </c>
      <c r="L38" s="163">
        <f t="shared" si="52"/>
        <v>0.26179938779914941</v>
      </c>
      <c r="M38" s="163">
        <f t="shared" si="52"/>
        <v>0.26179938779914941</v>
      </c>
      <c r="N38" s="163">
        <f t="shared" si="52"/>
        <v>0.26179938779914941</v>
      </c>
      <c r="O38" s="163">
        <f t="shared" si="52"/>
        <v>0.26179938779914941</v>
      </c>
      <c r="P38" s="163">
        <f t="shared" si="52"/>
        <v>0.26179938779914941</v>
      </c>
      <c r="Q38" s="163">
        <f t="shared" si="52"/>
        <v>0.26179938779914941</v>
      </c>
      <c r="R38" s="163">
        <f t="shared" si="52"/>
        <v>0.26179938779914941</v>
      </c>
      <c r="S38" s="163">
        <f t="shared" si="52"/>
        <v>0.26179938779914941</v>
      </c>
      <c r="T38" s="163">
        <f t="shared" si="52"/>
        <v>0.26179938779914941</v>
      </c>
      <c r="U38" s="163">
        <f t="shared" si="52"/>
        <v>0.26179938779914941</v>
      </c>
      <c r="V38" s="163">
        <f t="shared" si="52"/>
        <v>0.26179938779914941</v>
      </c>
      <c r="W38" s="163">
        <f t="shared" si="52"/>
        <v>0.26179938779914941</v>
      </c>
      <c r="X38" s="163">
        <f t="shared" si="52"/>
        <v>0.26179938779914941</v>
      </c>
      <c r="Y38" s="163">
        <f t="shared" si="52"/>
        <v>0.26179938779914941</v>
      </c>
      <c r="Z38" s="163">
        <f t="shared" si="52"/>
        <v>0.26179938779914941</v>
      </c>
      <c r="AA38" s="163">
        <f t="shared" si="52"/>
        <v>0.26179938779914941</v>
      </c>
      <c r="AB38" s="163">
        <f t="shared" si="52"/>
        <v>0.26179938779914941</v>
      </c>
      <c r="AC38" s="163">
        <f t="shared" si="52"/>
        <v>0.26179938779914941</v>
      </c>
      <c r="AD38" s="163">
        <f t="shared" si="52"/>
        <v>0.26179938779914941</v>
      </c>
      <c r="AE38" s="163">
        <f t="shared" si="52"/>
        <v>0.26179938779914941</v>
      </c>
      <c r="AF38" s="163">
        <f t="shared" si="52"/>
        <v>0.26179938779914941</v>
      </c>
      <c r="AG38" s="163">
        <f t="shared" si="52"/>
        <v>0.26179938779914941</v>
      </c>
      <c r="AH38" s="163">
        <f t="shared" si="52"/>
        <v>0.26179938779914941</v>
      </c>
      <c r="AI38" s="163">
        <f t="shared" ref="AI38:BN38" si="53">PI()/12</f>
        <v>0.26179938779914941</v>
      </c>
      <c r="AJ38" s="163">
        <f t="shared" si="53"/>
        <v>0.26179938779914941</v>
      </c>
      <c r="AK38" s="163">
        <f t="shared" si="53"/>
        <v>0.26179938779914941</v>
      </c>
      <c r="AL38" s="163">
        <f t="shared" si="53"/>
        <v>0.26179938779914941</v>
      </c>
      <c r="AM38" s="163">
        <f t="shared" si="53"/>
        <v>0.26179938779914941</v>
      </c>
      <c r="AN38" s="163">
        <f t="shared" si="53"/>
        <v>0.26179938779914941</v>
      </c>
      <c r="AO38" s="163">
        <f t="shared" si="53"/>
        <v>0.26179938779914941</v>
      </c>
      <c r="AP38" s="163">
        <f t="shared" si="53"/>
        <v>0.26179938779914941</v>
      </c>
      <c r="AQ38" s="163">
        <f t="shared" si="53"/>
        <v>0.26179938779914941</v>
      </c>
      <c r="AR38" s="163">
        <f t="shared" si="53"/>
        <v>0.26179938779914941</v>
      </c>
      <c r="AS38" s="163">
        <f t="shared" si="53"/>
        <v>0.26179938779914941</v>
      </c>
      <c r="AT38" s="163">
        <f t="shared" si="53"/>
        <v>0.26179938779914941</v>
      </c>
      <c r="AU38" s="163">
        <f t="shared" si="53"/>
        <v>0.26179938779914941</v>
      </c>
      <c r="AV38" s="163">
        <f t="shared" si="53"/>
        <v>0.26179938779914941</v>
      </c>
      <c r="AW38" s="163">
        <f t="shared" si="53"/>
        <v>0.26179938779914941</v>
      </c>
      <c r="AX38" s="163">
        <f t="shared" si="53"/>
        <v>0.26179938779914941</v>
      </c>
      <c r="AY38" s="163">
        <f t="shared" si="53"/>
        <v>0.26179938779914941</v>
      </c>
      <c r="AZ38" s="163">
        <f t="shared" si="53"/>
        <v>0.26179938779914941</v>
      </c>
      <c r="BA38" s="163">
        <f t="shared" si="53"/>
        <v>0.26179938779914941</v>
      </c>
      <c r="BB38" s="163">
        <f t="shared" si="53"/>
        <v>0.26179938779914941</v>
      </c>
      <c r="BC38" s="163">
        <f t="shared" si="53"/>
        <v>0.26179938779914941</v>
      </c>
      <c r="BD38" s="163">
        <f t="shared" si="53"/>
        <v>0.26179938779914941</v>
      </c>
      <c r="BE38" s="163">
        <f t="shared" si="53"/>
        <v>0.26179938779914941</v>
      </c>
      <c r="BF38" s="163">
        <f t="shared" si="53"/>
        <v>0.26179938779914941</v>
      </c>
      <c r="BG38" s="163">
        <f t="shared" si="53"/>
        <v>0.26179938779914941</v>
      </c>
      <c r="BH38" s="163">
        <f t="shared" si="53"/>
        <v>0.26179938779914941</v>
      </c>
      <c r="BI38" s="163">
        <f t="shared" si="53"/>
        <v>0.26179938779914941</v>
      </c>
      <c r="BJ38" s="163">
        <f t="shared" si="53"/>
        <v>0.26179938779914941</v>
      </c>
      <c r="BK38" s="163">
        <f t="shared" si="53"/>
        <v>0.26179938779914941</v>
      </c>
      <c r="BL38" s="163">
        <f t="shared" si="53"/>
        <v>0.26179938779914941</v>
      </c>
      <c r="BM38" s="163">
        <f t="shared" si="53"/>
        <v>0.26179938779914941</v>
      </c>
      <c r="BN38" s="163">
        <f t="shared" si="53"/>
        <v>0.26179938779914941</v>
      </c>
      <c r="BO38" s="163">
        <f t="shared" ref="BO38:CG38" si="54">PI()/12</f>
        <v>0.26179938779914941</v>
      </c>
      <c r="BP38" s="163">
        <f t="shared" si="54"/>
        <v>0.26179938779914941</v>
      </c>
      <c r="BQ38" s="163">
        <f t="shared" si="54"/>
        <v>0.26179938779914941</v>
      </c>
      <c r="BR38" s="163">
        <f t="shared" si="54"/>
        <v>0.26179938779914941</v>
      </c>
      <c r="BS38" s="163">
        <f t="shared" si="54"/>
        <v>0.26179938779914941</v>
      </c>
      <c r="BT38" s="163">
        <f t="shared" si="54"/>
        <v>0.26179938779914941</v>
      </c>
      <c r="BU38" s="163">
        <f t="shared" si="54"/>
        <v>0.26179938779914941</v>
      </c>
      <c r="BV38" s="163">
        <f t="shared" si="54"/>
        <v>0.26179938779914941</v>
      </c>
      <c r="BW38" s="163">
        <f t="shared" si="54"/>
        <v>0.26179938779914941</v>
      </c>
      <c r="BX38" s="163">
        <f t="shared" si="54"/>
        <v>0.26179938779914941</v>
      </c>
      <c r="BY38" s="163">
        <f t="shared" si="54"/>
        <v>0.26179938779914941</v>
      </c>
      <c r="BZ38" s="163">
        <f t="shared" si="54"/>
        <v>0.26179938779914941</v>
      </c>
      <c r="CA38" s="163">
        <f t="shared" si="54"/>
        <v>0.26179938779914941</v>
      </c>
      <c r="CB38" s="163">
        <f t="shared" si="54"/>
        <v>0.26179938779914941</v>
      </c>
      <c r="CC38" s="163">
        <f t="shared" si="54"/>
        <v>0.26179938779914941</v>
      </c>
      <c r="CD38" s="163">
        <f t="shared" si="54"/>
        <v>0.26179938779914941</v>
      </c>
      <c r="CE38" s="163">
        <f t="shared" si="54"/>
        <v>0.26179938779914941</v>
      </c>
      <c r="CF38" s="163">
        <f t="shared" si="54"/>
        <v>0.26179938779914941</v>
      </c>
      <c r="CG38" s="163">
        <f t="shared" si="54"/>
        <v>0.26179938779914941</v>
      </c>
      <c r="CH38" s="163"/>
    </row>
    <row r="39" spans="2:89" ht="16.5" customHeight="1">
      <c r="B39" s="10" t="s">
        <v>257</v>
      </c>
      <c r="C39" s="87">
        <f>'Preliminary Calculation'!$D$17</f>
        <v>98</v>
      </c>
      <c r="D39" s="87">
        <f>'Preliminary Calculation'!$D$17</f>
        <v>98</v>
      </c>
      <c r="E39" s="87">
        <f>'Preliminary Calculation'!$D$17</f>
        <v>98</v>
      </c>
      <c r="F39" s="87">
        <f>'Preliminary Calculation'!$D$17</f>
        <v>98</v>
      </c>
      <c r="G39" s="87">
        <f>'Preliminary Calculation'!$D$17</f>
        <v>98</v>
      </c>
      <c r="H39" s="87">
        <f>'Preliminary Calculation'!$D$17</f>
        <v>98</v>
      </c>
      <c r="I39" s="87">
        <f>'Preliminary Calculation'!$D$17</f>
        <v>98</v>
      </c>
      <c r="J39" s="87">
        <f>'Preliminary Calculation'!$D$17</f>
        <v>98</v>
      </c>
      <c r="K39" s="87">
        <f>'Preliminary Calculation'!$D$17</f>
        <v>98</v>
      </c>
      <c r="L39" s="87">
        <f>'Preliminary Calculation'!$D$17</f>
        <v>98</v>
      </c>
      <c r="M39" s="87">
        <f>'Preliminary Calculation'!$D$17</f>
        <v>98</v>
      </c>
      <c r="N39" s="87">
        <f>'Preliminary Calculation'!$D$17</f>
        <v>98</v>
      </c>
      <c r="O39" s="87">
        <f>'Preliminary Calculation'!$D$17</f>
        <v>98</v>
      </c>
      <c r="P39" s="87">
        <f>'Preliminary Calculation'!$D$17</f>
        <v>98</v>
      </c>
      <c r="Q39" s="87">
        <f>'Preliminary Calculation'!$D$17</f>
        <v>98</v>
      </c>
      <c r="R39" s="87">
        <f>'Preliminary Calculation'!$D$17</f>
        <v>98</v>
      </c>
      <c r="S39" s="87">
        <f>'Preliminary Calculation'!$D$17</f>
        <v>98</v>
      </c>
      <c r="T39" s="87">
        <f>'Preliminary Calculation'!$D$17</f>
        <v>98</v>
      </c>
      <c r="U39" s="87">
        <f>'Preliminary Calculation'!$D$17</f>
        <v>98</v>
      </c>
      <c r="V39" s="87">
        <f>'Preliminary Calculation'!$D$17</f>
        <v>98</v>
      </c>
      <c r="W39" s="87">
        <f>'Preliminary Calculation'!$D$17</f>
        <v>98</v>
      </c>
      <c r="X39" s="87">
        <f>'Preliminary Calculation'!$D$17</f>
        <v>98</v>
      </c>
      <c r="Y39" s="87">
        <f>'Preliminary Calculation'!$D$17</f>
        <v>98</v>
      </c>
      <c r="Z39" s="87">
        <f>'Preliminary Calculation'!$D$17</f>
        <v>98</v>
      </c>
      <c r="AA39" s="87">
        <f>'Preliminary Calculation'!$D$17</f>
        <v>98</v>
      </c>
      <c r="AB39" s="87">
        <f>'Preliminary Calculation'!$D$17</f>
        <v>98</v>
      </c>
      <c r="AC39" s="87">
        <f>'Preliminary Calculation'!$D$17</f>
        <v>98</v>
      </c>
      <c r="AD39" s="87">
        <f>'Preliminary Calculation'!$D$17</f>
        <v>98</v>
      </c>
      <c r="AE39" s="87">
        <f>'Preliminary Calculation'!$D$17</f>
        <v>98</v>
      </c>
      <c r="AF39" s="87">
        <f>'Preliminary Calculation'!$D$17</f>
        <v>98</v>
      </c>
      <c r="AG39" s="87">
        <f>'Preliminary Calculation'!$D$17</f>
        <v>98</v>
      </c>
      <c r="AH39" s="87">
        <f>'Preliminary Calculation'!$D$17</f>
        <v>98</v>
      </c>
      <c r="AI39" s="87">
        <f>'Preliminary Calculation'!$D$17</f>
        <v>98</v>
      </c>
      <c r="AJ39" s="87">
        <f>'Preliminary Calculation'!$D$17</f>
        <v>98</v>
      </c>
      <c r="AK39" s="87">
        <f>'Preliminary Calculation'!$D$17</f>
        <v>98</v>
      </c>
      <c r="AL39" s="87">
        <f>'Preliminary Calculation'!$D$17</f>
        <v>98</v>
      </c>
      <c r="AM39" s="87">
        <f>'Preliminary Calculation'!$D$17</f>
        <v>98</v>
      </c>
      <c r="AN39" s="87">
        <f>'Preliminary Calculation'!$D$17</f>
        <v>98</v>
      </c>
      <c r="AO39" s="87">
        <f>'Preliminary Calculation'!$D$17</f>
        <v>98</v>
      </c>
      <c r="AP39" s="87">
        <f>'Preliminary Calculation'!$D$17</f>
        <v>98</v>
      </c>
      <c r="AQ39" s="87">
        <f>'Preliminary Calculation'!$D$17</f>
        <v>98</v>
      </c>
      <c r="AR39" s="87">
        <f>'Preliminary Calculation'!$D$17</f>
        <v>98</v>
      </c>
      <c r="AS39" s="87">
        <f>'Preliminary Calculation'!$D$17</f>
        <v>98</v>
      </c>
      <c r="AT39" s="87">
        <f>'Preliminary Calculation'!$D$17</f>
        <v>98</v>
      </c>
      <c r="AU39" s="87">
        <f>'Preliminary Calculation'!$D$17</f>
        <v>98</v>
      </c>
      <c r="AV39" s="87">
        <f>'Preliminary Calculation'!$D$17</f>
        <v>98</v>
      </c>
      <c r="AW39" s="87">
        <f>'Preliminary Calculation'!$D$17</f>
        <v>98</v>
      </c>
      <c r="AX39" s="87">
        <f>'Preliminary Calculation'!$D$17</f>
        <v>98</v>
      </c>
      <c r="AY39" s="87">
        <f>'Preliminary Calculation'!$D$17</f>
        <v>98</v>
      </c>
      <c r="AZ39" s="87">
        <f>'Preliminary Calculation'!$D$17</f>
        <v>98</v>
      </c>
      <c r="BA39" s="87">
        <f>'Preliminary Calculation'!$D$17</f>
        <v>98</v>
      </c>
      <c r="BB39" s="87">
        <f>'Preliminary Calculation'!$D$17</f>
        <v>98</v>
      </c>
      <c r="BC39" s="87">
        <f>'Preliminary Calculation'!$D$17</f>
        <v>98</v>
      </c>
      <c r="BD39" s="87">
        <f>'Preliminary Calculation'!$D$17</f>
        <v>98</v>
      </c>
      <c r="BE39" s="87">
        <f>'Preliminary Calculation'!$D$17</f>
        <v>98</v>
      </c>
      <c r="BF39" s="87">
        <f>'Preliminary Calculation'!$D$17</f>
        <v>98</v>
      </c>
      <c r="BG39" s="87">
        <f>'Preliminary Calculation'!$D$17</f>
        <v>98</v>
      </c>
      <c r="BH39" s="87">
        <f>'Preliminary Calculation'!$D$17</f>
        <v>98</v>
      </c>
      <c r="BI39" s="87">
        <f>'Preliminary Calculation'!$D$17</f>
        <v>98</v>
      </c>
      <c r="BJ39" s="87">
        <f>'Preliminary Calculation'!$D$17</f>
        <v>98</v>
      </c>
      <c r="BK39" s="87">
        <f>'Preliminary Calculation'!$D$17</f>
        <v>98</v>
      </c>
      <c r="BL39" s="87">
        <f>'Preliminary Calculation'!$D$17</f>
        <v>98</v>
      </c>
      <c r="BM39" s="87">
        <f>'Preliminary Calculation'!$D$17</f>
        <v>98</v>
      </c>
      <c r="BN39" s="87">
        <f>'Preliminary Calculation'!$D$17</f>
        <v>98</v>
      </c>
      <c r="BO39" s="87">
        <f>'Preliminary Calculation'!$D$17</f>
        <v>98</v>
      </c>
      <c r="BP39" s="87">
        <f>'Preliminary Calculation'!$D$17</f>
        <v>98</v>
      </c>
      <c r="BQ39" s="87">
        <f>'Preliminary Calculation'!$D$17</f>
        <v>98</v>
      </c>
      <c r="BR39" s="87">
        <f>'Preliminary Calculation'!$D$17</f>
        <v>98</v>
      </c>
      <c r="BS39" s="87">
        <f>'Preliminary Calculation'!$D$17</f>
        <v>98</v>
      </c>
      <c r="BT39" s="87">
        <f>'Preliminary Calculation'!$D$17</f>
        <v>98</v>
      </c>
      <c r="BU39" s="87">
        <f>'Preliminary Calculation'!$D$17</f>
        <v>98</v>
      </c>
      <c r="BV39" s="87">
        <f>'Preliminary Calculation'!$D$17</f>
        <v>98</v>
      </c>
      <c r="BW39" s="87">
        <f>'Preliminary Calculation'!$D$17</f>
        <v>98</v>
      </c>
      <c r="BX39" s="87">
        <f>'Preliminary Calculation'!$D$17</f>
        <v>98</v>
      </c>
      <c r="BY39" s="87">
        <f>'Preliminary Calculation'!$D$17</f>
        <v>98</v>
      </c>
      <c r="BZ39" s="87">
        <f>'Preliminary Calculation'!$D$17</f>
        <v>98</v>
      </c>
      <c r="CA39" s="87">
        <f>'Preliminary Calculation'!$D$17</f>
        <v>98</v>
      </c>
      <c r="CB39" s="87">
        <f>'Preliminary Calculation'!$D$17</f>
        <v>98</v>
      </c>
      <c r="CC39" s="87">
        <f>'Preliminary Calculation'!$D$17</f>
        <v>98</v>
      </c>
      <c r="CD39" s="87">
        <f>'Preliminary Calculation'!$D$17</f>
        <v>98</v>
      </c>
      <c r="CE39" s="87">
        <f>'Preliminary Calculation'!$D$17</f>
        <v>98</v>
      </c>
      <c r="CF39" s="87">
        <f>'Preliminary Calculation'!$D$17</f>
        <v>98</v>
      </c>
      <c r="CG39" s="87">
        <f>'Preliminary Calculation'!$D$17</f>
        <v>98</v>
      </c>
      <c r="CH39" s="87"/>
    </row>
    <row r="40" spans="2:89" ht="16.5" customHeight="1">
      <c r="B40" s="10" t="s">
        <v>298</v>
      </c>
      <c r="C40" s="87">
        <f>'Res. Tank Design'!$D$52</f>
        <v>10.488088481701515</v>
      </c>
      <c r="D40" s="87">
        <f>'Res. Tank Design'!$D$52</f>
        <v>10.488088481701515</v>
      </c>
      <c r="E40" s="87">
        <f>'Res. Tank Design'!$D$52</f>
        <v>10.488088481701515</v>
      </c>
      <c r="F40" s="87">
        <f>'Res. Tank Design'!$D$52</f>
        <v>10.488088481701515</v>
      </c>
      <c r="G40" s="87">
        <f>'Res. Tank Design'!$D$52</f>
        <v>10.488088481701515</v>
      </c>
      <c r="H40" s="87">
        <f>'Res. Tank Design'!$D$52</f>
        <v>10.488088481701515</v>
      </c>
      <c r="I40" s="87">
        <f>'Res. Tank Design'!$D$52</f>
        <v>10.488088481701515</v>
      </c>
      <c r="J40" s="87">
        <f>'Res. Tank Design'!$D$52</f>
        <v>10.488088481701515</v>
      </c>
      <c r="K40" s="87">
        <f>'Res. Tank Design'!$D$52</f>
        <v>10.488088481701515</v>
      </c>
      <c r="L40" s="87">
        <f>'Res. Tank Design'!$D$52</f>
        <v>10.488088481701515</v>
      </c>
      <c r="M40" s="87">
        <f>'Res. Tank Design'!$D$52</f>
        <v>10.488088481701515</v>
      </c>
      <c r="N40" s="87">
        <f>'Res. Tank Design'!$D$52</f>
        <v>10.488088481701515</v>
      </c>
      <c r="O40" s="87">
        <f>'Res. Tank Design'!$D$52</f>
        <v>10.488088481701515</v>
      </c>
      <c r="P40" s="87">
        <f>'Res. Tank Design'!$D$52</f>
        <v>10.488088481701515</v>
      </c>
      <c r="Q40" s="87">
        <f>'Res. Tank Design'!$D$52</f>
        <v>10.488088481701515</v>
      </c>
      <c r="R40" s="87">
        <f>'Res. Tank Design'!$D$52</f>
        <v>10.488088481701515</v>
      </c>
      <c r="S40" s="87">
        <f>'Res. Tank Design'!$D$52</f>
        <v>10.488088481701515</v>
      </c>
      <c r="T40" s="87">
        <f>'Res. Tank Design'!$D$52</f>
        <v>10.488088481701515</v>
      </c>
      <c r="U40" s="87">
        <f>'Res. Tank Design'!$D$52</f>
        <v>10.488088481701515</v>
      </c>
      <c r="V40" s="87">
        <f>'Res. Tank Design'!$D$52</f>
        <v>10.488088481701515</v>
      </c>
      <c r="W40" s="87">
        <f>'Res. Tank Design'!$D$52</f>
        <v>10.488088481701515</v>
      </c>
      <c r="X40" s="87">
        <f>'Res. Tank Design'!$D$52</f>
        <v>10.488088481701515</v>
      </c>
      <c r="Y40" s="87">
        <f>'Res. Tank Design'!$D$52</f>
        <v>10.488088481701515</v>
      </c>
      <c r="Z40" s="87">
        <f>'Res. Tank Design'!$D$52</f>
        <v>10.488088481701515</v>
      </c>
      <c r="AA40" s="87">
        <f>'Res. Tank Design'!$D$52</f>
        <v>10.488088481701515</v>
      </c>
      <c r="AB40" s="87">
        <f>'Res. Tank Design'!$D$52</f>
        <v>10.488088481701515</v>
      </c>
      <c r="AC40" s="87">
        <f>'Res. Tank Design'!$D$52</f>
        <v>10.488088481701515</v>
      </c>
      <c r="AD40" s="87">
        <f>'Res. Tank Design'!$D$52</f>
        <v>10.488088481701515</v>
      </c>
      <c r="AE40" s="87">
        <f>'Res. Tank Design'!$D$52</f>
        <v>10.488088481701515</v>
      </c>
      <c r="AF40" s="87">
        <f>'Res. Tank Design'!$D$52</f>
        <v>10.488088481701515</v>
      </c>
      <c r="AG40" s="87">
        <f>'Res. Tank Design'!$D$52</f>
        <v>10.488088481701515</v>
      </c>
      <c r="AH40" s="87">
        <f>'Res. Tank Design'!$D$52</f>
        <v>10.488088481701515</v>
      </c>
      <c r="AI40" s="87">
        <f>'Res. Tank Design'!$D$52</f>
        <v>10.488088481701515</v>
      </c>
      <c r="AJ40" s="87">
        <f>'Res. Tank Design'!$D$52</f>
        <v>10.488088481701515</v>
      </c>
      <c r="AK40" s="87">
        <f>'Res. Tank Design'!$D$52</f>
        <v>10.488088481701515</v>
      </c>
      <c r="AL40" s="87">
        <f>'Res. Tank Design'!$D$52</f>
        <v>10.488088481701515</v>
      </c>
      <c r="AM40" s="87">
        <f>'Res. Tank Design'!$D$52</f>
        <v>10.488088481701515</v>
      </c>
      <c r="AN40" s="87">
        <f>'Res. Tank Design'!$D$52</f>
        <v>10.488088481701515</v>
      </c>
      <c r="AO40" s="87">
        <f>'Res. Tank Design'!$D$52</f>
        <v>10.488088481701515</v>
      </c>
      <c r="AP40" s="87">
        <f>'Res. Tank Design'!$D$52</f>
        <v>10.488088481701515</v>
      </c>
      <c r="AQ40" s="87">
        <f>'Res. Tank Design'!$D$52</f>
        <v>10.488088481701515</v>
      </c>
      <c r="AR40" s="87">
        <f>'Res. Tank Design'!$D$52</f>
        <v>10.488088481701515</v>
      </c>
      <c r="AS40" s="87">
        <f>'Res. Tank Design'!$D$52</f>
        <v>10.488088481701515</v>
      </c>
      <c r="AT40" s="87">
        <f>'Res. Tank Design'!$D$52</f>
        <v>10.488088481701515</v>
      </c>
      <c r="AU40" s="87">
        <f>'Res. Tank Design'!$D$52</f>
        <v>10.488088481701515</v>
      </c>
      <c r="AV40" s="87">
        <f>'Res. Tank Design'!$D$52</f>
        <v>10.488088481701515</v>
      </c>
      <c r="AW40" s="87">
        <f>'Res. Tank Design'!$D$52</f>
        <v>10.488088481701515</v>
      </c>
      <c r="AX40" s="87">
        <f>'Res. Tank Design'!$D$52</f>
        <v>10.488088481701515</v>
      </c>
      <c r="AY40" s="87">
        <f>'Res. Tank Design'!$D$52</f>
        <v>10.488088481701515</v>
      </c>
      <c r="AZ40" s="87">
        <f>'Res. Tank Design'!$D$52</f>
        <v>10.488088481701515</v>
      </c>
      <c r="BA40" s="87">
        <f>'Res. Tank Design'!$D$52</f>
        <v>10.488088481701515</v>
      </c>
      <c r="BB40" s="87">
        <f>'Res. Tank Design'!$D$52</f>
        <v>10.488088481701515</v>
      </c>
      <c r="BC40" s="87">
        <f>'Res. Tank Design'!$D$52</f>
        <v>10.488088481701515</v>
      </c>
      <c r="BD40" s="87">
        <f>'Res. Tank Design'!$D$52</f>
        <v>10.488088481701515</v>
      </c>
      <c r="BE40" s="87">
        <f>'Res. Tank Design'!$D$52</f>
        <v>10.488088481701515</v>
      </c>
      <c r="BF40" s="87">
        <f>'Res. Tank Design'!$D$52</f>
        <v>10.488088481701515</v>
      </c>
      <c r="BG40" s="87">
        <f>'Res. Tank Design'!$D$52</f>
        <v>10.488088481701515</v>
      </c>
      <c r="BH40" s="87">
        <f>'Res. Tank Design'!$D$52</f>
        <v>10.488088481701515</v>
      </c>
      <c r="BI40" s="87">
        <f>'Res. Tank Design'!$D$52</f>
        <v>10.488088481701515</v>
      </c>
      <c r="BJ40" s="87">
        <f>'Res. Tank Design'!$D$52</f>
        <v>10.488088481701515</v>
      </c>
      <c r="BK40" s="87">
        <f>'Res. Tank Design'!$D$52</f>
        <v>10.488088481701515</v>
      </c>
      <c r="BL40" s="87">
        <f>'Res. Tank Design'!$D$52</f>
        <v>10.488088481701515</v>
      </c>
      <c r="BM40" s="87">
        <f>'Res. Tank Design'!$D$52</f>
        <v>10.488088481701515</v>
      </c>
      <c r="BN40" s="87">
        <f>'Res. Tank Design'!$D$52</f>
        <v>10.488088481701515</v>
      </c>
      <c r="BO40" s="87">
        <f>'Res. Tank Design'!$D$52</f>
        <v>10.488088481701515</v>
      </c>
      <c r="BP40" s="87">
        <f>'Res. Tank Design'!$D$52</f>
        <v>10.488088481701515</v>
      </c>
      <c r="BQ40" s="87">
        <f>'Res. Tank Design'!$D$52</f>
        <v>10.488088481701515</v>
      </c>
      <c r="BR40" s="87">
        <f>'Res. Tank Design'!$D$52</f>
        <v>10.488088481701515</v>
      </c>
      <c r="BS40" s="87">
        <f>'Res. Tank Design'!$D$52</f>
        <v>10.488088481701515</v>
      </c>
      <c r="BT40" s="87">
        <f>'Res. Tank Design'!$D$52</f>
        <v>10.488088481701515</v>
      </c>
      <c r="BU40" s="87">
        <f>'Res. Tank Design'!$D$52</f>
        <v>10.488088481701515</v>
      </c>
      <c r="BV40" s="87">
        <f>'Res. Tank Design'!$D$52</f>
        <v>10.488088481701515</v>
      </c>
      <c r="BW40" s="87">
        <f>'Res. Tank Design'!$D$52</f>
        <v>10.488088481701515</v>
      </c>
      <c r="BX40" s="87">
        <f>'Res. Tank Design'!$D$52</f>
        <v>10.488088481701515</v>
      </c>
      <c r="BY40" s="87">
        <f>'Res. Tank Design'!$D$52</f>
        <v>10.488088481701515</v>
      </c>
      <c r="BZ40" s="87">
        <f>'Res. Tank Design'!$D$52</f>
        <v>10.488088481701515</v>
      </c>
      <c r="CA40" s="87">
        <f>'Res. Tank Design'!$D$52</f>
        <v>10.488088481701515</v>
      </c>
      <c r="CB40" s="87">
        <f>'Res. Tank Design'!$D$52</f>
        <v>10.488088481701515</v>
      </c>
      <c r="CC40" s="87">
        <f>'Res. Tank Design'!$D$52</f>
        <v>10.488088481701515</v>
      </c>
      <c r="CD40" s="87">
        <f>'Res. Tank Design'!$D$52</f>
        <v>10.488088481701515</v>
      </c>
      <c r="CE40" s="87">
        <f>'Res. Tank Design'!$D$52</f>
        <v>10.488088481701515</v>
      </c>
      <c r="CF40" s="87">
        <f>'Res. Tank Design'!$D$52</f>
        <v>10.488088481701515</v>
      </c>
      <c r="CG40" s="87">
        <f>'Res. Tank Design'!$D$52</f>
        <v>10.488088481701515</v>
      </c>
      <c r="CH40" s="87"/>
    </row>
    <row r="41" spans="2:89" ht="16.5" customHeight="1">
      <c r="B41" s="10" t="s">
        <v>799</v>
      </c>
      <c r="C41" s="10">
        <f t="shared" ref="C41:AH41" si="55">(C$40/(C$10^2))*((PI()^2)/4)*(C$12*100/C$39)*(((SIN(C33))^2)/(C$5+C$11*C$6)^2)</f>
        <v>0.5001479368730567</v>
      </c>
      <c r="D41" s="10">
        <f t="shared" si="55"/>
        <v>0.5001479368730567</v>
      </c>
      <c r="E41" s="10">
        <f t="shared" si="55"/>
        <v>0.5001479368730567</v>
      </c>
      <c r="F41" s="10">
        <f t="shared" si="55"/>
        <v>0.5001479368730567</v>
      </c>
      <c r="G41" s="10">
        <f t="shared" si="55"/>
        <v>0.5001479368730567</v>
      </c>
      <c r="H41" s="10">
        <f t="shared" si="55"/>
        <v>0.5001479368730567</v>
      </c>
      <c r="I41" s="10">
        <f t="shared" si="55"/>
        <v>0.5001479368730567</v>
      </c>
      <c r="J41" s="10">
        <f t="shared" si="55"/>
        <v>0.5001479368730567</v>
      </c>
      <c r="K41" s="10">
        <f t="shared" si="55"/>
        <v>0.5001479368730567</v>
      </c>
      <c r="L41" s="10">
        <f t="shared" si="55"/>
        <v>0.5001479368730567</v>
      </c>
      <c r="M41" s="10">
        <f t="shared" si="55"/>
        <v>0.5001479368730567</v>
      </c>
      <c r="N41" s="10">
        <f t="shared" si="55"/>
        <v>0.5001479368730567</v>
      </c>
      <c r="O41" s="10">
        <f t="shared" si="55"/>
        <v>0.5001479368730567</v>
      </c>
      <c r="P41" s="10">
        <f t="shared" si="55"/>
        <v>0.5001479368730567</v>
      </c>
      <c r="Q41" s="10">
        <f t="shared" si="55"/>
        <v>0.5001479368730567</v>
      </c>
      <c r="R41" s="10">
        <f t="shared" si="55"/>
        <v>0.5001479368730567</v>
      </c>
      <c r="S41" s="10">
        <f t="shared" si="55"/>
        <v>0.5001479368730567</v>
      </c>
      <c r="T41" s="10">
        <f t="shared" si="55"/>
        <v>0.5001479368730567</v>
      </c>
      <c r="U41" s="10">
        <f t="shared" si="55"/>
        <v>0.5001479368730567</v>
      </c>
      <c r="V41" s="10">
        <f t="shared" si="55"/>
        <v>0.5001479368730567</v>
      </c>
      <c r="W41" s="10">
        <f t="shared" si="55"/>
        <v>0.5001479368730567</v>
      </c>
      <c r="X41" s="10">
        <f t="shared" si="55"/>
        <v>0.5001479368730567</v>
      </c>
      <c r="Y41" s="10">
        <f t="shared" si="55"/>
        <v>0.5001479368730567</v>
      </c>
      <c r="Z41" s="10">
        <f t="shared" si="55"/>
        <v>0.5001479368730567</v>
      </c>
      <c r="AA41" s="10">
        <f t="shared" si="55"/>
        <v>0.5001479368730567</v>
      </c>
      <c r="AB41" s="10">
        <f t="shared" si="55"/>
        <v>0.5001479368730567</v>
      </c>
      <c r="AC41" s="10">
        <f t="shared" si="55"/>
        <v>0.5001479368730567</v>
      </c>
      <c r="AD41" s="10">
        <f t="shared" si="55"/>
        <v>0.5001479368730567</v>
      </c>
      <c r="AE41" s="10">
        <f t="shared" si="55"/>
        <v>0.5001479368730567</v>
      </c>
      <c r="AF41" s="10">
        <f t="shared" si="55"/>
        <v>0.5001479368730567</v>
      </c>
      <c r="AG41" s="10">
        <f t="shared" si="55"/>
        <v>0.5001479368730567</v>
      </c>
      <c r="AH41" s="10">
        <f t="shared" si="55"/>
        <v>0.5001479368730567</v>
      </c>
      <c r="AI41" s="10">
        <f t="shared" ref="AI41:BN41" si="56">(AI$40/(AI$10^2))*((PI()^2)/4)*(AI$12*100/AI$39)*(((SIN(AI33))^2)/(AI$5+AI$11*AI$6)^2)</f>
        <v>0.5001479368730567</v>
      </c>
      <c r="AJ41" s="10">
        <f t="shared" si="56"/>
        <v>0.5001479368730567</v>
      </c>
      <c r="AK41" s="10">
        <f t="shared" si="56"/>
        <v>0.5001479368730567</v>
      </c>
      <c r="AL41" s="10">
        <f t="shared" si="56"/>
        <v>0.5001479368730567</v>
      </c>
      <c r="AM41" s="10">
        <f t="shared" si="56"/>
        <v>0.5001479368730567</v>
      </c>
      <c r="AN41" s="10">
        <f t="shared" si="56"/>
        <v>0.5001479368730567</v>
      </c>
      <c r="AO41" s="10">
        <f t="shared" si="56"/>
        <v>0.5001479368730567</v>
      </c>
      <c r="AP41" s="10">
        <f t="shared" si="56"/>
        <v>0.5001479368730567</v>
      </c>
      <c r="AQ41" s="10">
        <f t="shared" si="56"/>
        <v>0.5001479368730567</v>
      </c>
      <c r="AR41" s="10">
        <f t="shared" si="56"/>
        <v>0.5001479368730567</v>
      </c>
      <c r="AS41" s="10">
        <f t="shared" si="56"/>
        <v>0.5001479368730567</v>
      </c>
      <c r="AT41" s="10">
        <f t="shared" si="56"/>
        <v>0.5001479368730567</v>
      </c>
      <c r="AU41" s="10">
        <f t="shared" si="56"/>
        <v>0.5001479368730567</v>
      </c>
      <c r="AV41" s="10">
        <f t="shared" si="56"/>
        <v>0.5001479368730567</v>
      </c>
      <c r="AW41" s="10">
        <f t="shared" si="56"/>
        <v>0.5001479368730567</v>
      </c>
      <c r="AX41" s="10">
        <f t="shared" si="56"/>
        <v>0.5001479368730567</v>
      </c>
      <c r="AY41" s="10">
        <f t="shared" si="56"/>
        <v>0.5001479368730567</v>
      </c>
      <c r="AZ41" s="10">
        <f t="shared" si="56"/>
        <v>0.5001479368730567</v>
      </c>
      <c r="BA41" s="10">
        <f t="shared" si="56"/>
        <v>0.5001479368730567</v>
      </c>
      <c r="BB41" s="10">
        <f t="shared" si="56"/>
        <v>0.5001479368730567</v>
      </c>
      <c r="BC41" s="10">
        <f t="shared" si="56"/>
        <v>0.5001479368730567</v>
      </c>
      <c r="BD41" s="10">
        <f t="shared" si="56"/>
        <v>0.5001479368730567</v>
      </c>
      <c r="BE41" s="10">
        <f t="shared" si="56"/>
        <v>0.5001479368730567</v>
      </c>
      <c r="BF41" s="10">
        <f t="shared" si="56"/>
        <v>0.5001479368730567</v>
      </c>
      <c r="BG41" s="10">
        <f t="shared" si="56"/>
        <v>0.5001479368730567</v>
      </c>
      <c r="BH41" s="10">
        <f t="shared" si="56"/>
        <v>0.5001479368730567</v>
      </c>
      <c r="BI41" s="10">
        <f t="shared" si="56"/>
        <v>0.5001479368730567</v>
      </c>
      <c r="BJ41" s="10">
        <f t="shared" si="56"/>
        <v>0.5001479368730567</v>
      </c>
      <c r="BK41" s="10">
        <f t="shared" si="56"/>
        <v>0.5001479368730567</v>
      </c>
      <c r="BL41" s="10">
        <f t="shared" si="56"/>
        <v>0.5001479368730567</v>
      </c>
      <c r="BM41" s="10">
        <f t="shared" si="56"/>
        <v>0.5001479368730567</v>
      </c>
      <c r="BN41" s="10">
        <f t="shared" si="56"/>
        <v>0.5001479368730567</v>
      </c>
      <c r="BO41" s="10">
        <f t="shared" ref="BO41:CG41" si="57">(BO$40/(BO$10^2))*((PI()^2)/4)*(BO$12*100/BO$39)*(((SIN(BO33))^2)/(BO$5+BO$11*BO$6)^2)</f>
        <v>0.5001479368730567</v>
      </c>
      <c r="BP41" s="10">
        <f t="shared" si="57"/>
        <v>0.5001479368730567</v>
      </c>
      <c r="BQ41" s="10">
        <f t="shared" si="57"/>
        <v>0.5001479368730567</v>
      </c>
      <c r="BR41" s="10">
        <f t="shared" si="57"/>
        <v>0.5001479368730567</v>
      </c>
      <c r="BS41" s="10">
        <f t="shared" si="57"/>
        <v>0.5001479368730567</v>
      </c>
      <c r="BT41" s="10">
        <f t="shared" si="57"/>
        <v>0.5001479368730567</v>
      </c>
      <c r="BU41" s="10">
        <f t="shared" si="57"/>
        <v>0.5001479368730567</v>
      </c>
      <c r="BV41" s="10">
        <f t="shared" si="57"/>
        <v>0.5001479368730567</v>
      </c>
      <c r="BW41" s="10">
        <f t="shared" si="57"/>
        <v>0.5001479368730567</v>
      </c>
      <c r="BX41" s="10">
        <f t="shared" si="57"/>
        <v>0.5001479368730567</v>
      </c>
      <c r="BY41" s="10">
        <f t="shared" si="57"/>
        <v>0.5001479368730567</v>
      </c>
      <c r="BZ41" s="10">
        <f t="shared" si="57"/>
        <v>0.5001479368730567</v>
      </c>
      <c r="CA41" s="10">
        <f t="shared" si="57"/>
        <v>0.5001479368730567</v>
      </c>
      <c r="CB41" s="10">
        <f t="shared" si="57"/>
        <v>0.5001479368730567</v>
      </c>
      <c r="CC41" s="10">
        <f t="shared" si="57"/>
        <v>0.5001479368730567</v>
      </c>
      <c r="CD41" s="10">
        <f t="shared" si="57"/>
        <v>0.5001479368730567</v>
      </c>
      <c r="CE41" s="10">
        <f t="shared" si="57"/>
        <v>0.5001479368730567</v>
      </c>
      <c r="CF41" s="10">
        <f t="shared" si="57"/>
        <v>0.5001479368730567</v>
      </c>
      <c r="CG41" s="10">
        <f t="shared" si="57"/>
        <v>0.5001479368730567</v>
      </c>
    </row>
    <row r="42" spans="2:89" ht="16.5" customHeight="1">
      <c r="B42" s="10" t="s">
        <v>800</v>
      </c>
      <c r="C42" s="10">
        <f t="shared" ref="C42:AH42" si="58">(C$40/(C$10^2))*((PI()^2)/4)*(C$12*100/C$39)*(((SIN(C34))^2)/(C$5+C$11*C$6)^2)</f>
        <v>0.46664437792774976</v>
      </c>
      <c r="D42" s="10">
        <f t="shared" si="58"/>
        <v>0.46664437792774976</v>
      </c>
      <c r="E42" s="10">
        <f t="shared" si="58"/>
        <v>0.46664437792774976</v>
      </c>
      <c r="F42" s="10">
        <f t="shared" si="58"/>
        <v>0.46664437792774976</v>
      </c>
      <c r="G42" s="10">
        <f t="shared" si="58"/>
        <v>0.46664437792774976</v>
      </c>
      <c r="H42" s="10">
        <f t="shared" si="58"/>
        <v>0.46664437792774976</v>
      </c>
      <c r="I42" s="10">
        <f t="shared" si="58"/>
        <v>0.46664437792774976</v>
      </c>
      <c r="J42" s="10">
        <f t="shared" si="58"/>
        <v>0.46664437792774976</v>
      </c>
      <c r="K42" s="10">
        <f t="shared" si="58"/>
        <v>0.46664437792774976</v>
      </c>
      <c r="L42" s="10">
        <f t="shared" si="58"/>
        <v>0.46664437792774976</v>
      </c>
      <c r="M42" s="10">
        <f t="shared" si="58"/>
        <v>0.46664437792774976</v>
      </c>
      <c r="N42" s="10">
        <f t="shared" si="58"/>
        <v>0.46664437792774976</v>
      </c>
      <c r="O42" s="10">
        <f t="shared" si="58"/>
        <v>0.46664437792774976</v>
      </c>
      <c r="P42" s="10">
        <f t="shared" si="58"/>
        <v>0.46664437792774976</v>
      </c>
      <c r="Q42" s="10">
        <f t="shared" si="58"/>
        <v>0.46664437792774976</v>
      </c>
      <c r="R42" s="10">
        <f t="shared" si="58"/>
        <v>0.46664437792774976</v>
      </c>
      <c r="S42" s="10">
        <f t="shared" si="58"/>
        <v>0.46664437792774976</v>
      </c>
      <c r="T42" s="10">
        <f t="shared" si="58"/>
        <v>0.46664437792774976</v>
      </c>
      <c r="U42" s="10">
        <f t="shared" si="58"/>
        <v>0.46664437792774976</v>
      </c>
      <c r="V42" s="10">
        <f t="shared" si="58"/>
        <v>0.46664437792774976</v>
      </c>
      <c r="W42" s="10">
        <f t="shared" si="58"/>
        <v>0.46664437792774976</v>
      </c>
      <c r="X42" s="10">
        <f t="shared" si="58"/>
        <v>0.46664437792774976</v>
      </c>
      <c r="Y42" s="10">
        <f t="shared" si="58"/>
        <v>0.46664437792774976</v>
      </c>
      <c r="Z42" s="10">
        <f t="shared" si="58"/>
        <v>0.46664437792774976</v>
      </c>
      <c r="AA42" s="10">
        <f t="shared" si="58"/>
        <v>0.46664437792774976</v>
      </c>
      <c r="AB42" s="10">
        <f t="shared" si="58"/>
        <v>0.46664437792774976</v>
      </c>
      <c r="AC42" s="10">
        <f t="shared" si="58"/>
        <v>0.46664437792774976</v>
      </c>
      <c r="AD42" s="10">
        <f t="shared" si="58"/>
        <v>0.46664437792774976</v>
      </c>
      <c r="AE42" s="10">
        <f t="shared" si="58"/>
        <v>0.46664437792774976</v>
      </c>
      <c r="AF42" s="10">
        <f t="shared" si="58"/>
        <v>0.46664437792774976</v>
      </c>
      <c r="AG42" s="10">
        <f t="shared" si="58"/>
        <v>0.46664437792774976</v>
      </c>
      <c r="AH42" s="10">
        <f t="shared" si="58"/>
        <v>0.46664437792774976</v>
      </c>
      <c r="AI42" s="10">
        <f t="shared" ref="AI42:BN42" si="59">(AI$40/(AI$10^2))*((PI()^2)/4)*(AI$12*100/AI$39)*(((SIN(AI34))^2)/(AI$5+AI$11*AI$6)^2)</f>
        <v>0.46664437792774976</v>
      </c>
      <c r="AJ42" s="10">
        <f t="shared" si="59"/>
        <v>0.46664437792774976</v>
      </c>
      <c r="AK42" s="10">
        <f t="shared" si="59"/>
        <v>0.46664437792774976</v>
      </c>
      <c r="AL42" s="10">
        <f t="shared" si="59"/>
        <v>0.46664437792774976</v>
      </c>
      <c r="AM42" s="10">
        <f t="shared" si="59"/>
        <v>0.46664437792774976</v>
      </c>
      <c r="AN42" s="10">
        <f t="shared" si="59"/>
        <v>0.46664437792774976</v>
      </c>
      <c r="AO42" s="10">
        <f t="shared" si="59"/>
        <v>0.46664437792774976</v>
      </c>
      <c r="AP42" s="10">
        <f t="shared" si="59"/>
        <v>0.46664437792774976</v>
      </c>
      <c r="AQ42" s="10">
        <f t="shared" si="59"/>
        <v>0.46664437792774976</v>
      </c>
      <c r="AR42" s="10">
        <f t="shared" si="59"/>
        <v>0.46664437792774976</v>
      </c>
      <c r="AS42" s="10">
        <f t="shared" si="59"/>
        <v>0.46664437792774976</v>
      </c>
      <c r="AT42" s="10">
        <f t="shared" si="59"/>
        <v>0.46664437792774976</v>
      </c>
      <c r="AU42" s="10">
        <f t="shared" si="59"/>
        <v>0.46664437792774976</v>
      </c>
      <c r="AV42" s="10">
        <f t="shared" si="59"/>
        <v>0.46664437792774976</v>
      </c>
      <c r="AW42" s="10">
        <f t="shared" si="59"/>
        <v>0.46664437792774976</v>
      </c>
      <c r="AX42" s="10">
        <f t="shared" si="59"/>
        <v>0.46664437792774976</v>
      </c>
      <c r="AY42" s="10">
        <f t="shared" si="59"/>
        <v>0.46664437792774976</v>
      </c>
      <c r="AZ42" s="10">
        <f t="shared" si="59"/>
        <v>0.46664437792774976</v>
      </c>
      <c r="BA42" s="10">
        <f t="shared" si="59"/>
        <v>0.46664437792774976</v>
      </c>
      <c r="BB42" s="10">
        <f t="shared" si="59"/>
        <v>0.46664437792774976</v>
      </c>
      <c r="BC42" s="10">
        <f t="shared" si="59"/>
        <v>0.46664437792774976</v>
      </c>
      <c r="BD42" s="10">
        <f t="shared" si="59"/>
        <v>0.46664437792774976</v>
      </c>
      <c r="BE42" s="10">
        <f t="shared" si="59"/>
        <v>0.46664437792774976</v>
      </c>
      <c r="BF42" s="10">
        <f t="shared" si="59"/>
        <v>0.46664437792774976</v>
      </c>
      <c r="BG42" s="10">
        <f t="shared" si="59"/>
        <v>0.46664437792774976</v>
      </c>
      <c r="BH42" s="10">
        <f t="shared" si="59"/>
        <v>0.46664437792774976</v>
      </c>
      <c r="BI42" s="10">
        <f t="shared" si="59"/>
        <v>0.46664437792774976</v>
      </c>
      <c r="BJ42" s="10">
        <f t="shared" si="59"/>
        <v>0.46664437792774976</v>
      </c>
      <c r="BK42" s="10">
        <f t="shared" si="59"/>
        <v>0.46664437792774976</v>
      </c>
      <c r="BL42" s="10">
        <f t="shared" si="59"/>
        <v>0.46664437792774976</v>
      </c>
      <c r="BM42" s="10">
        <f t="shared" si="59"/>
        <v>0.46664437792774976</v>
      </c>
      <c r="BN42" s="10">
        <f t="shared" si="59"/>
        <v>0.46664437792774976</v>
      </c>
      <c r="BO42" s="10">
        <f t="shared" ref="BO42:CG42" si="60">(BO$40/(BO$10^2))*((PI()^2)/4)*(BO$12*100/BO$39)*(((SIN(BO34))^2)/(BO$5+BO$11*BO$6)^2)</f>
        <v>0.46664437792774976</v>
      </c>
      <c r="BP42" s="10">
        <f t="shared" si="60"/>
        <v>0.46664437792774976</v>
      </c>
      <c r="BQ42" s="10">
        <f t="shared" si="60"/>
        <v>0.46664437792774976</v>
      </c>
      <c r="BR42" s="10">
        <f t="shared" si="60"/>
        <v>0.46664437792774976</v>
      </c>
      <c r="BS42" s="10">
        <f t="shared" si="60"/>
        <v>0.46664437792774976</v>
      </c>
      <c r="BT42" s="10">
        <f t="shared" si="60"/>
        <v>0.46664437792774976</v>
      </c>
      <c r="BU42" s="10">
        <f t="shared" si="60"/>
        <v>0.46664437792774976</v>
      </c>
      <c r="BV42" s="10">
        <f t="shared" si="60"/>
        <v>0.46664437792774976</v>
      </c>
      <c r="BW42" s="10">
        <f t="shared" si="60"/>
        <v>0.46664437792774976</v>
      </c>
      <c r="BX42" s="10">
        <f t="shared" si="60"/>
        <v>0.46664437792774976</v>
      </c>
      <c r="BY42" s="10">
        <f t="shared" si="60"/>
        <v>0.46664437792774976</v>
      </c>
      <c r="BZ42" s="10">
        <f t="shared" si="60"/>
        <v>0.46664437792774976</v>
      </c>
      <c r="CA42" s="10">
        <f t="shared" si="60"/>
        <v>0.46664437792774976</v>
      </c>
      <c r="CB42" s="10">
        <f t="shared" si="60"/>
        <v>0.46664437792774976</v>
      </c>
      <c r="CC42" s="10">
        <f t="shared" si="60"/>
        <v>0.46664437792774976</v>
      </c>
      <c r="CD42" s="10">
        <f t="shared" si="60"/>
        <v>0.46664437792774976</v>
      </c>
      <c r="CE42" s="10">
        <f t="shared" si="60"/>
        <v>0.46664437792774976</v>
      </c>
      <c r="CF42" s="10">
        <f t="shared" si="60"/>
        <v>0.46664437792774976</v>
      </c>
      <c r="CG42" s="10">
        <f t="shared" si="60"/>
        <v>0.46664437792774976</v>
      </c>
    </row>
    <row r="43" spans="2:89" ht="16.5" customHeight="1">
      <c r="B43" s="10" t="s">
        <v>801</v>
      </c>
      <c r="C43" s="10">
        <f t="shared" ref="C43:AH43" si="61">(C$40/(C$10^2))*((PI()^2)/4)*(C$12*100/C$39)*(((SIN(C35))^2)/(C$5+C$11*C$6)^2)</f>
        <v>0.37511095265479244</v>
      </c>
      <c r="D43" s="10">
        <f t="shared" si="61"/>
        <v>0.37511095265479244</v>
      </c>
      <c r="E43" s="10">
        <f t="shared" si="61"/>
        <v>0.37511095265479244</v>
      </c>
      <c r="F43" s="10">
        <f t="shared" si="61"/>
        <v>0.37511095265479244</v>
      </c>
      <c r="G43" s="10">
        <f t="shared" si="61"/>
        <v>0.37511095265479244</v>
      </c>
      <c r="H43" s="10">
        <f t="shared" si="61"/>
        <v>0.37511095265479244</v>
      </c>
      <c r="I43" s="10">
        <f t="shared" si="61"/>
        <v>0.37511095265479244</v>
      </c>
      <c r="J43" s="10">
        <f t="shared" si="61"/>
        <v>0.37511095265479244</v>
      </c>
      <c r="K43" s="10">
        <f t="shared" si="61"/>
        <v>0.37511095265479244</v>
      </c>
      <c r="L43" s="10">
        <f t="shared" si="61"/>
        <v>0.37511095265479244</v>
      </c>
      <c r="M43" s="10">
        <f t="shared" si="61"/>
        <v>0.37511095265479244</v>
      </c>
      <c r="N43" s="10">
        <f t="shared" si="61"/>
        <v>0.37511095265479244</v>
      </c>
      <c r="O43" s="10">
        <f t="shared" si="61"/>
        <v>0.37511095265479244</v>
      </c>
      <c r="P43" s="10">
        <f t="shared" si="61"/>
        <v>0.37511095265479244</v>
      </c>
      <c r="Q43" s="10">
        <f t="shared" si="61"/>
        <v>0.37511095265479244</v>
      </c>
      <c r="R43" s="10">
        <f t="shared" si="61"/>
        <v>0.37511095265479244</v>
      </c>
      <c r="S43" s="10">
        <f t="shared" si="61"/>
        <v>0.37511095265479244</v>
      </c>
      <c r="T43" s="10">
        <f t="shared" si="61"/>
        <v>0.37511095265479244</v>
      </c>
      <c r="U43" s="10">
        <f t="shared" si="61"/>
        <v>0.37511095265479244</v>
      </c>
      <c r="V43" s="10">
        <f t="shared" si="61"/>
        <v>0.37511095265479244</v>
      </c>
      <c r="W43" s="10">
        <f t="shared" si="61"/>
        <v>0.37511095265479244</v>
      </c>
      <c r="X43" s="10">
        <f t="shared" si="61"/>
        <v>0.37511095265479244</v>
      </c>
      <c r="Y43" s="10">
        <f t="shared" si="61"/>
        <v>0.37511095265479244</v>
      </c>
      <c r="Z43" s="10">
        <f t="shared" si="61"/>
        <v>0.37511095265479244</v>
      </c>
      <c r="AA43" s="10">
        <f t="shared" si="61"/>
        <v>0.37511095265479244</v>
      </c>
      <c r="AB43" s="10">
        <f t="shared" si="61"/>
        <v>0.37511095265479244</v>
      </c>
      <c r="AC43" s="10">
        <f t="shared" si="61"/>
        <v>0.37511095265479244</v>
      </c>
      <c r="AD43" s="10">
        <f t="shared" si="61"/>
        <v>0.37511095265479244</v>
      </c>
      <c r="AE43" s="10">
        <f t="shared" si="61"/>
        <v>0.37511095265479244</v>
      </c>
      <c r="AF43" s="10">
        <f t="shared" si="61"/>
        <v>0.37511095265479244</v>
      </c>
      <c r="AG43" s="10">
        <f t="shared" si="61"/>
        <v>0.37511095265479244</v>
      </c>
      <c r="AH43" s="10">
        <f t="shared" si="61"/>
        <v>0.37511095265479244</v>
      </c>
      <c r="AI43" s="10">
        <f t="shared" ref="AI43:BN43" si="62">(AI$40/(AI$10^2))*((PI()^2)/4)*(AI$12*100/AI$39)*(((SIN(AI35))^2)/(AI$5+AI$11*AI$6)^2)</f>
        <v>0.37511095265479244</v>
      </c>
      <c r="AJ43" s="10">
        <f t="shared" si="62"/>
        <v>0.37511095265479244</v>
      </c>
      <c r="AK43" s="10">
        <f t="shared" si="62"/>
        <v>0.37511095265479244</v>
      </c>
      <c r="AL43" s="10">
        <f t="shared" si="62"/>
        <v>0.37511095265479244</v>
      </c>
      <c r="AM43" s="10">
        <f t="shared" si="62"/>
        <v>0.37511095265479244</v>
      </c>
      <c r="AN43" s="10">
        <f t="shared" si="62"/>
        <v>0.37511095265479244</v>
      </c>
      <c r="AO43" s="10">
        <f t="shared" si="62"/>
        <v>0.37511095265479244</v>
      </c>
      <c r="AP43" s="10">
        <f t="shared" si="62"/>
        <v>0.37511095265479244</v>
      </c>
      <c r="AQ43" s="10">
        <f t="shared" si="62"/>
        <v>0.37511095265479244</v>
      </c>
      <c r="AR43" s="10">
        <f t="shared" si="62"/>
        <v>0.37511095265479244</v>
      </c>
      <c r="AS43" s="10">
        <f t="shared" si="62"/>
        <v>0.37511095265479244</v>
      </c>
      <c r="AT43" s="10">
        <f t="shared" si="62"/>
        <v>0.37511095265479244</v>
      </c>
      <c r="AU43" s="10">
        <f t="shared" si="62"/>
        <v>0.37511095265479244</v>
      </c>
      <c r="AV43" s="10">
        <f t="shared" si="62"/>
        <v>0.37511095265479244</v>
      </c>
      <c r="AW43" s="10">
        <f t="shared" si="62"/>
        <v>0.37511095265479244</v>
      </c>
      <c r="AX43" s="10">
        <f t="shared" si="62"/>
        <v>0.37511095265479244</v>
      </c>
      <c r="AY43" s="10">
        <f t="shared" si="62"/>
        <v>0.37511095265479244</v>
      </c>
      <c r="AZ43" s="10">
        <f t="shared" si="62"/>
        <v>0.37511095265479244</v>
      </c>
      <c r="BA43" s="10">
        <f t="shared" si="62"/>
        <v>0.37511095265479244</v>
      </c>
      <c r="BB43" s="10">
        <f t="shared" si="62"/>
        <v>0.37511095265479244</v>
      </c>
      <c r="BC43" s="10">
        <f t="shared" si="62"/>
        <v>0.37511095265479244</v>
      </c>
      <c r="BD43" s="10">
        <f t="shared" si="62"/>
        <v>0.37511095265479244</v>
      </c>
      <c r="BE43" s="10">
        <f t="shared" si="62"/>
        <v>0.37511095265479244</v>
      </c>
      <c r="BF43" s="10">
        <f t="shared" si="62"/>
        <v>0.37511095265479244</v>
      </c>
      <c r="BG43" s="10">
        <f t="shared" si="62"/>
        <v>0.37511095265479244</v>
      </c>
      <c r="BH43" s="10">
        <f t="shared" si="62"/>
        <v>0.37511095265479244</v>
      </c>
      <c r="BI43" s="10">
        <f t="shared" si="62"/>
        <v>0.37511095265479244</v>
      </c>
      <c r="BJ43" s="10">
        <f t="shared" si="62"/>
        <v>0.37511095265479244</v>
      </c>
      <c r="BK43" s="10">
        <f t="shared" si="62"/>
        <v>0.37511095265479244</v>
      </c>
      <c r="BL43" s="10">
        <f t="shared" si="62"/>
        <v>0.37511095265479244</v>
      </c>
      <c r="BM43" s="10">
        <f t="shared" si="62"/>
        <v>0.37511095265479244</v>
      </c>
      <c r="BN43" s="10">
        <f t="shared" si="62"/>
        <v>0.37511095265479244</v>
      </c>
      <c r="BO43" s="10">
        <f t="shared" ref="BO43:CG43" si="63">(BO$40/(BO$10^2))*((PI()^2)/4)*(BO$12*100/BO$39)*(((SIN(BO35))^2)/(BO$5+BO$11*BO$6)^2)</f>
        <v>0.37511095265479244</v>
      </c>
      <c r="BP43" s="10">
        <f t="shared" si="63"/>
        <v>0.37511095265479244</v>
      </c>
      <c r="BQ43" s="10">
        <f t="shared" si="63"/>
        <v>0.37511095265479244</v>
      </c>
      <c r="BR43" s="10">
        <f t="shared" si="63"/>
        <v>0.37511095265479244</v>
      </c>
      <c r="BS43" s="10">
        <f t="shared" si="63"/>
        <v>0.37511095265479244</v>
      </c>
      <c r="BT43" s="10">
        <f t="shared" si="63"/>
        <v>0.37511095265479244</v>
      </c>
      <c r="BU43" s="10">
        <f t="shared" si="63"/>
        <v>0.37511095265479244</v>
      </c>
      <c r="BV43" s="10">
        <f t="shared" si="63"/>
        <v>0.37511095265479244</v>
      </c>
      <c r="BW43" s="10">
        <f t="shared" si="63"/>
        <v>0.37511095265479244</v>
      </c>
      <c r="BX43" s="10">
        <f t="shared" si="63"/>
        <v>0.37511095265479244</v>
      </c>
      <c r="BY43" s="10">
        <f t="shared" si="63"/>
        <v>0.37511095265479244</v>
      </c>
      <c r="BZ43" s="10">
        <f t="shared" si="63"/>
        <v>0.37511095265479244</v>
      </c>
      <c r="CA43" s="10">
        <f t="shared" si="63"/>
        <v>0.37511095265479244</v>
      </c>
      <c r="CB43" s="10">
        <f t="shared" si="63"/>
        <v>0.37511095265479244</v>
      </c>
      <c r="CC43" s="10">
        <f t="shared" si="63"/>
        <v>0.37511095265479244</v>
      </c>
      <c r="CD43" s="10">
        <f t="shared" si="63"/>
        <v>0.37511095265479244</v>
      </c>
      <c r="CE43" s="10">
        <f t="shared" si="63"/>
        <v>0.37511095265479244</v>
      </c>
      <c r="CF43" s="10">
        <f t="shared" si="63"/>
        <v>0.37511095265479244</v>
      </c>
      <c r="CG43" s="10">
        <f t="shared" si="63"/>
        <v>0.37511095265479244</v>
      </c>
    </row>
    <row r="44" spans="2:89" ht="16.5" customHeight="1">
      <c r="B44" s="10" t="s">
        <v>802</v>
      </c>
      <c r="C44" s="10">
        <f t="shared" ref="C44:AH44" si="64">(C$40/(C$10^2))*((PI()^2)/4)*(C$12*100/C$39)*(((SIN(C36))^2)/(C$5+C$11*C$6)^2)</f>
        <v>0.25007396843652824</v>
      </c>
      <c r="D44" s="10">
        <f t="shared" si="64"/>
        <v>0.25007396843652824</v>
      </c>
      <c r="E44" s="10">
        <f t="shared" si="64"/>
        <v>0.25007396843652824</v>
      </c>
      <c r="F44" s="10">
        <f t="shared" si="64"/>
        <v>0.25007396843652824</v>
      </c>
      <c r="G44" s="10">
        <f t="shared" si="64"/>
        <v>0.25007396843652824</v>
      </c>
      <c r="H44" s="10">
        <f t="shared" si="64"/>
        <v>0.25007396843652824</v>
      </c>
      <c r="I44" s="10">
        <f t="shared" si="64"/>
        <v>0.25007396843652824</v>
      </c>
      <c r="J44" s="10">
        <f t="shared" si="64"/>
        <v>0.25007396843652824</v>
      </c>
      <c r="K44" s="10">
        <f t="shared" si="64"/>
        <v>0.25007396843652824</v>
      </c>
      <c r="L44" s="10">
        <f t="shared" si="64"/>
        <v>0.25007396843652824</v>
      </c>
      <c r="M44" s="10">
        <f t="shared" si="64"/>
        <v>0.25007396843652824</v>
      </c>
      <c r="N44" s="10">
        <f t="shared" si="64"/>
        <v>0.25007396843652824</v>
      </c>
      <c r="O44" s="10">
        <f t="shared" si="64"/>
        <v>0.25007396843652824</v>
      </c>
      <c r="P44" s="10">
        <f t="shared" si="64"/>
        <v>0.25007396843652824</v>
      </c>
      <c r="Q44" s="10">
        <f t="shared" si="64"/>
        <v>0.25007396843652824</v>
      </c>
      <c r="R44" s="10">
        <f t="shared" si="64"/>
        <v>0.25007396843652824</v>
      </c>
      <c r="S44" s="10">
        <f t="shared" si="64"/>
        <v>0.25007396843652824</v>
      </c>
      <c r="T44" s="10">
        <f t="shared" si="64"/>
        <v>0.25007396843652824</v>
      </c>
      <c r="U44" s="10">
        <f t="shared" si="64"/>
        <v>0.25007396843652824</v>
      </c>
      <c r="V44" s="10">
        <f t="shared" si="64"/>
        <v>0.25007396843652824</v>
      </c>
      <c r="W44" s="10">
        <f t="shared" si="64"/>
        <v>0.25007396843652824</v>
      </c>
      <c r="X44" s="10">
        <f t="shared" si="64"/>
        <v>0.25007396843652824</v>
      </c>
      <c r="Y44" s="10">
        <f t="shared" si="64"/>
        <v>0.25007396843652824</v>
      </c>
      <c r="Z44" s="10">
        <f t="shared" si="64"/>
        <v>0.25007396843652824</v>
      </c>
      <c r="AA44" s="10">
        <f t="shared" si="64"/>
        <v>0.25007396843652824</v>
      </c>
      <c r="AB44" s="10">
        <f t="shared" si="64"/>
        <v>0.25007396843652824</v>
      </c>
      <c r="AC44" s="10">
        <f t="shared" si="64"/>
        <v>0.25007396843652824</v>
      </c>
      <c r="AD44" s="10">
        <f t="shared" si="64"/>
        <v>0.25007396843652824</v>
      </c>
      <c r="AE44" s="10">
        <f t="shared" si="64"/>
        <v>0.25007396843652824</v>
      </c>
      <c r="AF44" s="10">
        <f t="shared" si="64"/>
        <v>0.25007396843652824</v>
      </c>
      <c r="AG44" s="10">
        <f t="shared" si="64"/>
        <v>0.25007396843652824</v>
      </c>
      <c r="AH44" s="10">
        <f t="shared" si="64"/>
        <v>0.25007396843652824</v>
      </c>
      <c r="AI44" s="10">
        <f t="shared" ref="AI44:BN44" si="65">(AI$40/(AI$10^2))*((PI()^2)/4)*(AI$12*100/AI$39)*(((SIN(AI36))^2)/(AI$5+AI$11*AI$6)^2)</f>
        <v>0.25007396843652824</v>
      </c>
      <c r="AJ44" s="10">
        <f t="shared" si="65"/>
        <v>0.25007396843652824</v>
      </c>
      <c r="AK44" s="10">
        <f t="shared" si="65"/>
        <v>0.25007396843652824</v>
      </c>
      <c r="AL44" s="10">
        <f t="shared" si="65"/>
        <v>0.25007396843652824</v>
      </c>
      <c r="AM44" s="10">
        <f t="shared" si="65"/>
        <v>0.25007396843652824</v>
      </c>
      <c r="AN44" s="10">
        <f t="shared" si="65"/>
        <v>0.25007396843652824</v>
      </c>
      <c r="AO44" s="10">
        <f t="shared" si="65"/>
        <v>0.25007396843652824</v>
      </c>
      <c r="AP44" s="10">
        <f t="shared" si="65"/>
        <v>0.25007396843652824</v>
      </c>
      <c r="AQ44" s="10">
        <f t="shared" si="65"/>
        <v>0.25007396843652824</v>
      </c>
      <c r="AR44" s="10">
        <f t="shared" si="65"/>
        <v>0.25007396843652824</v>
      </c>
      <c r="AS44" s="10">
        <f t="shared" si="65"/>
        <v>0.25007396843652824</v>
      </c>
      <c r="AT44" s="10">
        <f t="shared" si="65"/>
        <v>0.25007396843652824</v>
      </c>
      <c r="AU44" s="10">
        <f t="shared" si="65"/>
        <v>0.25007396843652824</v>
      </c>
      <c r="AV44" s="10">
        <f t="shared" si="65"/>
        <v>0.25007396843652824</v>
      </c>
      <c r="AW44" s="10">
        <f t="shared" si="65"/>
        <v>0.25007396843652824</v>
      </c>
      <c r="AX44" s="10">
        <f t="shared" si="65"/>
        <v>0.25007396843652824</v>
      </c>
      <c r="AY44" s="10">
        <f t="shared" si="65"/>
        <v>0.25007396843652824</v>
      </c>
      <c r="AZ44" s="10">
        <f t="shared" si="65"/>
        <v>0.25007396843652824</v>
      </c>
      <c r="BA44" s="10">
        <f t="shared" si="65"/>
        <v>0.25007396843652824</v>
      </c>
      <c r="BB44" s="10">
        <f t="shared" si="65"/>
        <v>0.25007396843652824</v>
      </c>
      <c r="BC44" s="10">
        <f t="shared" si="65"/>
        <v>0.25007396843652824</v>
      </c>
      <c r="BD44" s="10">
        <f t="shared" si="65"/>
        <v>0.25007396843652824</v>
      </c>
      <c r="BE44" s="10">
        <f t="shared" si="65"/>
        <v>0.25007396843652824</v>
      </c>
      <c r="BF44" s="10">
        <f t="shared" si="65"/>
        <v>0.25007396843652824</v>
      </c>
      <c r="BG44" s="10">
        <f t="shared" si="65"/>
        <v>0.25007396843652824</v>
      </c>
      <c r="BH44" s="10">
        <f t="shared" si="65"/>
        <v>0.25007396843652824</v>
      </c>
      <c r="BI44" s="10">
        <f t="shared" si="65"/>
        <v>0.25007396843652824</v>
      </c>
      <c r="BJ44" s="10">
        <f t="shared" si="65"/>
        <v>0.25007396843652824</v>
      </c>
      <c r="BK44" s="10">
        <f t="shared" si="65"/>
        <v>0.25007396843652824</v>
      </c>
      <c r="BL44" s="10">
        <f t="shared" si="65"/>
        <v>0.25007396843652824</v>
      </c>
      <c r="BM44" s="10">
        <f t="shared" si="65"/>
        <v>0.25007396843652824</v>
      </c>
      <c r="BN44" s="10">
        <f t="shared" si="65"/>
        <v>0.25007396843652824</v>
      </c>
      <c r="BO44" s="10">
        <f t="shared" ref="BO44:CG44" si="66">(BO$40/(BO$10^2))*((PI()^2)/4)*(BO$12*100/BO$39)*(((SIN(BO36))^2)/(BO$5+BO$11*BO$6)^2)</f>
        <v>0.25007396843652824</v>
      </c>
      <c r="BP44" s="10">
        <f t="shared" si="66"/>
        <v>0.25007396843652824</v>
      </c>
      <c r="BQ44" s="10">
        <f t="shared" si="66"/>
        <v>0.25007396843652824</v>
      </c>
      <c r="BR44" s="10">
        <f t="shared" si="66"/>
        <v>0.25007396843652824</v>
      </c>
      <c r="BS44" s="10">
        <f t="shared" si="66"/>
        <v>0.25007396843652824</v>
      </c>
      <c r="BT44" s="10">
        <f t="shared" si="66"/>
        <v>0.25007396843652824</v>
      </c>
      <c r="BU44" s="10">
        <f t="shared" si="66"/>
        <v>0.25007396843652824</v>
      </c>
      <c r="BV44" s="10">
        <f t="shared" si="66"/>
        <v>0.25007396843652824</v>
      </c>
      <c r="BW44" s="10">
        <f t="shared" si="66"/>
        <v>0.25007396843652824</v>
      </c>
      <c r="BX44" s="10">
        <f t="shared" si="66"/>
        <v>0.25007396843652824</v>
      </c>
      <c r="BY44" s="10">
        <f t="shared" si="66"/>
        <v>0.25007396843652824</v>
      </c>
      <c r="BZ44" s="10">
        <f t="shared" si="66"/>
        <v>0.25007396843652824</v>
      </c>
      <c r="CA44" s="10">
        <f t="shared" si="66"/>
        <v>0.25007396843652824</v>
      </c>
      <c r="CB44" s="10">
        <f t="shared" si="66"/>
        <v>0.25007396843652824</v>
      </c>
      <c r="CC44" s="10">
        <f t="shared" si="66"/>
        <v>0.25007396843652824</v>
      </c>
      <c r="CD44" s="10">
        <f t="shared" si="66"/>
        <v>0.25007396843652824</v>
      </c>
      <c r="CE44" s="10">
        <f t="shared" si="66"/>
        <v>0.25007396843652824</v>
      </c>
      <c r="CF44" s="10">
        <f t="shared" si="66"/>
        <v>0.25007396843652824</v>
      </c>
      <c r="CG44" s="10">
        <f t="shared" si="66"/>
        <v>0.25007396843652824</v>
      </c>
    </row>
    <row r="45" spans="2:89" ht="16.5" customHeight="1">
      <c r="B45" s="10" t="s">
        <v>803</v>
      </c>
      <c r="C45" s="10">
        <f t="shared" ref="C45:AH45" si="67">(C$40/(C$10^2))*((PI()^2)/4)*(C$12*100/C$39)*(((SIN(C37))^2)/(C$5+C$11*C$6)^2)</f>
        <v>0.12503698421826412</v>
      </c>
      <c r="D45" s="10">
        <f t="shared" si="67"/>
        <v>0.12503698421826412</v>
      </c>
      <c r="E45" s="10">
        <f t="shared" si="67"/>
        <v>0.12503698421826412</v>
      </c>
      <c r="F45" s="10">
        <f t="shared" si="67"/>
        <v>0.12503698421826412</v>
      </c>
      <c r="G45" s="10">
        <f t="shared" si="67"/>
        <v>0.12503698421826412</v>
      </c>
      <c r="H45" s="10">
        <f t="shared" si="67"/>
        <v>0.12503698421826412</v>
      </c>
      <c r="I45" s="10">
        <f t="shared" si="67"/>
        <v>0.12503698421826412</v>
      </c>
      <c r="J45" s="10">
        <f t="shared" si="67"/>
        <v>0.12503698421826412</v>
      </c>
      <c r="K45" s="10">
        <f t="shared" si="67"/>
        <v>0.12503698421826412</v>
      </c>
      <c r="L45" s="10">
        <f t="shared" si="67"/>
        <v>0.12503698421826412</v>
      </c>
      <c r="M45" s="10">
        <f t="shared" si="67"/>
        <v>0.12503698421826412</v>
      </c>
      <c r="N45" s="10">
        <f t="shared" si="67"/>
        <v>0.12503698421826412</v>
      </c>
      <c r="O45" s="10">
        <f t="shared" si="67"/>
        <v>0.12503698421826412</v>
      </c>
      <c r="P45" s="10">
        <f t="shared" si="67"/>
        <v>0.12503698421826412</v>
      </c>
      <c r="Q45" s="10">
        <f t="shared" si="67"/>
        <v>0.12503698421826412</v>
      </c>
      <c r="R45" s="10">
        <f t="shared" si="67"/>
        <v>0.12503698421826412</v>
      </c>
      <c r="S45" s="10">
        <f t="shared" si="67"/>
        <v>0.12503698421826412</v>
      </c>
      <c r="T45" s="10">
        <f t="shared" si="67"/>
        <v>0.12503698421826412</v>
      </c>
      <c r="U45" s="10">
        <f t="shared" si="67"/>
        <v>0.12503698421826412</v>
      </c>
      <c r="V45" s="10">
        <f t="shared" si="67"/>
        <v>0.12503698421826412</v>
      </c>
      <c r="W45" s="10">
        <f t="shared" si="67"/>
        <v>0.12503698421826412</v>
      </c>
      <c r="X45" s="10">
        <f t="shared" si="67"/>
        <v>0.12503698421826412</v>
      </c>
      <c r="Y45" s="10">
        <f t="shared" si="67"/>
        <v>0.12503698421826412</v>
      </c>
      <c r="Z45" s="10">
        <f t="shared" si="67"/>
        <v>0.12503698421826412</v>
      </c>
      <c r="AA45" s="10">
        <f t="shared" si="67"/>
        <v>0.12503698421826412</v>
      </c>
      <c r="AB45" s="10">
        <f t="shared" si="67"/>
        <v>0.12503698421826412</v>
      </c>
      <c r="AC45" s="10">
        <f t="shared" si="67"/>
        <v>0.12503698421826412</v>
      </c>
      <c r="AD45" s="10">
        <f t="shared" si="67"/>
        <v>0.12503698421826412</v>
      </c>
      <c r="AE45" s="10">
        <f t="shared" si="67"/>
        <v>0.12503698421826412</v>
      </c>
      <c r="AF45" s="10">
        <f t="shared" si="67"/>
        <v>0.12503698421826412</v>
      </c>
      <c r="AG45" s="10">
        <f t="shared" si="67"/>
        <v>0.12503698421826412</v>
      </c>
      <c r="AH45" s="10">
        <f t="shared" si="67"/>
        <v>0.12503698421826412</v>
      </c>
      <c r="AI45" s="10">
        <f t="shared" ref="AI45:BN45" si="68">(AI$40/(AI$10^2))*((PI()^2)/4)*(AI$12*100/AI$39)*(((SIN(AI37))^2)/(AI$5+AI$11*AI$6)^2)</f>
        <v>0.12503698421826412</v>
      </c>
      <c r="AJ45" s="10">
        <f t="shared" si="68"/>
        <v>0.12503698421826412</v>
      </c>
      <c r="AK45" s="10">
        <f t="shared" si="68"/>
        <v>0.12503698421826412</v>
      </c>
      <c r="AL45" s="10">
        <f t="shared" si="68"/>
        <v>0.12503698421826412</v>
      </c>
      <c r="AM45" s="10">
        <f t="shared" si="68"/>
        <v>0.12503698421826412</v>
      </c>
      <c r="AN45" s="10">
        <f t="shared" si="68"/>
        <v>0.12503698421826412</v>
      </c>
      <c r="AO45" s="10">
        <f t="shared" si="68"/>
        <v>0.12503698421826412</v>
      </c>
      <c r="AP45" s="10">
        <f t="shared" si="68"/>
        <v>0.12503698421826412</v>
      </c>
      <c r="AQ45" s="10">
        <f t="shared" si="68"/>
        <v>0.12503698421826412</v>
      </c>
      <c r="AR45" s="10">
        <f t="shared" si="68"/>
        <v>0.12503698421826412</v>
      </c>
      <c r="AS45" s="10">
        <f t="shared" si="68"/>
        <v>0.12503698421826412</v>
      </c>
      <c r="AT45" s="10">
        <f t="shared" si="68"/>
        <v>0.12503698421826412</v>
      </c>
      <c r="AU45" s="10">
        <f t="shared" si="68"/>
        <v>0.12503698421826412</v>
      </c>
      <c r="AV45" s="10">
        <f t="shared" si="68"/>
        <v>0.12503698421826412</v>
      </c>
      <c r="AW45" s="10">
        <f t="shared" si="68"/>
        <v>0.12503698421826412</v>
      </c>
      <c r="AX45" s="10">
        <f t="shared" si="68"/>
        <v>0.12503698421826412</v>
      </c>
      <c r="AY45" s="10">
        <f t="shared" si="68"/>
        <v>0.12503698421826412</v>
      </c>
      <c r="AZ45" s="10">
        <f t="shared" si="68"/>
        <v>0.12503698421826412</v>
      </c>
      <c r="BA45" s="10">
        <f t="shared" si="68"/>
        <v>0.12503698421826412</v>
      </c>
      <c r="BB45" s="10">
        <f t="shared" si="68"/>
        <v>0.12503698421826412</v>
      </c>
      <c r="BC45" s="10">
        <f t="shared" si="68"/>
        <v>0.12503698421826412</v>
      </c>
      <c r="BD45" s="10">
        <f t="shared" si="68"/>
        <v>0.12503698421826412</v>
      </c>
      <c r="BE45" s="10">
        <f t="shared" si="68"/>
        <v>0.12503698421826412</v>
      </c>
      <c r="BF45" s="10">
        <f t="shared" si="68"/>
        <v>0.12503698421826412</v>
      </c>
      <c r="BG45" s="10">
        <f t="shared" si="68"/>
        <v>0.12503698421826412</v>
      </c>
      <c r="BH45" s="10">
        <f t="shared" si="68"/>
        <v>0.12503698421826412</v>
      </c>
      <c r="BI45" s="10">
        <f t="shared" si="68"/>
        <v>0.12503698421826412</v>
      </c>
      <c r="BJ45" s="10">
        <f t="shared" si="68"/>
        <v>0.12503698421826412</v>
      </c>
      <c r="BK45" s="10">
        <f t="shared" si="68"/>
        <v>0.12503698421826412</v>
      </c>
      <c r="BL45" s="10">
        <f t="shared" si="68"/>
        <v>0.12503698421826412</v>
      </c>
      <c r="BM45" s="10">
        <f t="shared" si="68"/>
        <v>0.12503698421826412</v>
      </c>
      <c r="BN45" s="10">
        <f t="shared" si="68"/>
        <v>0.12503698421826412</v>
      </c>
      <c r="BO45" s="10">
        <f t="shared" ref="BO45:CG45" si="69">(BO$40/(BO$10^2))*((PI()^2)/4)*(BO$12*100/BO$39)*(((SIN(BO37))^2)/(BO$5+BO$11*BO$6)^2)</f>
        <v>0.12503698421826412</v>
      </c>
      <c r="BP45" s="10">
        <f t="shared" si="69"/>
        <v>0.12503698421826412</v>
      </c>
      <c r="BQ45" s="10">
        <f t="shared" si="69"/>
        <v>0.12503698421826412</v>
      </c>
      <c r="BR45" s="10">
        <f t="shared" si="69"/>
        <v>0.12503698421826412</v>
      </c>
      <c r="BS45" s="10">
        <f t="shared" si="69"/>
        <v>0.12503698421826412</v>
      </c>
      <c r="BT45" s="10">
        <f t="shared" si="69"/>
        <v>0.12503698421826412</v>
      </c>
      <c r="BU45" s="10">
        <f t="shared" si="69"/>
        <v>0.12503698421826412</v>
      </c>
      <c r="BV45" s="10">
        <f t="shared" si="69"/>
        <v>0.12503698421826412</v>
      </c>
      <c r="BW45" s="10">
        <f t="shared" si="69"/>
        <v>0.12503698421826412</v>
      </c>
      <c r="BX45" s="10">
        <f t="shared" si="69"/>
        <v>0.12503698421826412</v>
      </c>
      <c r="BY45" s="10">
        <f t="shared" si="69"/>
        <v>0.12503698421826412</v>
      </c>
      <c r="BZ45" s="10">
        <f t="shared" si="69"/>
        <v>0.12503698421826412</v>
      </c>
      <c r="CA45" s="10">
        <f t="shared" si="69"/>
        <v>0.12503698421826412</v>
      </c>
      <c r="CB45" s="10">
        <f t="shared" si="69"/>
        <v>0.12503698421826412</v>
      </c>
      <c r="CC45" s="10">
        <f t="shared" si="69"/>
        <v>0.12503698421826412</v>
      </c>
      <c r="CD45" s="10">
        <f t="shared" si="69"/>
        <v>0.12503698421826412</v>
      </c>
      <c r="CE45" s="10">
        <f t="shared" si="69"/>
        <v>0.12503698421826412</v>
      </c>
      <c r="CF45" s="10">
        <f t="shared" si="69"/>
        <v>0.12503698421826412</v>
      </c>
      <c r="CG45" s="10">
        <f t="shared" si="69"/>
        <v>0.12503698421826412</v>
      </c>
    </row>
    <row r="46" spans="2:89" ht="16.5" customHeight="1">
      <c r="B46" s="10" t="s">
        <v>804</v>
      </c>
      <c r="C46" s="10">
        <f t="shared" ref="C46:AH46" si="70">(C$40/(C$10^2))*((PI()^2)/4)*(C$12*100/C$39)*(((SIN(C38))^2)/(C$5+C$11*C$6)^2)</f>
        <v>3.3503558945306912E-2</v>
      </c>
      <c r="D46" s="10">
        <f t="shared" si="70"/>
        <v>3.3503558945306912E-2</v>
      </c>
      <c r="E46" s="10">
        <f t="shared" si="70"/>
        <v>3.3503558945306912E-2</v>
      </c>
      <c r="F46" s="10">
        <f t="shared" si="70"/>
        <v>3.3503558945306912E-2</v>
      </c>
      <c r="G46" s="10">
        <f t="shared" si="70"/>
        <v>3.3503558945306912E-2</v>
      </c>
      <c r="H46" s="10">
        <f t="shared" si="70"/>
        <v>3.3503558945306912E-2</v>
      </c>
      <c r="I46" s="10">
        <f t="shared" si="70"/>
        <v>3.3503558945306912E-2</v>
      </c>
      <c r="J46" s="10">
        <f t="shared" si="70"/>
        <v>3.3503558945306912E-2</v>
      </c>
      <c r="K46" s="10">
        <f t="shared" si="70"/>
        <v>3.3503558945306912E-2</v>
      </c>
      <c r="L46" s="10">
        <f t="shared" si="70"/>
        <v>3.3503558945306912E-2</v>
      </c>
      <c r="M46" s="10">
        <f t="shared" si="70"/>
        <v>3.3503558945306912E-2</v>
      </c>
      <c r="N46" s="10">
        <f t="shared" si="70"/>
        <v>3.3503558945306912E-2</v>
      </c>
      <c r="O46" s="10">
        <f t="shared" si="70"/>
        <v>3.3503558945306912E-2</v>
      </c>
      <c r="P46" s="10">
        <f t="shared" si="70"/>
        <v>3.3503558945306912E-2</v>
      </c>
      <c r="Q46" s="10">
        <f t="shared" si="70"/>
        <v>3.3503558945306912E-2</v>
      </c>
      <c r="R46" s="10">
        <f t="shared" si="70"/>
        <v>3.3503558945306912E-2</v>
      </c>
      <c r="S46" s="10">
        <f t="shared" si="70"/>
        <v>3.3503558945306912E-2</v>
      </c>
      <c r="T46" s="10">
        <f t="shared" si="70"/>
        <v>3.3503558945306912E-2</v>
      </c>
      <c r="U46" s="10">
        <f t="shared" si="70"/>
        <v>3.3503558945306912E-2</v>
      </c>
      <c r="V46" s="10">
        <f t="shared" si="70"/>
        <v>3.3503558945306912E-2</v>
      </c>
      <c r="W46" s="10">
        <f t="shared" si="70"/>
        <v>3.3503558945306912E-2</v>
      </c>
      <c r="X46" s="10">
        <f t="shared" si="70"/>
        <v>3.3503558945306912E-2</v>
      </c>
      <c r="Y46" s="10">
        <f t="shared" si="70"/>
        <v>3.3503558945306912E-2</v>
      </c>
      <c r="Z46" s="10">
        <f t="shared" si="70"/>
        <v>3.3503558945306912E-2</v>
      </c>
      <c r="AA46" s="10">
        <f t="shared" si="70"/>
        <v>3.3503558945306912E-2</v>
      </c>
      <c r="AB46" s="10">
        <f t="shared" si="70"/>
        <v>3.3503558945306912E-2</v>
      </c>
      <c r="AC46" s="10">
        <f t="shared" si="70"/>
        <v>3.3503558945306912E-2</v>
      </c>
      <c r="AD46" s="10">
        <f t="shared" si="70"/>
        <v>3.3503558945306912E-2</v>
      </c>
      <c r="AE46" s="10">
        <f t="shared" si="70"/>
        <v>3.3503558945306912E-2</v>
      </c>
      <c r="AF46" s="10">
        <f t="shared" si="70"/>
        <v>3.3503558945306912E-2</v>
      </c>
      <c r="AG46" s="10">
        <f t="shared" si="70"/>
        <v>3.3503558945306912E-2</v>
      </c>
      <c r="AH46" s="10">
        <f t="shared" si="70"/>
        <v>3.3503558945306912E-2</v>
      </c>
      <c r="AI46" s="10">
        <f t="shared" ref="AI46:BN46" si="71">(AI$40/(AI$10^2))*((PI()^2)/4)*(AI$12*100/AI$39)*(((SIN(AI38))^2)/(AI$5+AI$11*AI$6)^2)</f>
        <v>3.3503558945306912E-2</v>
      </c>
      <c r="AJ46" s="10">
        <f t="shared" si="71"/>
        <v>3.3503558945306912E-2</v>
      </c>
      <c r="AK46" s="10">
        <f t="shared" si="71"/>
        <v>3.3503558945306912E-2</v>
      </c>
      <c r="AL46" s="10">
        <f t="shared" si="71"/>
        <v>3.3503558945306912E-2</v>
      </c>
      <c r="AM46" s="10">
        <f t="shared" si="71"/>
        <v>3.3503558945306912E-2</v>
      </c>
      <c r="AN46" s="10">
        <f t="shared" si="71"/>
        <v>3.3503558945306912E-2</v>
      </c>
      <c r="AO46" s="10">
        <f t="shared" si="71"/>
        <v>3.3503558945306912E-2</v>
      </c>
      <c r="AP46" s="10">
        <f t="shared" si="71"/>
        <v>3.3503558945306912E-2</v>
      </c>
      <c r="AQ46" s="10">
        <f t="shared" si="71"/>
        <v>3.3503558945306912E-2</v>
      </c>
      <c r="AR46" s="10">
        <f t="shared" si="71"/>
        <v>3.3503558945306912E-2</v>
      </c>
      <c r="AS46" s="10">
        <f t="shared" si="71"/>
        <v>3.3503558945306912E-2</v>
      </c>
      <c r="AT46" s="10">
        <f t="shared" si="71"/>
        <v>3.3503558945306912E-2</v>
      </c>
      <c r="AU46" s="10">
        <f t="shared" si="71"/>
        <v>3.3503558945306912E-2</v>
      </c>
      <c r="AV46" s="10">
        <f t="shared" si="71"/>
        <v>3.3503558945306912E-2</v>
      </c>
      <c r="AW46" s="10">
        <f t="shared" si="71"/>
        <v>3.3503558945306912E-2</v>
      </c>
      <c r="AX46" s="10">
        <f t="shared" si="71"/>
        <v>3.3503558945306912E-2</v>
      </c>
      <c r="AY46" s="10">
        <f t="shared" si="71"/>
        <v>3.3503558945306912E-2</v>
      </c>
      <c r="AZ46" s="10">
        <f t="shared" si="71"/>
        <v>3.3503558945306912E-2</v>
      </c>
      <c r="BA46" s="10">
        <f t="shared" si="71"/>
        <v>3.3503558945306912E-2</v>
      </c>
      <c r="BB46" s="10">
        <f t="shared" si="71"/>
        <v>3.3503558945306912E-2</v>
      </c>
      <c r="BC46" s="10">
        <f t="shared" si="71"/>
        <v>3.3503558945306912E-2</v>
      </c>
      <c r="BD46" s="10">
        <f t="shared" si="71"/>
        <v>3.3503558945306912E-2</v>
      </c>
      <c r="BE46" s="10">
        <f t="shared" si="71"/>
        <v>3.3503558945306912E-2</v>
      </c>
      <c r="BF46" s="10">
        <f t="shared" si="71"/>
        <v>3.3503558945306912E-2</v>
      </c>
      <c r="BG46" s="10">
        <f t="shared" si="71"/>
        <v>3.3503558945306912E-2</v>
      </c>
      <c r="BH46" s="10">
        <f t="shared" si="71"/>
        <v>3.3503558945306912E-2</v>
      </c>
      <c r="BI46" s="10">
        <f t="shared" si="71"/>
        <v>3.3503558945306912E-2</v>
      </c>
      <c r="BJ46" s="10">
        <f t="shared" si="71"/>
        <v>3.3503558945306912E-2</v>
      </c>
      <c r="BK46" s="10">
        <f t="shared" si="71"/>
        <v>3.3503558945306912E-2</v>
      </c>
      <c r="BL46" s="10">
        <f t="shared" si="71"/>
        <v>3.3503558945306912E-2</v>
      </c>
      <c r="BM46" s="10">
        <f t="shared" si="71"/>
        <v>3.3503558945306912E-2</v>
      </c>
      <c r="BN46" s="10">
        <f t="shared" si="71"/>
        <v>3.3503558945306912E-2</v>
      </c>
      <c r="BO46" s="10">
        <f t="shared" ref="BO46:CG46" si="72">(BO$40/(BO$10^2))*((PI()^2)/4)*(BO$12*100/BO$39)*(((SIN(BO38))^2)/(BO$5+BO$11*BO$6)^2)</f>
        <v>3.3503558945306912E-2</v>
      </c>
      <c r="BP46" s="10">
        <f t="shared" si="72"/>
        <v>3.3503558945306912E-2</v>
      </c>
      <c r="BQ46" s="10">
        <f t="shared" si="72"/>
        <v>3.3503558945306912E-2</v>
      </c>
      <c r="BR46" s="10">
        <f t="shared" si="72"/>
        <v>3.3503558945306912E-2</v>
      </c>
      <c r="BS46" s="10">
        <f t="shared" si="72"/>
        <v>3.3503558945306912E-2</v>
      </c>
      <c r="BT46" s="10">
        <f t="shared" si="72"/>
        <v>3.3503558945306912E-2</v>
      </c>
      <c r="BU46" s="10">
        <f t="shared" si="72"/>
        <v>3.3503558945306912E-2</v>
      </c>
      <c r="BV46" s="10">
        <f t="shared" si="72"/>
        <v>3.3503558945306912E-2</v>
      </c>
      <c r="BW46" s="10">
        <f t="shared" si="72"/>
        <v>3.3503558945306912E-2</v>
      </c>
      <c r="BX46" s="10">
        <f t="shared" si="72"/>
        <v>3.3503558945306912E-2</v>
      </c>
      <c r="BY46" s="10">
        <f t="shared" si="72"/>
        <v>3.3503558945306912E-2</v>
      </c>
      <c r="BZ46" s="10">
        <f t="shared" si="72"/>
        <v>3.3503558945306912E-2</v>
      </c>
      <c r="CA46" s="10">
        <f t="shared" si="72"/>
        <v>3.3503558945306912E-2</v>
      </c>
      <c r="CB46" s="10">
        <f t="shared" si="72"/>
        <v>3.3503558945306912E-2</v>
      </c>
      <c r="CC46" s="10">
        <f t="shared" si="72"/>
        <v>3.3503558945306912E-2</v>
      </c>
      <c r="CD46" s="10">
        <f t="shared" si="72"/>
        <v>3.3503558945306912E-2</v>
      </c>
      <c r="CE46" s="10">
        <f t="shared" si="72"/>
        <v>3.3503558945306912E-2</v>
      </c>
      <c r="CF46" s="10">
        <f t="shared" si="72"/>
        <v>3.3503558945306912E-2</v>
      </c>
      <c r="CG46" s="10">
        <f t="shared" si="72"/>
        <v>3.3503558945306912E-2</v>
      </c>
      <c r="CH46" s="10" t="s">
        <v>805</v>
      </c>
      <c r="CI46" s="10" t="s">
        <v>806</v>
      </c>
    </row>
    <row r="47" spans="2:89" ht="16.5" customHeight="1">
      <c r="B47" s="10" t="s">
        <v>807</v>
      </c>
      <c r="C47" s="10">
        <f t="shared" ref="C47:AH47" si="73">1/((1+(C$23*(1-(1/(C$25^2)))))^2+(C41*(C$25-(1/C$25)))^2)^0.5</f>
        <v>2.1818182382492675E-8</v>
      </c>
      <c r="D47" s="10">
        <f t="shared" si="73"/>
        <v>1.2881887010930794E-3</v>
      </c>
      <c r="E47" s="10">
        <f t="shared" si="73"/>
        <v>3.2927886442313385E-3</v>
      </c>
      <c r="F47" s="10">
        <f t="shared" si="73"/>
        <v>6.2360266346062031E-3</v>
      </c>
      <c r="G47" s="10">
        <f t="shared" si="73"/>
        <v>1.0137396704165301E-2</v>
      </c>
      <c r="H47" s="10">
        <f t="shared" si="73"/>
        <v>1.5023007895528954E-2</v>
      </c>
      <c r="I47" s="10">
        <f t="shared" si="73"/>
        <v>2.0925987778792478E-2</v>
      </c>
      <c r="J47" s="10">
        <f t="shared" si="73"/>
        <v>2.7887001276361342E-2</v>
      </c>
      <c r="K47" s="10">
        <f t="shared" si="73"/>
        <v>3.5954897539339017E-2</v>
      </c>
      <c r="L47" s="10">
        <f t="shared" si="73"/>
        <v>4.5187500817546217E-2</v>
      </c>
      <c r="M47" s="10">
        <f t="shared" si="73"/>
        <v>5.5652564835327163E-2</v>
      </c>
      <c r="N47" s="10">
        <f t="shared" si="73"/>
        <v>6.7428914152122668E-2</v>
      </c>
      <c r="O47" s="10">
        <f t="shared" si="73"/>
        <v>8.0607800331455051E-2</v>
      </c>
      <c r="P47" s="10">
        <f t="shared" si="73"/>
        <v>9.5294505365001059E-2</v>
      </c>
      <c r="Q47" s="10">
        <f t="shared" si="73"/>
        <v>0.11161022945863958</v>
      </c>
      <c r="R47" s="10">
        <f t="shared" si="73"/>
        <v>0.12969430450041747</v>
      </c>
      <c r="S47" s="10">
        <f t="shared" si="73"/>
        <v>0.14970677740192706</v>
      </c>
      <c r="T47" s="10">
        <f t="shared" si="73"/>
        <v>0.17183140745740369</v>
      </c>
      <c r="U47" s="10">
        <f t="shared" si="73"/>
        <v>0.19627911619524036</v>
      </c>
      <c r="V47" s="10">
        <f t="shared" si="73"/>
        <v>0.22329191235764032</v>
      </c>
      <c r="W47" s="10">
        <f t="shared" si="73"/>
        <v>0.25314728109657647</v>
      </c>
      <c r="X47" s="10">
        <f t="shared" si="73"/>
        <v>0.28616296286546417</v>
      </c>
      <c r="Y47" s="10">
        <f t="shared" si="73"/>
        <v>0.32270193381356715</v>
      </c>
      <c r="Z47" s="10">
        <f t="shared" si="73"/>
        <v>0.36317720380577329</v>
      </c>
      <c r="AA47" s="10">
        <f t="shared" si="73"/>
        <v>0.40805572039200749</v>
      </c>
      <c r="AB47" s="10">
        <f t="shared" si="73"/>
        <v>0.45786013065995684</v>
      </c>
      <c r="AC47" s="10">
        <f t="shared" si="73"/>
        <v>0.51316629609248432</v>
      </c>
      <c r="AD47" s="10">
        <f t="shared" si="73"/>
        <v>0.57459312657902117</v>
      </c>
      <c r="AE47" s="10">
        <f t="shared" si="73"/>
        <v>0.64277932160959372</v>
      </c>
      <c r="AF47" s="10">
        <f t="shared" si="73"/>
        <v>0.71833884691119299</v>
      </c>
      <c r="AG47" s="10">
        <f t="shared" si="73"/>
        <v>0.80178354597124124</v>
      </c>
      <c r="AH47" s="10">
        <f t="shared" si="73"/>
        <v>0.89339801137383779</v>
      </c>
      <c r="AI47" s="10">
        <f t="shared" ref="AI47:BN47" si="74">1/((1+(AI$23*(1-(1/(AI$25^2)))))^2+(AI41*(AI$25-(1/AI$25)))^2)^0.5</f>
        <v>0.99305115057053139</v>
      </c>
      <c r="AJ47" s="10">
        <f t="shared" si="74"/>
        <v>1.0999361156437204</v>
      </c>
      <c r="AK47" s="10">
        <f t="shared" si="74"/>
        <v>1.2122544795938535</v>
      </c>
      <c r="AL47" s="10">
        <f t="shared" si="74"/>
        <v>1.3269116345880969</v>
      </c>
      <c r="AM47" s="10">
        <f t="shared" si="74"/>
        <v>1.4393666612797296</v>
      </c>
      <c r="AN47" s="10">
        <f t="shared" si="74"/>
        <v>1.5438437181055409</v>
      </c>
      <c r="AO47" s="10">
        <f t="shared" si="74"/>
        <v>1.634075089047597</v>
      </c>
      <c r="AP47" s="10">
        <f t="shared" si="74"/>
        <v>1.6593385553953328</v>
      </c>
      <c r="AQ47" s="10">
        <f t="shared" si="74"/>
        <v>1.7224809596753172</v>
      </c>
      <c r="AR47" s="10">
        <f t="shared" si="74"/>
        <v>1.7617858065342098</v>
      </c>
      <c r="AS47" s="10">
        <f t="shared" si="74"/>
        <v>1.7775007606476596</v>
      </c>
      <c r="AT47" s="10">
        <f t="shared" si="74"/>
        <v>1.7723770936820213</v>
      </c>
      <c r="AU47" s="10">
        <f t="shared" si="74"/>
        <v>1.7506688032071991</v>
      </c>
      <c r="AV47" s="10">
        <f t="shared" si="74"/>
        <v>1.7170352094878036</v>
      </c>
      <c r="AW47" s="10">
        <f t="shared" si="74"/>
        <v>1.6757354437264311</v>
      </c>
      <c r="AX47" s="10">
        <f t="shared" si="74"/>
        <v>1.6302254633798372</v>
      </c>
      <c r="AY47" s="10">
        <f t="shared" si="74"/>
        <v>1.5830741957458498</v>
      </c>
      <c r="AZ47" s="10">
        <f t="shared" si="74"/>
        <v>1.5360596375513149</v>
      </c>
      <c r="BA47" s="10">
        <f t="shared" si="74"/>
        <v>1.4903324554146884</v>
      </c>
      <c r="BB47" s="10">
        <f t="shared" si="74"/>
        <v>1.446581713956461</v>
      </c>
      <c r="BC47" s="10">
        <f t="shared" si="74"/>
        <v>1.4051745142564538</v>
      </c>
      <c r="BD47" s="10">
        <f t="shared" si="74"/>
        <v>1.3662628198799427</v>
      </c>
      <c r="BE47" s="10">
        <f t="shared" si="74"/>
        <v>1.329860503810347</v>
      </c>
      <c r="BF47" s="10">
        <f t="shared" si="74"/>
        <v>1.2958967576600455</v>
      </c>
      <c r="BG47" s="10">
        <f t="shared" si="74"/>
        <v>1.2642520414530216</v>
      </c>
      <c r="BH47" s="10">
        <f t="shared" si="74"/>
        <v>1.2347816882910965</v>
      </c>
      <c r="BI47" s="10">
        <f t="shared" si="74"/>
        <v>1.2073310266874606</v>
      </c>
      <c r="BJ47" s="10">
        <f t="shared" si="74"/>
        <v>1.1817447922027622</v>
      </c>
      <c r="BK47" s="10">
        <f t="shared" si="74"/>
        <v>1.1578727557635651</v>
      </c>
      <c r="BL47" s="10">
        <f t="shared" si="74"/>
        <v>1.1355728820271946</v>
      </c>
      <c r="BM47" s="10">
        <f t="shared" si="74"/>
        <v>1.1147129003379874</v>
      </c>
      <c r="BN47" s="10">
        <f t="shared" si="74"/>
        <v>1.0951708751382412</v>
      </c>
      <c r="BO47" s="10">
        <f t="shared" ref="BO47:CG47" si="75">1/((1+(BO$23*(1-(1/(BO$25^2)))))^2+(BO41*(BO$25-(1/BO$25)))^2)^0.5</f>
        <v>1.0768351626045636</v>
      </c>
      <c r="BP47" s="10">
        <f t="shared" si="75"/>
        <v>1.0596040061373857</v>
      </c>
      <c r="BQ47" s="10">
        <f t="shared" si="75"/>
        <v>1.0433849339971508</v>
      </c>
      <c r="BR47" s="10">
        <f t="shared" si="75"/>
        <v>1.0280940632015909</v>
      </c>
      <c r="BS47" s="10">
        <f t="shared" si="75"/>
        <v>1.0136553747908899</v>
      </c>
      <c r="BT47" s="10">
        <f t="shared" si="75"/>
        <v>1</v>
      </c>
      <c r="BU47" s="10">
        <f t="shared" si="75"/>
        <v>0.92333211953700123</v>
      </c>
      <c r="BV47" s="10">
        <f t="shared" si="75"/>
        <v>0.86696105834124759</v>
      </c>
      <c r="BW47" s="10">
        <f t="shared" si="75"/>
        <v>0.82318248090522994</v>
      </c>
      <c r="BX47" s="10">
        <f t="shared" si="75"/>
        <v>0.78763759103387965</v>
      </c>
      <c r="BY47" s="10">
        <f t="shared" si="75"/>
        <v>0.75772129315258452</v>
      </c>
      <c r="BZ47" s="10">
        <f t="shared" si="75"/>
        <v>0.73180269010084442</v>
      </c>
      <c r="CA47" s="10">
        <f t="shared" si="75"/>
        <v>0.70882081816335396</v>
      </c>
      <c r="CB47" s="10">
        <f t="shared" si="75"/>
        <v>0.68806311613752202</v>
      </c>
      <c r="CC47" s="10">
        <f t="shared" si="75"/>
        <v>0.66903798029635431</v>
      </c>
      <c r="CD47" s="10">
        <f t="shared" si="75"/>
        <v>0.65139830863734394</v>
      </c>
      <c r="CE47" s="10">
        <f t="shared" si="75"/>
        <v>0.63489396113171548</v>
      </c>
      <c r="CF47" s="10">
        <f t="shared" si="75"/>
        <v>0.61934128252039466</v>
      </c>
      <c r="CG47" s="10">
        <f t="shared" si="75"/>
        <v>0.60460304808045218</v>
      </c>
      <c r="CH47" s="10">
        <f t="array" aca="1" ref="CH47" ca="1">INDIRECT(CI47)</f>
        <v>0.57971014492753759</v>
      </c>
      <c r="CI47" s="10" t="str">
        <f t="shared" ref="CI47:CI52" si="76">ADDRESS(25,CJ47)</f>
        <v>$AQ$25</v>
      </c>
      <c r="CJ47" s="10">
        <f t="shared" ref="CJ47:CJ52" si="77">MATCH(CK47,C47:CG47,0)</f>
        <v>43</v>
      </c>
      <c r="CK47" s="10">
        <f t="shared" ref="CK47:CK52" si="78">MAX(C47:CG47)</f>
        <v>1.7775007606476596</v>
      </c>
    </row>
    <row r="48" spans="2:89" ht="16.5" customHeight="1">
      <c r="B48" s="10" t="s">
        <v>808</v>
      </c>
      <c r="C48" s="10">
        <f t="shared" ref="C48:AH48" si="79">1/((1+(C$23*(1-(1/(C$25^2)))))^2+(C42*(C$25-(1/C$25)))^2)^0.5</f>
        <v>2.1818182399313598E-8</v>
      </c>
      <c r="D48" s="10">
        <f t="shared" si="79"/>
        <v>1.2882473624011336E-3</v>
      </c>
      <c r="E48" s="10">
        <f t="shared" si="79"/>
        <v>3.2931721756374998E-3</v>
      </c>
      <c r="F48" s="10">
        <f t="shared" si="79"/>
        <v>6.2374035314168323E-3</v>
      </c>
      <c r="G48" s="10">
        <f t="shared" si="79"/>
        <v>1.0141039926323051E-2</v>
      </c>
      <c r="H48" s="10">
        <f t="shared" si="79"/>
        <v>1.5031021598322116E-2</v>
      </c>
      <c r="I48" s="10">
        <f t="shared" si="79"/>
        <v>2.0941566178363614E-2</v>
      </c>
      <c r="J48" s="10">
        <f t="shared" si="79"/>
        <v>2.7914730478005776E-2</v>
      </c>
      <c r="K48" s="10">
        <f t="shared" si="79"/>
        <v>3.6001113481278935E-2</v>
      </c>
      <c r="L48" s="10">
        <f t="shared" si="79"/>
        <v>4.5260719595585946E-2</v>
      </c>
      <c r="M48" s="10">
        <f t="shared" si="79"/>
        <v>5.5764005799660774E-2</v>
      </c>
      <c r="N48" s="10">
        <f t="shared" si="79"/>
        <v>6.7593141611099375E-2</v>
      </c>
      <c r="O48" s="10">
        <f t="shared" si="79"/>
        <v>8.0843516867879009E-2</v>
      </c>
      <c r="P48" s="10">
        <f t="shared" si="79"/>
        <v>9.5625539217066291E-2</v>
      </c>
      <c r="Q48" s="10">
        <f t="shared" si="79"/>
        <v>0.11206677087119576</v>
      </c>
      <c r="R48" s="10">
        <f t="shared" si="79"/>
        <v>0.13031446238187211</v>
      </c>
      <c r="S48" s="10">
        <f t="shared" si="79"/>
        <v>0.15053854929898564</v>
      </c>
      <c r="T48" s="10">
        <f t="shared" si="79"/>
        <v>0.17293518442578412</v>
      </c>
      <c r="U48" s="10">
        <f t="shared" si="79"/>
        <v>0.19773088166495117</v>
      </c>
      <c r="V48" s="10">
        <f t="shared" si="79"/>
        <v>0.22518734305028021</v>
      </c>
      <c r="W48" s="10">
        <f t="shared" si="79"/>
        <v>0.25560702119253287</v>
      </c>
      <c r="X48" s="10">
        <f t="shared" si="79"/>
        <v>0.28933942243211164</v>
      </c>
      <c r="Y48" s="10">
        <f t="shared" si="79"/>
        <v>0.32678805997001709</v>
      </c>
      <c r="Z48" s="10">
        <f t="shared" si="79"/>
        <v>0.36841778489402355</v>
      </c>
      <c r="AA48" s="10">
        <f t="shared" si="79"/>
        <v>0.41476189614475589</v>
      </c>
      <c r="AB48" s="10">
        <f t="shared" si="79"/>
        <v>0.46642786006152315</v>
      </c>
      <c r="AC48" s="10">
        <f t="shared" si="79"/>
        <v>0.5240995011222418</v>
      </c>
      <c r="AD48" s="10">
        <f t="shared" si="79"/>
        <v>0.58853192374731444</v>
      </c>
      <c r="AE48" s="10">
        <f t="shared" si="79"/>
        <v>0.6605328660465708</v>
      </c>
      <c r="AF48" s="10">
        <f t="shared" si="79"/>
        <v>0.74092029553179806</v>
      </c>
      <c r="AG48" s="10">
        <f t="shared" si="79"/>
        <v>0.8304406074347237</v>
      </c>
      <c r="AH48" s="10">
        <f t="shared" si="79"/>
        <v>0.9296252870776337</v>
      </c>
      <c r="AI48" s="10">
        <f t="shared" ref="AI48:BN48" si="80">1/((1+(AI$23*(1-(1/(AI$25^2)))))^2+(AI42*(AI$25-(1/AI$25)))^2)^0.5</f>
        <v>1.0385589735124923</v>
      </c>
      <c r="AJ48" s="10">
        <f t="shared" si="80"/>
        <v>1.1565358221936155</v>
      </c>
      <c r="AK48" s="10">
        <f t="shared" si="80"/>
        <v>1.2816089871498766</v>
      </c>
      <c r="AL48" s="10">
        <f t="shared" si="80"/>
        <v>1.4101116071087769</v>
      </c>
      <c r="AM48" s="10">
        <f t="shared" si="80"/>
        <v>1.5363569390603768</v>
      </c>
      <c r="AN48" s="10">
        <f t="shared" si="80"/>
        <v>1.65285950623636</v>
      </c>
      <c r="AO48" s="10">
        <f t="shared" si="80"/>
        <v>1.7513963077326</v>
      </c>
      <c r="AP48" s="10">
        <f t="shared" si="80"/>
        <v>1.7782697123835738</v>
      </c>
      <c r="AQ48" s="10">
        <f t="shared" si="80"/>
        <v>1.842521858815988</v>
      </c>
      <c r="AR48" s="10">
        <f t="shared" si="80"/>
        <v>1.877184616835909</v>
      </c>
      <c r="AS48" s="10">
        <f t="shared" si="80"/>
        <v>1.8835663748580507</v>
      </c>
      <c r="AT48" s="10">
        <f t="shared" si="80"/>
        <v>1.8661906480398671</v>
      </c>
      <c r="AU48" s="10">
        <f t="shared" si="80"/>
        <v>1.8311332052157421</v>
      </c>
      <c r="AV48" s="10">
        <f t="shared" si="80"/>
        <v>1.7844652653033422</v>
      </c>
      <c r="AW48" s="10">
        <f t="shared" si="80"/>
        <v>1.7313057391434843</v>
      </c>
      <c r="AX48" s="10">
        <f t="shared" si="80"/>
        <v>1.6754951104365585</v>
      </c>
      <c r="AY48" s="10">
        <f t="shared" si="80"/>
        <v>1.6196661504692818</v>
      </c>
      <c r="AZ48" s="10">
        <f t="shared" si="80"/>
        <v>1.5654830422390511</v>
      </c>
      <c r="BA48" s="10">
        <f t="shared" si="80"/>
        <v>1.5139055507220465</v>
      </c>
      <c r="BB48" s="10">
        <f t="shared" si="80"/>
        <v>1.4654142627143234</v>
      </c>
      <c r="BC48" s="10">
        <f t="shared" si="80"/>
        <v>1.4201804266445175</v>
      </c>
      <c r="BD48" s="10">
        <f t="shared" si="80"/>
        <v>1.378185186874473</v>
      </c>
      <c r="BE48" s="10">
        <f t="shared" si="80"/>
        <v>1.3392994635807869</v>
      </c>
      <c r="BF48" s="10">
        <f t="shared" si="80"/>
        <v>1.3033356497003801</v>
      </c>
      <c r="BG48" s="10">
        <f t="shared" si="80"/>
        <v>1.2700800829740406</v>
      </c>
      <c r="BH48" s="10">
        <f t="shared" si="80"/>
        <v>1.2393128105097795</v>
      </c>
      <c r="BI48" s="10">
        <f t="shared" si="80"/>
        <v>1.2108191416307874</v>
      </c>
      <c r="BJ48" s="10">
        <f t="shared" si="80"/>
        <v>1.1843959924894703</v>
      </c>
      <c r="BK48" s="10">
        <f t="shared" si="80"/>
        <v>1.1598549879775268</v>
      </c>
      <c r="BL48" s="10">
        <f t="shared" si="80"/>
        <v>1.1370235886926106</v>
      </c>
      <c r="BM48" s="10">
        <f t="shared" si="80"/>
        <v>1.1157450512379816</v>
      </c>
      <c r="BN48" s="10">
        <f t="shared" si="80"/>
        <v>1.0958777315120469</v>
      </c>
      <c r="BO48" s="10">
        <f t="shared" ref="BO48:CG48" si="81">1/((1+(BO$23*(1-(1/(BO$25^2)))))^2+(BO42*(BO$25-(1/BO$25)))^2)^0.5</f>
        <v>1.0772940483014846</v>
      </c>
      <c r="BP48" s="10">
        <f t="shared" si="81"/>
        <v>1.059879301452785</v>
      </c>
      <c r="BQ48" s="10">
        <f t="shared" si="81"/>
        <v>1.0435304606925433</v>
      </c>
      <c r="BR48" s="10">
        <f t="shared" si="81"/>
        <v>1.028154991818149</v>
      </c>
      <c r="BS48" s="10">
        <f t="shared" si="81"/>
        <v>1.0136697561353609</v>
      </c>
      <c r="BT48" s="10">
        <f t="shared" si="81"/>
        <v>1</v>
      </c>
      <c r="BU48" s="10">
        <f t="shared" si="81"/>
        <v>0.92378872469686291</v>
      </c>
      <c r="BV48" s="10">
        <f t="shared" si="81"/>
        <v>0.86835855195130252</v>
      </c>
      <c r="BW48" s="10">
        <f t="shared" si="81"/>
        <v>0.82569579643977076</v>
      </c>
      <c r="BX48" s="10">
        <f t="shared" si="81"/>
        <v>0.79132245406767143</v>
      </c>
      <c r="BY48" s="10">
        <f t="shared" si="81"/>
        <v>0.76258046642795574</v>
      </c>
      <c r="BZ48" s="10">
        <f t="shared" si="81"/>
        <v>0.73781221183594847</v>
      </c>
      <c r="CA48" s="10">
        <f t="shared" si="81"/>
        <v>0.71594171485751301</v>
      </c>
      <c r="CB48" s="10">
        <f t="shared" si="81"/>
        <v>0.69624731153650254</v>
      </c>
      <c r="CC48" s="10">
        <f t="shared" si="81"/>
        <v>0.67823167683606744</v>
      </c>
      <c r="CD48" s="10">
        <f t="shared" si="81"/>
        <v>0.6615441654312918</v>
      </c>
      <c r="CE48" s="10">
        <f t="shared" si="81"/>
        <v>0.64593263650731036</v>
      </c>
      <c r="CF48" s="10">
        <f t="shared" si="81"/>
        <v>0.63121259840116373</v>
      </c>
      <c r="CG48" s="10">
        <f t="shared" si="81"/>
        <v>0.6172469000494234</v>
      </c>
      <c r="CH48" s="10">
        <f t="array" aca="1" ref="CH48" ca="1">INDIRECT(CI48)</f>
        <v>0.57971014492753759</v>
      </c>
      <c r="CI48" s="10" t="str">
        <f t="shared" si="76"/>
        <v>$AQ$25</v>
      </c>
      <c r="CJ48" s="10">
        <f t="shared" si="77"/>
        <v>43</v>
      </c>
      <c r="CK48" s="10">
        <f t="shared" si="78"/>
        <v>1.8835663748580507</v>
      </c>
    </row>
    <row r="49" spans="2:89" ht="16.5" customHeight="1">
      <c r="B49" s="10" t="s">
        <v>809</v>
      </c>
      <c r="C49" s="10">
        <f t="shared" ref="C49:AH49" si="82">1/((1+(C$23*(1-(1/(C$25^2)))))^2+(C43*(C$25-(1/C$25)))^2)^0.5</f>
        <v>2.1818182439325691E-8</v>
      </c>
      <c r="D49" s="10">
        <f t="shared" si="82"/>
        <v>1.288386932838223E-3</v>
      </c>
      <c r="E49" s="10">
        <f t="shared" si="82"/>
        <v>3.294085024357045E-3</v>
      </c>
      <c r="F49" s="10">
        <f t="shared" si="82"/>
        <v>6.2406824378399874E-3</v>
      </c>
      <c r="G49" s="10">
        <f t="shared" si="82"/>
        <v>1.0149721903320651E-2</v>
      </c>
      <c r="H49" s="10">
        <f t="shared" si="82"/>
        <v>1.5050135523851146E-2</v>
      </c>
      <c r="I49" s="10">
        <f t="shared" si="82"/>
        <v>2.0978762930202923E-2</v>
      </c>
      <c r="J49" s="10">
        <f t="shared" si="82"/>
        <v>2.7981024024538607E-2</v>
      </c>
      <c r="K49" s="10">
        <f t="shared" si="82"/>
        <v>3.6111767932241016E-2</v>
      </c>
      <c r="L49" s="10">
        <f t="shared" si="82"/>
        <v>4.5436326096875805E-2</v>
      </c>
      <c r="M49" s="10">
        <f t="shared" si="82"/>
        <v>5.6031805097773321E-2</v>
      </c>
      <c r="N49" s="10">
        <f t="shared" si="82"/>
        <v>6.7988664131966317E-2</v>
      </c>
      <c r="O49" s="10">
        <f t="shared" si="82"/>
        <v>8.1412633661487821E-2</v>
      </c>
      <c r="P49" s="10">
        <f t="shared" si="82"/>
        <v>9.6427046070027292E-2</v>
      </c>
      <c r="Q49" s="10">
        <f t="shared" si="82"/>
        <v>0.11317566700622338</v>
      </c>
      <c r="R49" s="10">
        <f t="shared" si="82"/>
        <v>0.13182613823889974</v>
      </c>
      <c r="S49" s="10">
        <f t="shared" si="82"/>
        <v>0.15257417021874703</v>
      </c>
      <c r="T49" s="10">
        <f t="shared" si="82"/>
        <v>0.17564865601082363</v>
      </c>
      <c r="U49" s="10">
        <f t="shared" si="82"/>
        <v>0.20131791842768321</v>
      </c>
      <c r="V49" s="10">
        <f t="shared" si="82"/>
        <v>0.22989734881129481</v>
      </c>
      <c r="W49" s="10">
        <f t="shared" si="82"/>
        <v>0.26175874677386279</v>
      </c>
      <c r="X49" s="10">
        <f t="shared" si="82"/>
        <v>0.29734171889440625</v>
      </c>
      <c r="Y49" s="10">
        <f t="shared" si="82"/>
        <v>0.33716752587048926</v>
      </c>
      <c r="Z49" s="10">
        <f t="shared" si="82"/>
        <v>0.38185574987982207</v>
      </c>
      <c r="AA49" s="10">
        <f t="shared" si="82"/>
        <v>0.4321440215917321</v>
      </c>
      <c r="AB49" s="10">
        <f t="shared" si="82"/>
        <v>0.48891067008148426</v>
      </c>
      <c r="AC49" s="10">
        <f t="shared" si="82"/>
        <v>0.55319928820362751</v>
      </c>
      <c r="AD49" s="10">
        <f t="shared" si="82"/>
        <v>0.62624236450510695</v>
      </c>
      <c r="AE49" s="10">
        <f t="shared" si="82"/>
        <v>0.70947743818119835</v>
      </c>
      <c r="AF49" s="10">
        <f t="shared" si="82"/>
        <v>0.80454211618310545</v>
      </c>
      <c r="AG49" s="10">
        <f t="shared" si="82"/>
        <v>0.91322115987396457</v>
      </c>
      <c r="AH49" s="10">
        <f t="shared" si="82"/>
        <v>1.0372960664446651</v>
      </c>
      <c r="AI49" s="10">
        <f t="shared" ref="AI49:BN49" si="83">1/((1+(AI$23*(1-(1/(AI$25^2)))))^2+(AI43*(AI$25-(1/AI$25)))^2)^0.5</f>
        <v>1.1782121374140366</v>
      </c>
      <c r="AJ49" s="10">
        <f t="shared" si="83"/>
        <v>1.3364349780829285</v>
      </c>
      <c r="AK49" s="10">
        <f t="shared" si="83"/>
        <v>1.5103522672564342</v>
      </c>
      <c r="AL49" s="10">
        <f t="shared" si="83"/>
        <v>1.6946933621753784</v>
      </c>
      <c r="AM49" s="10">
        <f t="shared" si="83"/>
        <v>1.8788872930725196</v>
      </c>
      <c r="AN49" s="10">
        <f t="shared" si="83"/>
        <v>2.0466553898913227</v>
      </c>
      <c r="AO49" s="10">
        <f t="shared" si="83"/>
        <v>2.1787661726775815</v>
      </c>
      <c r="AP49" s="10">
        <f t="shared" si="83"/>
        <v>2.2111254628172508</v>
      </c>
      <c r="AQ49" s="10">
        <f t="shared" si="83"/>
        <v>2.2733341619235317</v>
      </c>
      <c r="AR49" s="10">
        <f t="shared" si="83"/>
        <v>2.2794758156576145</v>
      </c>
      <c r="AS49" s="10">
        <f t="shared" si="83"/>
        <v>2.2390917769355321</v>
      </c>
      <c r="AT49" s="10">
        <f t="shared" si="83"/>
        <v>2.1671764851446023</v>
      </c>
      <c r="AU49" s="10">
        <f t="shared" si="83"/>
        <v>2.0782664827564985</v>
      </c>
      <c r="AV49" s="10">
        <f t="shared" si="83"/>
        <v>1.9833491584035789</v>
      </c>
      <c r="AW49" s="10">
        <f t="shared" si="83"/>
        <v>1.8894370266624958</v>
      </c>
      <c r="AX49" s="10">
        <f t="shared" si="83"/>
        <v>1.8004036122547353</v>
      </c>
      <c r="AY49" s="10">
        <f t="shared" si="83"/>
        <v>1.7180362951962087</v>
      </c>
      <c r="AZ49" s="10">
        <f t="shared" si="83"/>
        <v>1.6428800535467103</v>
      </c>
      <c r="BA49" s="10">
        <f t="shared" si="83"/>
        <v>1.5748033751254678</v>
      </c>
      <c r="BB49" s="10">
        <f t="shared" si="83"/>
        <v>1.5133428875947135</v>
      </c>
      <c r="BC49" s="10">
        <f t="shared" si="83"/>
        <v>1.4579001918992971</v>
      </c>
      <c r="BD49" s="10">
        <f t="shared" si="83"/>
        <v>1.4078482374057375</v>
      </c>
      <c r="BE49" s="10">
        <f t="shared" si="83"/>
        <v>1.3625851213657625</v>
      </c>
      <c r="BF49" s="10">
        <f t="shared" si="83"/>
        <v>1.3215584444011077</v>
      </c>
      <c r="BG49" s="10">
        <f t="shared" si="83"/>
        <v>1.2842737446429706</v>
      </c>
      <c r="BH49" s="10">
        <f t="shared" si="83"/>
        <v>1.2502946995621886</v>
      </c>
      <c r="BI49" s="10">
        <f t="shared" si="83"/>
        <v>1.2192393728204127</v>
      </c>
      <c r="BJ49" s="10">
        <f t="shared" si="83"/>
        <v>1.1907748312749207</v>
      </c>
      <c r="BK49" s="10">
        <f t="shared" si="83"/>
        <v>1.1646113567059417</v>
      </c>
      <c r="BL49" s="10">
        <f t="shared" si="83"/>
        <v>1.140496864502047</v>
      </c>
      <c r="BM49" s="10">
        <f t="shared" si="83"/>
        <v>1.1182118061628268</v>
      </c>
      <c r="BN49" s="10">
        <f t="shared" si="83"/>
        <v>1.0975646529978911</v>
      </c>
      <c r="BO49" s="10">
        <f t="shared" ref="BO49:CG49" si="84">1/((1+(BO$23*(1-(1/(BO$25^2)))))^2+(BO43*(BO$25-(1/BO$25)))^2)^0.5</f>
        <v>1.0783879659759421</v>
      </c>
      <c r="BP49" s="10">
        <f t="shared" si="84"/>
        <v>1.0605350123336386</v>
      </c>
      <c r="BQ49" s="10">
        <f t="shared" si="84"/>
        <v>1.0438768713069297</v>
      </c>
      <c r="BR49" s="10">
        <f t="shared" si="84"/>
        <v>1.0282999668555644</v>
      </c>
      <c r="BS49" s="10">
        <f t="shared" si="84"/>
        <v>1.0137039676399553</v>
      </c>
      <c r="BT49" s="10">
        <f t="shared" si="84"/>
        <v>1</v>
      </c>
      <c r="BU49" s="10">
        <f t="shared" si="84"/>
        <v>0.9248775837731108</v>
      </c>
      <c r="BV49" s="10">
        <f t="shared" si="84"/>
        <v>0.87171013030791378</v>
      </c>
      <c r="BW49" s="10">
        <f t="shared" si="84"/>
        <v>0.8317679840872253</v>
      </c>
      <c r="BX49" s="10">
        <f t="shared" si="84"/>
        <v>0.80029976910742162</v>
      </c>
      <c r="BY49" s="10">
        <f t="shared" si="84"/>
        <v>0.77452535688315916</v>
      </c>
      <c r="BZ49" s="10">
        <f t="shared" si="84"/>
        <v>0.75272386488392695</v>
      </c>
      <c r="CA49" s="10">
        <f t="shared" si="84"/>
        <v>0.73378169196191756</v>
      </c>
      <c r="CB49" s="10">
        <f t="shared" si="84"/>
        <v>0.71695212083513848</v>
      </c>
      <c r="CC49" s="10">
        <f t="shared" si="84"/>
        <v>0.70171979637125559</v>
      </c>
      <c r="CD49" s="10">
        <f t="shared" si="84"/>
        <v>0.68772053775691788</v>
      </c>
      <c r="CE49" s="10">
        <f t="shared" si="84"/>
        <v>0.67469191662288797</v>
      </c>
      <c r="CF49" s="10">
        <f t="shared" si="84"/>
        <v>0.6624417207487634</v>
      </c>
      <c r="CG49" s="10">
        <f t="shared" si="84"/>
        <v>0.65082722151455918</v>
      </c>
      <c r="CH49" s="10">
        <f t="array" aca="1" ref="CH49" ca="1">INDIRECT(CI49)</f>
        <v>0.56521739130434923</v>
      </c>
      <c r="CI49" s="10" t="str">
        <f t="shared" si="76"/>
        <v>$AP$25</v>
      </c>
      <c r="CJ49" s="10">
        <f t="shared" si="77"/>
        <v>42</v>
      </c>
      <c r="CK49" s="10">
        <f t="shared" si="78"/>
        <v>2.2794758156576145</v>
      </c>
    </row>
    <row r="50" spans="2:89" ht="16.5" customHeight="1">
      <c r="B50" s="10" t="s">
        <v>810</v>
      </c>
      <c r="C50" s="10">
        <f t="shared" ref="C50:AH50" si="85">1/((1+(C$23*(1-(1/(C$25^2)))))^2+(C44*(C$25-(1/C$25)))^2)^0.5</f>
        <v>2.1818182479920704E-8</v>
      </c>
      <c r="D50" s="10">
        <f t="shared" si="85"/>
        <v>1.2885285829841006E-3</v>
      </c>
      <c r="E50" s="10">
        <f t="shared" si="85"/>
        <v>3.2950119481721194E-3</v>
      </c>
      <c r="F50" s="10">
        <f t="shared" si="85"/>
        <v>6.2440144033623097E-3</v>
      </c>
      <c r="G50" s="10">
        <f t="shared" si="85"/>
        <v>1.0158553191859945E-2</v>
      </c>
      <c r="H50" s="10">
        <f t="shared" si="85"/>
        <v>1.5069602622699301E-2</v>
      </c>
      <c r="I50" s="10">
        <f t="shared" si="85"/>
        <v>2.1016704876682134E-2</v>
      </c>
      <c r="J50" s="10">
        <f t="shared" si="85"/>
        <v>2.8048768388947723E-2</v>
      </c>
      <c r="K50" s="10">
        <f t="shared" si="85"/>
        <v>3.6225083729408088E-2</v>
      </c>
      <c r="L50" s="10">
        <f t="shared" si="85"/>
        <v>4.5616596356075428E-2</v>
      </c>
      <c r="M50" s="10">
        <f t="shared" si="85"/>
        <v>5.6307487501055131E-2</v>
      </c>
      <c r="N50" s="10">
        <f t="shared" si="85"/>
        <v>6.83971296301875E-2</v>
      </c>
      <c r="O50" s="10">
        <f t="shared" si="85"/>
        <v>8.2002502564154742E-2</v>
      </c>
      <c r="P50" s="10">
        <f t="shared" si="85"/>
        <v>9.7261182059277002E-2</v>
      </c>
      <c r="Q50" s="10">
        <f t="shared" si="85"/>
        <v>0.11433504662530793</v>
      </c>
      <c r="R50" s="10">
        <f t="shared" si="85"/>
        <v>0.13341489367348136</v>
      </c>
      <c r="S50" s="10">
        <f t="shared" si="85"/>
        <v>0.15472621704054584</v>
      </c>
      <c r="T50" s="10">
        <f t="shared" si="85"/>
        <v>0.17853648058534624</v>
      </c>
      <c r="U50" s="10">
        <f t="shared" si="85"/>
        <v>0.20516433548851423</v>
      </c>
      <c r="V50" s="10">
        <f t="shared" si="85"/>
        <v>0.23499138428974772</v>
      </c>
      <c r="W50" s="10">
        <f t="shared" si="85"/>
        <v>0.26847730985236462</v>
      </c>
      <c r="X50" s="10">
        <f t="shared" si="85"/>
        <v>0.30617948669159406</v>
      </c>
      <c r="Y50" s="10">
        <f t="shared" si="85"/>
        <v>0.34877860915110864</v>
      </c>
      <c r="Z50" s="10">
        <f t="shared" si="85"/>
        <v>0.39711245078414564</v>
      </c>
      <c r="AA50" s="10">
        <f t="shared" si="85"/>
        <v>0.45222066752110879</v>
      </c>
      <c r="AB50" s="10">
        <f t="shared" si="85"/>
        <v>0.51540462938092035</v>
      </c>
      <c r="AC50" s="10">
        <f t="shared" si="85"/>
        <v>0.58830762840615813</v>
      </c>
      <c r="AD50" s="10">
        <f t="shared" si="85"/>
        <v>0.67302232488870162</v>
      </c>
      <c r="AE50" s="10">
        <f t="shared" si="85"/>
        <v>0.77223333712321429</v>
      </c>
      <c r="AF50" s="10">
        <f t="shared" si="85"/>
        <v>0.88940146434470002</v>
      </c>
      <c r="AG50" s="10">
        <f t="shared" si="85"/>
        <v>1.0289864824494521</v>
      </c>
      <c r="AH50" s="10">
        <f t="shared" si="85"/>
        <v>1.1966724314094623</v>
      </c>
      <c r="AI50" s="10">
        <f t="shared" ref="AI50:BN50" si="86">1/((1+(AI$23*(1-(1/(AI$25^2)))))^2+(AI44*(AI$25-(1/AI$25)))^2)^0.5</f>
        <v>1.3994632574174968</v>
      </c>
      <c r="AJ50" s="10">
        <f t="shared" si="86"/>
        <v>1.6452628496952006</v>
      </c>
      <c r="AK50" s="10">
        <f t="shared" si="86"/>
        <v>1.9409529095430136</v>
      </c>
      <c r="AL50" s="10">
        <f t="shared" si="86"/>
        <v>2.286856711332343</v>
      </c>
      <c r="AM50" s="10">
        <f t="shared" si="86"/>
        <v>2.664689739148864</v>
      </c>
      <c r="AN50" s="10">
        <f t="shared" si="86"/>
        <v>3.0210297534050943</v>
      </c>
      <c r="AO50" s="10">
        <f t="shared" si="86"/>
        <v>3.2681466330811526</v>
      </c>
      <c r="AP50" s="10">
        <f t="shared" si="86"/>
        <v>3.3110252196145522</v>
      </c>
      <c r="AQ50" s="10">
        <f t="shared" si="86"/>
        <v>3.3156909367168934</v>
      </c>
      <c r="AR50" s="10">
        <f t="shared" si="86"/>
        <v>3.165485129035889</v>
      </c>
      <c r="AS50" s="10">
        <f t="shared" si="86"/>
        <v>2.9379147301897302</v>
      </c>
      <c r="AT50" s="10">
        <f t="shared" si="86"/>
        <v>2.6956469422014004</v>
      </c>
      <c r="AU50" s="10">
        <f t="shared" si="86"/>
        <v>2.4705166769883413</v>
      </c>
      <c r="AV50" s="10">
        <f t="shared" si="86"/>
        <v>2.2731978578150067</v>
      </c>
      <c r="AW50" s="10">
        <f t="shared" si="86"/>
        <v>2.1043137440172504</v>
      </c>
      <c r="AX50" s="10">
        <f t="shared" si="86"/>
        <v>1.9607997258777867</v>
      </c>
      <c r="AY50" s="10">
        <f t="shared" si="86"/>
        <v>1.8387414801727384</v>
      </c>
      <c r="AZ50" s="10">
        <f t="shared" si="86"/>
        <v>1.7344475901781762</v>
      </c>
      <c r="BA50" s="10">
        <f t="shared" si="86"/>
        <v>1.6447671953798582</v>
      </c>
      <c r="BB50" s="10">
        <f t="shared" si="86"/>
        <v>1.5671176092543677</v>
      </c>
      <c r="BC50" s="10">
        <f t="shared" si="86"/>
        <v>1.4994159312519777</v>
      </c>
      <c r="BD50" s="10">
        <f t="shared" si="86"/>
        <v>1.4399901776491046</v>
      </c>
      <c r="BE50" s="10">
        <f t="shared" si="86"/>
        <v>1.3874966034904137</v>
      </c>
      <c r="BF50" s="10">
        <f t="shared" si="86"/>
        <v>1.3408506390314692</v>
      </c>
      <c r="BG50" s="10">
        <f t="shared" si="86"/>
        <v>1.2991717638123261</v>
      </c>
      <c r="BH50" s="10">
        <f t="shared" si="86"/>
        <v>1.2617403838170929</v>
      </c>
      <c r="BI50" s="10">
        <f t="shared" si="86"/>
        <v>1.2279643637936826</v>
      </c>
      <c r="BJ50" s="10">
        <f t="shared" si="86"/>
        <v>1.1973530893088902</v>
      </c>
      <c r="BK50" s="10">
        <f t="shared" si="86"/>
        <v>1.1694973196907215</v>
      </c>
      <c r="BL50" s="10">
        <f t="shared" si="86"/>
        <v>1.1440534718277999</v>
      </c>
      <c r="BM50" s="10">
        <f t="shared" si="86"/>
        <v>1.1207312935183062</v>
      </c>
      <c r="BN50" s="10">
        <f t="shared" si="86"/>
        <v>1.0992841366401696</v>
      </c>
      <c r="BO50" s="10">
        <f t="shared" ref="BO50:CG50" si="87">1/((1+(BO$23*(1-(1/(BO$25^2)))))^2+(BO44*(BO$25-(1/BO$25)))^2)^0.5</f>
        <v>1.0795012330280616</v>
      </c>
      <c r="BP50" s="10">
        <f t="shared" si="87"/>
        <v>1.0612015212514392</v>
      </c>
      <c r="BQ50" s="10">
        <f t="shared" si="87"/>
        <v>1.0442286814174895</v>
      </c>
      <c r="BR50" s="10">
        <f t="shared" si="87"/>
        <v>1.028447116660097</v>
      </c>
      <c r="BS50" s="10">
        <f t="shared" si="87"/>
        <v>1.0137386810967635</v>
      </c>
      <c r="BT50" s="10">
        <f t="shared" si="87"/>
        <v>1</v>
      </c>
      <c r="BU50" s="10">
        <f t="shared" si="87"/>
        <v>0.9259862501827153</v>
      </c>
      <c r="BV50" s="10">
        <f t="shared" si="87"/>
        <v>0.87515050886117685</v>
      </c>
      <c r="BW50" s="10">
        <f t="shared" si="87"/>
        <v>0.83806761170528898</v>
      </c>
      <c r="BX50" s="10">
        <f t="shared" si="87"/>
        <v>0.80972746125639039</v>
      </c>
      <c r="BY50" s="10">
        <f t="shared" si="87"/>
        <v>0.78723671009002483</v>
      </c>
      <c r="BZ50" s="10">
        <f t="shared" si="87"/>
        <v>0.76881622259455229</v>
      </c>
      <c r="CA50" s="10">
        <f t="shared" si="87"/>
        <v>0.75331704608022088</v>
      </c>
      <c r="CB50" s="10">
        <f t="shared" si="87"/>
        <v>0.73996753261833481</v>
      </c>
      <c r="CC50" s="10">
        <f t="shared" si="87"/>
        <v>0.72823262046716475</v>
      </c>
      <c r="CD50" s="10">
        <f t="shared" si="87"/>
        <v>0.71773138144407611</v>
      </c>
      <c r="CE50" s="10">
        <f t="shared" si="87"/>
        <v>0.70818658508753285</v>
      </c>
      <c r="CF50" s="10">
        <f t="shared" si="87"/>
        <v>0.69939270288926503</v>
      </c>
      <c r="CG50" s="10">
        <f t="shared" si="87"/>
        <v>0.69119496620994025</v>
      </c>
      <c r="CH50" s="10">
        <f t="array" aca="1" ref="CH50" ca="1">INDIRECT(CI50)</f>
        <v>0.56051191058138805</v>
      </c>
      <c r="CI50" s="10" t="str">
        <f t="shared" si="76"/>
        <v>$AO$25</v>
      </c>
      <c r="CJ50" s="10">
        <f t="shared" si="77"/>
        <v>41</v>
      </c>
      <c r="CK50" s="10">
        <f t="shared" si="78"/>
        <v>3.3156909367168934</v>
      </c>
    </row>
    <row r="51" spans="2:89" ht="16.5" customHeight="1">
      <c r="B51" s="10" t="s">
        <v>811</v>
      </c>
      <c r="C51" s="10">
        <f t="shared" ref="C51:AH51" si="88">1/((1+(C$23*(1-(1/(C$25^2)))))^2+(C45*(C$25-(1/C$25)))^2)^0.5</f>
        <v>2.1818182504277716E-8</v>
      </c>
      <c r="D51" s="10">
        <f t="shared" si="88"/>
        <v>1.2886135955008332E-3</v>
      </c>
      <c r="E51" s="10">
        <f t="shared" si="88"/>
        <v>3.2955684781936466E-3</v>
      </c>
      <c r="F51" s="10">
        <f t="shared" si="88"/>
        <v>6.2460161462191653E-3</v>
      </c>
      <c r="G51" s="10">
        <f t="shared" si="88"/>
        <v>1.0163863042965088E-2</v>
      </c>
      <c r="H51" s="10">
        <f t="shared" si="88"/>
        <v>1.5081319204381372E-2</v>
      </c>
      <c r="I51" s="10">
        <f t="shared" si="88"/>
        <v>2.1039569098202388E-2</v>
      </c>
      <c r="J51" s="10">
        <f t="shared" si="88"/>
        <v>2.8089651953662267E-2</v>
      </c>
      <c r="K51" s="10">
        <f t="shared" si="88"/>
        <v>3.6293587388214997E-2</v>
      </c>
      <c r="L51" s="10">
        <f t="shared" si="88"/>
        <v>4.5725793918706494E-2</v>
      </c>
      <c r="M51" s="10">
        <f t="shared" si="88"/>
        <v>5.647486303862221E-2</v>
      </c>
      <c r="N51" s="10">
        <f t="shared" si="88"/>
        <v>6.8645771225195648E-2</v>
      </c>
      <c r="O51" s="10">
        <f t="shared" si="88"/>
        <v>8.2362638290634962E-2</v>
      </c>
      <c r="P51" s="10">
        <f t="shared" si="88"/>
        <v>9.777217543465197E-2</v>
      </c>
      <c r="Q51" s="10">
        <f t="shared" si="88"/>
        <v>0.11504801381981522</v>
      </c>
      <c r="R51" s="10">
        <f t="shared" si="88"/>
        <v>0.1343961697659459</v>
      </c>
      <c r="S51" s="10">
        <f t="shared" si="88"/>
        <v>0.15606199356055589</v>
      </c>
      <c r="T51" s="10">
        <f t="shared" si="88"/>
        <v>0.18033907712619268</v>
      </c>
      <c r="U51" s="10">
        <f t="shared" si="88"/>
        <v>0.20758077920643064</v>
      </c>
      <c r="V51" s="10">
        <f t="shared" si="88"/>
        <v>0.23821529291505833</v>
      </c>
      <c r="W51" s="10">
        <f t="shared" si="88"/>
        <v>0.27276557284516439</v>
      </c>
      <c r="X51" s="10">
        <f t="shared" si="88"/>
        <v>0.3118760270307826</v>
      </c>
      <c r="Y51" s="10">
        <f t="shared" si="88"/>
        <v>0.35634877663150372</v>
      </c>
      <c r="Z51" s="10">
        <f t="shared" si="88"/>
        <v>0.40719368317894933</v>
      </c>
      <c r="AA51" s="10">
        <f t="shared" si="88"/>
        <v>0.46569856393000625</v>
      </c>
      <c r="AB51" s="10">
        <f t="shared" si="88"/>
        <v>0.53352962776885804</v>
      </c>
      <c r="AC51" s="10">
        <f t="shared" si="88"/>
        <v>0.61287818547722495</v>
      </c>
      <c r="AD51" s="10">
        <f t="shared" si="88"/>
        <v>0.70667999489874977</v>
      </c>
      <c r="AE51" s="10">
        <f t="shared" si="88"/>
        <v>0.81895174017762684</v>
      </c>
      <c r="AF51" s="10">
        <f t="shared" si="88"/>
        <v>0.95532197886781722</v>
      </c>
      <c r="AG51" s="10">
        <f t="shared" si="88"/>
        <v>1.1238949075668698</v>
      </c>
      <c r="AH51" s="10">
        <f t="shared" si="88"/>
        <v>1.336700784700356</v>
      </c>
      <c r="AI51" s="10">
        <f t="shared" ref="AI51:BN51" si="89">1/((1+(AI$23*(1-(1/(AI$25^2)))))^2+(AI45*(AI$25-(1/AI$25)))^2)^0.5</f>
        <v>1.6122041821848843</v>
      </c>
      <c r="AJ51" s="10">
        <f t="shared" si="89"/>
        <v>1.9797167331940804</v>
      </c>
      <c r="AK51" s="10">
        <f t="shared" si="89"/>
        <v>2.4869471935964955</v>
      </c>
      <c r="AL51" s="10">
        <f t="shared" si="89"/>
        <v>3.2103200546599169</v>
      </c>
      <c r="AM51" s="10">
        <f t="shared" si="89"/>
        <v>4.2496371420859811</v>
      </c>
      <c r="AN51" s="10">
        <f t="shared" si="89"/>
        <v>5.5838781280519632</v>
      </c>
      <c r="AO51" s="10">
        <f t="shared" si="89"/>
        <v>6.5362649062806746</v>
      </c>
      <c r="AP51" s="10">
        <f t="shared" si="89"/>
        <v>6.56187709048654</v>
      </c>
      <c r="AQ51" s="10">
        <f t="shared" si="89"/>
        <v>5.8283032893166347</v>
      </c>
      <c r="AR51" s="10">
        <f t="shared" si="89"/>
        <v>4.7563696098705019</v>
      </c>
      <c r="AS51" s="10">
        <f t="shared" si="89"/>
        <v>3.9015255964034536</v>
      </c>
      <c r="AT51" s="10">
        <f t="shared" si="89"/>
        <v>3.2890887050132047</v>
      </c>
      <c r="AU51" s="10">
        <f t="shared" si="89"/>
        <v>2.8486465633840918</v>
      </c>
      <c r="AV51" s="10">
        <f t="shared" si="89"/>
        <v>2.5229481085899601</v>
      </c>
      <c r="AW51" s="10">
        <f t="shared" si="89"/>
        <v>2.274741534759305</v>
      </c>
      <c r="AX51" s="10">
        <f t="shared" si="89"/>
        <v>2.0803949878791861</v>
      </c>
      <c r="AY51" s="10">
        <f t="shared" si="89"/>
        <v>1.9246409174621322</v>
      </c>
      <c r="AZ51" s="10">
        <f t="shared" si="89"/>
        <v>1.7973280730835068</v>
      </c>
      <c r="BA51" s="10">
        <f t="shared" si="89"/>
        <v>1.6915035214697591</v>
      </c>
      <c r="BB51" s="10">
        <f t="shared" si="89"/>
        <v>1.6022709678425973</v>
      </c>
      <c r="BC51" s="10">
        <f t="shared" si="89"/>
        <v>1.5260949961030321</v>
      </c>
      <c r="BD51" s="10">
        <f t="shared" si="89"/>
        <v>1.4603652308008392</v>
      </c>
      <c r="BE51" s="10">
        <f t="shared" si="89"/>
        <v>1.4031157251568276</v>
      </c>
      <c r="BF51" s="10">
        <f t="shared" si="89"/>
        <v>1.3528395535321116</v>
      </c>
      <c r="BG51" s="10">
        <f t="shared" si="89"/>
        <v>1.3083633497339899</v>
      </c>
      <c r="BH51" s="10">
        <f t="shared" si="89"/>
        <v>1.2687605397323707</v>
      </c>
      <c r="BI51" s="10">
        <f t="shared" si="89"/>
        <v>1.2332901336794484</v>
      </c>
      <c r="BJ51" s="10">
        <f t="shared" si="89"/>
        <v>1.2013527629548135</v>
      </c>
      <c r="BK51" s="10">
        <f t="shared" si="89"/>
        <v>1.1724585811910933</v>
      </c>
      <c r="BL51" s="10">
        <f t="shared" si="89"/>
        <v>1.1462034742108889</v>
      </c>
      <c r="BM51" s="10">
        <f t="shared" si="89"/>
        <v>1.1222511850942101</v>
      </c>
      <c r="BN51" s="10">
        <f t="shared" si="89"/>
        <v>1.1003197140231982</v>
      </c>
      <c r="BO51" s="10">
        <f t="shared" ref="BO51:CG51" si="90">1/((1+(BO$23*(1-(1/(BO$25^2)))))^2+(BO45*(BO$25-(1/BO$25)))^2)^0.5</f>
        <v>1.0801708504954202</v>
      </c>
      <c r="BP51" s="10">
        <f t="shared" si="90"/>
        <v>1.0616020302914293</v>
      </c>
      <c r="BQ51" s="10">
        <f t="shared" si="90"/>
        <v>1.0444399382984499</v>
      </c>
      <c r="BR51" s="10">
        <f t="shared" si="90"/>
        <v>1.0285354368708968</v>
      </c>
      <c r="BS51" s="10">
        <f t="shared" si="90"/>
        <v>1.0137595108827029</v>
      </c>
      <c r="BT51" s="10">
        <f t="shared" si="90"/>
        <v>1</v>
      </c>
      <c r="BU51" s="10">
        <f t="shared" si="90"/>
        <v>0.92665336681927202</v>
      </c>
      <c r="BV51" s="10">
        <f t="shared" si="90"/>
        <v>0.87723439196059105</v>
      </c>
      <c r="BW51" s="10">
        <f t="shared" si="90"/>
        <v>0.8419167945280317</v>
      </c>
      <c r="BX51" s="10">
        <f t="shared" si="90"/>
        <v>0.81554655568301382</v>
      </c>
      <c r="BY51" s="10">
        <f t="shared" si="90"/>
        <v>0.79517065201017434</v>
      </c>
      <c r="BZ51" s="10">
        <f t="shared" si="90"/>
        <v>0.77898159085307739</v>
      </c>
      <c r="CA51" s="10">
        <f t="shared" si="90"/>
        <v>0.7658147608597462</v>
      </c>
      <c r="CB51" s="10">
        <f t="shared" si="90"/>
        <v>0.75488830753491964</v>
      </c>
      <c r="CC51" s="10">
        <f t="shared" si="90"/>
        <v>0.74565938166910939</v>
      </c>
      <c r="CD51" s="10">
        <f t="shared" si="90"/>
        <v>0.73774035279165173</v>
      </c>
      <c r="CE51" s="10">
        <f t="shared" si="90"/>
        <v>0.73084777111781829</v>
      </c>
      <c r="CF51" s="10">
        <f t="shared" si="90"/>
        <v>0.72477010086468752</v>
      </c>
      <c r="CG51" s="10">
        <f t="shared" si="90"/>
        <v>0.71934666275294945</v>
      </c>
      <c r="CH51" s="10">
        <f t="array" aca="1" ref="CH51" ca="1">INDIRECT(CI51)</f>
        <v>0.54601915695819969</v>
      </c>
      <c r="CI51" s="10" t="str">
        <f t="shared" si="76"/>
        <v>$AN$25</v>
      </c>
      <c r="CJ51" s="10">
        <f t="shared" si="77"/>
        <v>40</v>
      </c>
      <c r="CK51" s="10">
        <f t="shared" si="78"/>
        <v>6.56187709048654</v>
      </c>
    </row>
    <row r="52" spans="2:89" ht="16.5" customHeight="1">
      <c r="B52" s="10" t="s">
        <v>812</v>
      </c>
      <c r="C52" s="10">
        <f t="shared" ref="C52:AH52" si="91">1/((1+(C$23*(1-(1/(C$25^2)))))^2+(C46*(C$25-(1/C$25)))^2)^0.5</f>
        <v>2.1818182511813798E-8</v>
      </c>
      <c r="D52" s="10">
        <f t="shared" si="91"/>
        <v>1.2886399018736934E-3</v>
      </c>
      <c r="E52" s="10">
        <f t="shared" si="91"/>
        <v>3.2957407263120857E-3</v>
      </c>
      <c r="F52" s="10">
        <f t="shared" si="91"/>
        <v>6.2466358776971532E-3</v>
      </c>
      <c r="G52" s="10">
        <f t="shared" si="91"/>
        <v>1.0165507603988492E-2</v>
      </c>
      <c r="H52" s="10">
        <f t="shared" si="91"/>
        <v>1.5084949866895399E-2</v>
      </c>
      <c r="I52" s="10">
        <f t="shared" si="91"/>
        <v>2.1046658442832659E-2</v>
      </c>
      <c r="J52" s="10">
        <f t="shared" si="91"/>
        <v>2.81023376308875E-2</v>
      </c>
      <c r="K52" s="10">
        <f t="shared" si="91"/>
        <v>3.6314861344003233E-2</v>
      </c>
      <c r="L52" s="10">
        <f t="shared" si="91"/>
        <v>4.5759738936184333E-2</v>
      </c>
      <c r="M52" s="10">
        <f t="shared" si="91"/>
        <v>5.6526952320535069E-2</v>
      </c>
      <c r="N52" s="10">
        <f t="shared" si="91"/>
        <v>6.8723252184662853E-2</v>
      </c>
      <c r="O52" s="10">
        <f t="shared" si="91"/>
        <v>8.2475029418139778E-2</v>
      </c>
      <c r="P52" s="10">
        <f t="shared" si="91"/>
        <v>9.7931916103756539E-2</v>
      </c>
      <c r="Q52" s="10">
        <f t="shared" si="91"/>
        <v>0.11527132276347435</v>
      </c>
      <c r="R52" s="10">
        <f t="shared" si="91"/>
        <v>0.13470419114471002</v>
      </c>
      <c r="S52" s="10">
        <f t="shared" si="91"/>
        <v>0.15648234389516175</v>
      </c>
      <c r="T52" s="10">
        <f t="shared" si="91"/>
        <v>0.18090795801924275</v>
      </c>
      <c r="U52" s="10">
        <f t="shared" si="91"/>
        <v>0.20834589972416992</v>
      </c>
      <c r="V52" s="10">
        <f t="shared" si="91"/>
        <v>0.23923996833641625</v>
      </c>
      <c r="W52" s="10">
        <f t="shared" si="91"/>
        <v>0.27413456138089209</v>
      </c>
      <c r="X52" s="10">
        <f t="shared" si="91"/>
        <v>0.31370398204156635</v>
      </c>
      <c r="Y52" s="10">
        <f t="shared" si="91"/>
        <v>0.35879271622287734</v>
      </c>
      <c r="Z52" s="10">
        <f t="shared" si="91"/>
        <v>0.41047177235020432</v>
      </c>
      <c r="AA52" s="10">
        <f t="shared" si="91"/>
        <v>0.47011907114873286</v>
      </c>
      <c r="AB52" s="10">
        <f t="shared" si="91"/>
        <v>0.53953675623534936</v>
      </c>
      <c r="AC52" s="10">
        <f t="shared" si="91"/>
        <v>0.62112681303441541</v>
      </c>
      <c r="AD52" s="10">
        <f t="shared" si="91"/>
        <v>0.71816180290912213</v>
      </c>
      <c r="AE52" s="10">
        <f t="shared" si="91"/>
        <v>0.83521666251258286</v>
      </c>
      <c r="AF52" s="10">
        <f t="shared" si="91"/>
        <v>0.97888541784710736</v>
      </c>
      <c r="AG52" s="10">
        <f t="shared" si="91"/>
        <v>1.1590286425615637</v>
      </c>
      <c r="AH52" s="10">
        <f t="shared" si="91"/>
        <v>1.3910731154481613</v>
      </c>
      <c r="AI52" s="10">
        <f t="shared" ref="AI52:BN52" si="92">1/((1+(AI$23*(1-(1/(AI$25^2)))))^2+(AI46*(AI$25-(1/AI$25)))^2)^0.5</f>
        <v>1.7005633341179938</v>
      </c>
      <c r="AJ52" s="10">
        <f t="shared" si="92"/>
        <v>2.1330202297188179</v>
      </c>
      <c r="AK52" s="10">
        <f t="shared" si="92"/>
        <v>2.7779813040751811</v>
      </c>
      <c r="AL52" s="10">
        <f t="shared" si="92"/>
        <v>3.8379797956055457</v>
      </c>
      <c r="AM52" s="10">
        <f t="shared" si="92"/>
        <v>5.8791941016647868</v>
      </c>
      <c r="AN52" s="10">
        <f t="shared" si="92"/>
        <v>11.114975932256346</v>
      </c>
      <c r="AO52" s="10">
        <f t="shared" si="92"/>
        <v>24.39184850150432</v>
      </c>
      <c r="AP52" s="10">
        <f t="shared" si="92"/>
        <v>21.381300743334727</v>
      </c>
      <c r="AQ52" s="10">
        <f t="shared" si="92"/>
        <v>9.8041147483508695</v>
      </c>
      <c r="AR52" s="10">
        <f t="shared" si="92"/>
        <v>6.0856229604489309</v>
      </c>
      <c r="AS52" s="10">
        <f t="shared" si="92"/>
        <v>4.4643465813558141</v>
      </c>
      <c r="AT52" s="10">
        <f t="shared" si="92"/>
        <v>3.5700876327756239</v>
      </c>
      <c r="AU52" s="10">
        <f t="shared" si="92"/>
        <v>3.0060124165300444</v>
      </c>
      <c r="AV52" s="10">
        <f t="shared" si="92"/>
        <v>2.6185991918954308</v>
      </c>
      <c r="AW52" s="10">
        <f t="shared" si="92"/>
        <v>2.3364761519399484</v>
      </c>
      <c r="AX52" s="10">
        <f t="shared" si="92"/>
        <v>2.1220718457417393</v>
      </c>
      <c r="AY52" s="10">
        <f t="shared" si="92"/>
        <v>1.9537573380112709</v>
      </c>
      <c r="AZ52" s="10">
        <f t="shared" si="92"/>
        <v>1.8182125935786142</v>
      </c>
      <c r="BA52" s="10">
        <f t="shared" si="92"/>
        <v>1.7067907365471442</v>
      </c>
      <c r="BB52" s="10">
        <f t="shared" si="92"/>
        <v>1.6136359459188396</v>
      </c>
      <c r="BC52" s="10">
        <f t="shared" si="92"/>
        <v>1.5346424197910451</v>
      </c>
      <c r="BD52" s="10">
        <f t="shared" si="92"/>
        <v>1.4668466182606288</v>
      </c>
      <c r="BE52" s="10">
        <f t="shared" si="92"/>
        <v>1.4080561766615021</v>
      </c>
      <c r="BF52" s="10">
        <f t="shared" si="92"/>
        <v>1.3566145771917075</v>
      </c>
      <c r="BG52" s="10">
        <f t="shared" si="92"/>
        <v>1.3112469934825686</v>
      </c>
      <c r="BH52" s="10">
        <f t="shared" si="92"/>
        <v>1.2709564322419977</v>
      </c>
      <c r="BI52" s="10">
        <f t="shared" si="92"/>
        <v>1.2349520211719431</v>
      </c>
      <c r="BJ52" s="10">
        <f t="shared" si="92"/>
        <v>1.2025984085632504</v>
      </c>
      <c r="BK52" s="10">
        <f t="shared" si="92"/>
        <v>1.1733793650940225</v>
      </c>
      <c r="BL52" s="10">
        <f t="shared" si="92"/>
        <v>1.1468711465588111</v>
      </c>
      <c r="BM52" s="10">
        <f t="shared" si="92"/>
        <v>1.1227226952196869</v>
      </c>
      <c r="BN52" s="10">
        <f t="shared" si="92"/>
        <v>1.1006407160997609</v>
      </c>
      <c r="BO52" s="10">
        <f t="shared" ref="BO52:CG52" si="93">1/((1+(BO$23*(1-(1/(BO$25^2)))))^2+(BO46*(BO$25-(1/BO$25)))^2)^0.5</f>
        <v>1.080378283409426</v>
      </c>
      <c r="BP52" s="10">
        <f t="shared" si="93"/>
        <v>1.0617260401061586</v>
      </c>
      <c r="BQ52" s="10">
        <f t="shared" si="93"/>
        <v>1.0445053273817413</v>
      </c>
      <c r="BR52" s="10">
        <f t="shared" si="93"/>
        <v>1.0285627678487375</v>
      </c>
      <c r="BS52" s="10">
        <f t="shared" si="93"/>
        <v>1.0137659559009993</v>
      </c>
      <c r="BT52" s="10">
        <f t="shared" si="93"/>
        <v>1</v>
      </c>
      <c r="BU52" s="10">
        <f t="shared" si="93"/>
        <v>0.926860065672231</v>
      </c>
      <c r="BV52" s="10">
        <f t="shared" si="93"/>
        <v>0.87788216917617024</v>
      </c>
      <c r="BW52" s="10">
        <f t="shared" si="93"/>
        <v>0.84311852133327492</v>
      </c>
      <c r="BX52" s="10">
        <f t="shared" si="93"/>
        <v>0.81737255880181248</v>
      </c>
      <c r="BY52" s="10">
        <f t="shared" si="93"/>
        <v>0.79767443256078874</v>
      </c>
      <c r="BZ52" s="10">
        <f t="shared" si="93"/>
        <v>0.78220937207126384</v>
      </c>
      <c r="CA52" s="10">
        <f t="shared" si="93"/>
        <v>0.76980936502832309</v>
      </c>
      <c r="CB52" s="10">
        <f t="shared" si="93"/>
        <v>0.75969082526409371</v>
      </c>
      <c r="CC52" s="10">
        <f t="shared" si="93"/>
        <v>0.75130991252580859</v>
      </c>
      <c r="CD52" s="10">
        <f t="shared" si="93"/>
        <v>0.74427833238407537</v>
      </c>
      <c r="CE52" s="10">
        <f t="shared" si="93"/>
        <v>0.73831210656096369</v>
      </c>
      <c r="CF52" s="10">
        <f t="shared" si="93"/>
        <v>0.73319921540451327</v>
      </c>
      <c r="CG52" s="10">
        <f t="shared" si="93"/>
        <v>0.72877849719879251</v>
      </c>
      <c r="CH52" s="10">
        <f t="array" aca="1" ref="CH52" ca="1">INDIRECT(CI52)</f>
        <v>0.53152640333501133</v>
      </c>
      <c r="CI52" s="10" t="str">
        <f t="shared" si="76"/>
        <v>$AM$25</v>
      </c>
      <c r="CJ52" s="10">
        <f t="shared" si="77"/>
        <v>39</v>
      </c>
      <c r="CK52" s="10">
        <f t="shared" si="78"/>
        <v>24.39184850150432</v>
      </c>
    </row>
    <row r="53" spans="2:89" ht="16.5" customHeight="1">
      <c r="B53" s="10" t="s">
        <v>813</v>
      </c>
      <c r="C53" s="10">
        <f t="shared" ref="C53:AH53" si="94">2*C$10*(C$5+C$11*C$6)/(SQRT(2)*C$7*SIN(C33))</f>
        <v>1.5209591836734695</v>
      </c>
      <c r="D53" s="10">
        <f t="shared" si="94"/>
        <v>1.5209591836734695</v>
      </c>
      <c r="E53" s="10">
        <f t="shared" si="94"/>
        <v>1.5209591836734695</v>
      </c>
      <c r="F53" s="10">
        <f t="shared" si="94"/>
        <v>1.5209591836734695</v>
      </c>
      <c r="G53" s="10">
        <f t="shared" si="94"/>
        <v>1.5209591836734695</v>
      </c>
      <c r="H53" s="10">
        <f t="shared" si="94"/>
        <v>1.5209591836734695</v>
      </c>
      <c r="I53" s="10">
        <f t="shared" si="94"/>
        <v>1.5209591836734695</v>
      </c>
      <c r="J53" s="10">
        <f t="shared" si="94"/>
        <v>1.5209591836734695</v>
      </c>
      <c r="K53" s="10">
        <f t="shared" si="94"/>
        <v>1.5209591836734695</v>
      </c>
      <c r="L53" s="10">
        <f t="shared" si="94"/>
        <v>1.5209591836734695</v>
      </c>
      <c r="M53" s="10">
        <f t="shared" si="94"/>
        <v>1.5209591836734695</v>
      </c>
      <c r="N53" s="10">
        <f t="shared" si="94"/>
        <v>1.5209591836734695</v>
      </c>
      <c r="O53" s="10">
        <f t="shared" si="94"/>
        <v>1.5209591836734695</v>
      </c>
      <c r="P53" s="10">
        <f t="shared" si="94"/>
        <v>1.5209591836734695</v>
      </c>
      <c r="Q53" s="10">
        <f t="shared" si="94"/>
        <v>1.5209591836734695</v>
      </c>
      <c r="R53" s="10">
        <f t="shared" si="94"/>
        <v>1.5209591836734695</v>
      </c>
      <c r="S53" s="10">
        <f t="shared" si="94"/>
        <v>1.5209591836734695</v>
      </c>
      <c r="T53" s="10">
        <f t="shared" si="94"/>
        <v>1.5209591836734695</v>
      </c>
      <c r="U53" s="10">
        <f t="shared" si="94"/>
        <v>1.5209591836734695</v>
      </c>
      <c r="V53" s="10">
        <f t="shared" si="94"/>
        <v>1.5209591836734695</v>
      </c>
      <c r="W53" s="10">
        <f t="shared" si="94"/>
        <v>1.5209591836734695</v>
      </c>
      <c r="X53" s="10">
        <f t="shared" si="94"/>
        <v>1.5209591836734695</v>
      </c>
      <c r="Y53" s="10">
        <f t="shared" si="94"/>
        <v>1.5209591836734695</v>
      </c>
      <c r="Z53" s="10">
        <f t="shared" si="94"/>
        <v>1.5209591836734695</v>
      </c>
      <c r="AA53" s="10">
        <f t="shared" si="94"/>
        <v>1.5209591836734695</v>
      </c>
      <c r="AB53" s="10">
        <f t="shared" si="94"/>
        <v>1.5209591836734695</v>
      </c>
      <c r="AC53" s="10">
        <f t="shared" si="94"/>
        <v>1.5209591836734695</v>
      </c>
      <c r="AD53" s="10">
        <f t="shared" si="94"/>
        <v>1.5209591836734695</v>
      </c>
      <c r="AE53" s="10">
        <f t="shared" si="94"/>
        <v>1.5209591836734695</v>
      </c>
      <c r="AF53" s="10">
        <f t="shared" si="94"/>
        <v>1.5209591836734695</v>
      </c>
      <c r="AG53" s="10">
        <f t="shared" si="94"/>
        <v>1.5209591836734695</v>
      </c>
      <c r="AH53" s="10">
        <f t="shared" si="94"/>
        <v>1.5209591836734695</v>
      </c>
      <c r="AI53" s="10">
        <f t="shared" ref="AI53:BN53" si="95">2*AI$10*(AI$5+AI$11*AI$6)/(SQRT(2)*AI$7*SIN(AI33))</f>
        <v>1.5209591836734695</v>
      </c>
      <c r="AJ53" s="10">
        <f t="shared" si="95"/>
        <v>1.5209591836734695</v>
      </c>
      <c r="AK53" s="10">
        <f t="shared" si="95"/>
        <v>1.5209591836734695</v>
      </c>
      <c r="AL53" s="10">
        <f t="shared" si="95"/>
        <v>1.5209591836734695</v>
      </c>
      <c r="AM53" s="10">
        <f t="shared" si="95"/>
        <v>1.5209591836734695</v>
      </c>
      <c r="AN53" s="10">
        <f t="shared" si="95"/>
        <v>1.5209591836734695</v>
      </c>
      <c r="AO53" s="10">
        <f t="shared" si="95"/>
        <v>1.5209591836734695</v>
      </c>
      <c r="AP53" s="10">
        <f t="shared" si="95"/>
        <v>1.5209591836734695</v>
      </c>
      <c r="AQ53" s="10">
        <f t="shared" si="95"/>
        <v>1.5209591836734695</v>
      </c>
      <c r="AR53" s="10">
        <f t="shared" si="95"/>
        <v>1.5209591836734695</v>
      </c>
      <c r="AS53" s="10">
        <f t="shared" si="95"/>
        <v>1.5209591836734695</v>
      </c>
      <c r="AT53" s="10">
        <f t="shared" si="95"/>
        <v>1.5209591836734695</v>
      </c>
      <c r="AU53" s="10">
        <f t="shared" si="95"/>
        <v>1.5209591836734695</v>
      </c>
      <c r="AV53" s="10">
        <f t="shared" si="95"/>
        <v>1.5209591836734695</v>
      </c>
      <c r="AW53" s="10">
        <f t="shared" si="95"/>
        <v>1.5209591836734695</v>
      </c>
      <c r="AX53" s="10">
        <f t="shared" si="95"/>
        <v>1.5209591836734695</v>
      </c>
      <c r="AY53" s="10">
        <f t="shared" si="95"/>
        <v>1.5209591836734695</v>
      </c>
      <c r="AZ53" s="10">
        <f t="shared" si="95"/>
        <v>1.5209591836734695</v>
      </c>
      <c r="BA53" s="10">
        <f t="shared" si="95"/>
        <v>1.5209591836734695</v>
      </c>
      <c r="BB53" s="10">
        <f t="shared" si="95"/>
        <v>1.5209591836734695</v>
      </c>
      <c r="BC53" s="10">
        <f t="shared" si="95"/>
        <v>1.5209591836734695</v>
      </c>
      <c r="BD53" s="10">
        <f t="shared" si="95"/>
        <v>1.5209591836734695</v>
      </c>
      <c r="BE53" s="10">
        <f t="shared" si="95"/>
        <v>1.5209591836734695</v>
      </c>
      <c r="BF53" s="10">
        <f t="shared" si="95"/>
        <v>1.5209591836734695</v>
      </c>
      <c r="BG53" s="10">
        <f t="shared" si="95"/>
        <v>1.5209591836734695</v>
      </c>
      <c r="BH53" s="10">
        <f t="shared" si="95"/>
        <v>1.5209591836734695</v>
      </c>
      <c r="BI53" s="10">
        <f t="shared" si="95"/>
        <v>1.5209591836734695</v>
      </c>
      <c r="BJ53" s="10">
        <f t="shared" si="95"/>
        <v>1.5209591836734695</v>
      </c>
      <c r="BK53" s="10">
        <f t="shared" si="95"/>
        <v>1.5209591836734695</v>
      </c>
      <c r="BL53" s="10">
        <f t="shared" si="95"/>
        <v>1.5209591836734695</v>
      </c>
      <c r="BM53" s="10">
        <f t="shared" si="95"/>
        <v>1.5209591836734695</v>
      </c>
      <c r="BN53" s="10">
        <f t="shared" si="95"/>
        <v>1.5209591836734695</v>
      </c>
      <c r="BO53" s="10">
        <f t="shared" ref="BO53:CG53" si="96">2*BO$10*(BO$5+BO$11*BO$6)/(SQRT(2)*BO$7*SIN(BO33))</f>
        <v>1.5209591836734695</v>
      </c>
      <c r="BP53" s="10">
        <f t="shared" si="96"/>
        <v>1.5209591836734695</v>
      </c>
      <c r="BQ53" s="10">
        <f t="shared" si="96"/>
        <v>1.5209591836734695</v>
      </c>
      <c r="BR53" s="10">
        <f t="shared" si="96"/>
        <v>1.5209591836734695</v>
      </c>
      <c r="BS53" s="10">
        <f t="shared" si="96"/>
        <v>1.5209591836734695</v>
      </c>
      <c r="BT53" s="10">
        <f t="shared" si="96"/>
        <v>1.5209591836734695</v>
      </c>
      <c r="BU53" s="10">
        <f t="shared" si="96"/>
        <v>1.5209591836734695</v>
      </c>
      <c r="BV53" s="10">
        <f t="shared" si="96"/>
        <v>1.5209591836734695</v>
      </c>
      <c r="BW53" s="10">
        <f t="shared" si="96"/>
        <v>1.5209591836734695</v>
      </c>
      <c r="BX53" s="10">
        <f t="shared" si="96"/>
        <v>1.5209591836734695</v>
      </c>
      <c r="BY53" s="10">
        <f t="shared" si="96"/>
        <v>1.5209591836734695</v>
      </c>
      <c r="BZ53" s="10">
        <f t="shared" si="96"/>
        <v>1.5209591836734695</v>
      </c>
      <c r="CA53" s="10">
        <f t="shared" si="96"/>
        <v>1.5209591836734695</v>
      </c>
      <c r="CB53" s="10">
        <f t="shared" si="96"/>
        <v>1.5209591836734695</v>
      </c>
      <c r="CC53" s="10">
        <f t="shared" si="96"/>
        <v>1.5209591836734695</v>
      </c>
      <c r="CD53" s="10">
        <f t="shared" si="96"/>
        <v>1.5209591836734695</v>
      </c>
      <c r="CE53" s="10">
        <f t="shared" si="96"/>
        <v>1.5209591836734695</v>
      </c>
      <c r="CF53" s="10">
        <f t="shared" si="96"/>
        <v>1.5209591836734695</v>
      </c>
      <c r="CG53" s="10">
        <f t="shared" si="96"/>
        <v>1.5209591836734695</v>
      </c>
    </row>
    <row r="54" spans="2:89" ht="16.5" customHeight="1">
      <c r="B54" s="10" t="s">
        <v>814</v>
      </c>
      <c r="C54" s="10">
        <f t="shared" ref="C54:AH54" si="97">2*C$10*(C$5+C$11*C$6)/(SQRT(2)*C$7*SIN(C34))</f>
        <v>1.5746128142331075</v>
      </c>
      <c r="D54" s="10">
        <f t="shared" si="97"/>
        <v>1.5746128142331075</v>
      </c>
      <c r="E54" s="10">
        <f t="shared" si="97"/>
        <v>1.5746128142331075</v>
      </c>
      <c r="F54" s="10">
        <f t="shared" si="97"/>
        <v>1.5746128142331075</v>
      </c>
      <c r="G54" s="10">
        <f t="shared" si="97"/>
        <v>1.5746128142331075</v>
      </c>
      <c r="H54" s="10">
        <f t="shared" si="97"/>
        <v>1.5746128142331075</v>
      </c>
      <c r="I54" s="10">
        <f t="shared" si="97"/>
        <v>1.5746128142331075</v>
      </c>
      <c r="J54" s="10">
        <f t="shared" si="97"/>
        <v>1.5746128142331075</v>
      </c>
      <c r="K54" s="10">
        <f t="shared" si="97"/>
        <v>1.5746128142331075</v>
      </c>
      <c r="L54" s="10">
        <f t="shared" si="97"/>
        <v>1.5746128142331075</v>
      </c>
      <c r="M54" s="10">
        <f t="shared" si="97"/>
        <v>1.5746128142331075</v>
      </c>
      <c r="N54" s="10">
        <f t="shared" si="97"/>
        <v>1.5746128142331075</v>
      </c>
      <c r="O54" s="10">
        <f t="shared" si="97"/>
        <v>1.5746128142331075</v>
      </c>
      <c r="P54" s="10">
        <f t="shared" si="97"/>
        <v>1.5746128142331075</v>
      </c>
      <c r="Q54" s="10">
        <f t="shared" si="97"/>
        <v>1.5746128142331075</v>
      </c>
      <c r="R54" s="10">
        <f t="shared" si="97"/>
        <v>1.5746128142331075</v>
      </c>
      <c r="S54" s="10">
        <f t="shared" si="97"/>
        <v>1.5746128142331075</v>
      </c>
      <c r="T54" s="10">
        <f t="shared" si="97"/>
        <v>1.5746128142331075</v>
      </c>
      <c r="U54" s="10">
        <f t="shared" si="97"/>
        <v>1.5746128142331075</v>
      </c>
      <c r="V54" s="10">
        <f t="shared" si="97"/>
        <v>1.5746128142331075</v>
      </c>
      <c r="W54" s="10">
        <f t="shared" si="97"/>
        <v>1.5746128142331075</v>
      </c>
      <c r="X54" s="10">
        <f t="shared" si="97"/>
        <v>1.5746128142331075</v>
      </c>
      <c r="Y54" s="10">
        <f t="shared" si="97"/>
        <v>1.5746128142331075</v>
      </c>
      <c r="Z54" s="10">
        <f t="shared" si="97"/>
        <v>1.5746128142331075</v>
      </c>
      <c r="AA54" s="10">
        <f t="shared" si="97"/>
        <v>1.5746128142331075</v>
      </c>
      <c r="AB54" s="10">
        <f t="shared" si="97"/>
        <v>1.5746128142331075</v>
      </c>
      <c r="AC54" s="10">
        <f t="shared" si="97"/>
        <v>1.5746128142331075</v>
      </c>
      <c r="AD54" s="10">
        <f t="shared" si="97"/>
        <v>1.5746128142331075</v>
      </c>
      <c r="AE54" s="10">
        <f t="shared" si="97"/>
        <v>1.5746128142331075</v>
      </c>
      <c r="AF54" s="10">
        <f t="shared" si="97"/>
        <v>1.5746128142331075</v>
      </c>
      <c r="AG54" s="10">
        <f t="shared" si="97"/>
        <v>1.5746128142331075</v>
      </c>
      <c r="AH54" s="10">
        <f t="shared" si="97"/>
        <v>1.5746128142331075</v>
      </c>
      <c r="AI54" s="10">
        <f t="shared" ref="AI54:BN54" si="98">2*AI$10*(AI$5+AI$11*AI$6)/(SQRT(2)*AI$7*SIN(AI34))</f>
        <v>1.5746128142331075</v>
      </c>
      <c r="AJ54" s="10">
        <f t="shared" si="98"/>
        <v>1.5746128142331075</v>
      </c>
      <c r="AK54" s="10">
        <f t="shared" si="98"/>
        <v>1.5746128142331075</v>
      </c>
      <c r="AL54" s="10">
        <f t="shared" si="98"/>
        <v>1.5746128142331075</v>
      </c>
      <c r="AM54" s="10">
        <f t="shared" si="98"/>
        <v>1.5746128142331075</v>
      </c>
      <c r="AN54" s="10">
        <f t="shared" si="98"/>
        <v>1.5746128142331075</v>
      </c>
      <c r="AO54" s="10">
        <f t="shared" si="98"/>
        <v>1.5746128142331075</v>
      </c>
      <c r="AP54" s="10">
        <f t="shared" si="98"/>
        <v>1.5746128142331075</v>
      </c>
      <c r="AQ54" s="10">
        <f t="shared" si="98"/>
        <v>1.5746128142331075</v>
      </c>
      <c r="AR54" s="10">
        <f t="shared" si="98"/>
        <v>1.5746128142331075</v>
      </c>
      <c r="AS54" s="10">
        <f t="shared" si="98"/>
        <v>1.5746128142331075</v>
      </c>
      <c r="AT54" s="10">
        <f t="shared" si="98"/>
        <v>1.5746128142331075</v>
      </c>
      <c r="AU54" s="10">
        <f t="shared" si="98"/>
        <v>1.5746128142331075</v>
      </c>
      <c r="AV54" s="10">
        <f t="shared" si="98"/>
        <v>1.5746128142331075</v>
      </c>
      <c r="AW54" s="10">
        <f t="shared" si="98"/>
        <v>1.5746128142331075</v>
      </c>
      <c r="AX54" s="10">
        <f t="shared" si="98"/>
        <v>1.5746128142331075</v>
      </c>
      <c r="AY54" s="10">
        <f t="shared" si="98"/>
        <v>1.5746128142331075</v>
      </c>
      <c r="AZ54" s="10">
        <f t="shared" si="98"/>
        <v>1.5746128142331075</v>
      </c>
      <c r="BA54" s="10">
        <f t="shared" si="98"/>
        <v>1.5746128142331075</v>
      </c>
      <c r="BB54" s="10">
        <f t="shared" si="98"/>
        <v>1.5746128142331075</v>
      </c>
      <c r="BC54" s="10">
        <f t="shared" si="98"/>
        <v>1.5746128142331075</v>
      </c>
      <c r="BD54" s="10">
        <f t="shared" si="98"/>
        <v>1.5746128142331075</v>
      </c>
      <c r="BE54" s="10">
        <f t="shared" si="98"/>
        <v>1.5746128142331075</v>
      </c>
      <c r="BF54" s="10">
        <f t="shared" si="98"/>
        <v>1.5746128142331075</v>
      </c>
      <c r="BG54" s="10">
        <f t="shared" si="98"/>
        <v>1.5746128142331075</v>
      </c>
      <c r="BH54" s="10">
        <f t="shared" si="98"/>
        <v>1.5746128142331075</v>
      </c>
      <c r="BI54" s="10">
        <f t="shared" si="98"/>
        <v>1.5746128142331075</v>
      </c>
      <c r="BJ54" s="10">
        <f t="shared" si="98"/>
        <v>1.5746128142331075</v>
      </c>
      <c r="BK54" s="10">
        <f t="shared" si="98"/>
        <v>1.5746128142331075</v>
      </c>
      <c r="BL54" s="10">
        <f t="shared" si="98"/>
        <v>1.5746128142331075</v>
      </c>
      <c r="BM54" s="10">
        <f t="shared" si="98"/>
        <v>1.5746128142331075</v>
      </c>
      <c r="BN54" s="10">
        <f t="shared" si="98"/>
        <v>1.5746128142331075</v>
      </c>
      <c r="BO54" s="10">
        <f t="shared" ref="BO54:CG54" si="99">2*BO$10*(BO$5+BO$11*BO$6)/(SQRT(2)*BO$7*SIN(BO34))</f>
        <v>1.5746128142331075</v>
      </c>
      <c r="BP54" s="10">
        <f t="shared" si="99"/>
        <v>1.5746128142331075</v>
      </c>
      <c r="BQ54" s="10">
        <f t="shared" si="99"/>
        <v>1.5746128142331075</v>
      </c>
      <c r="BR54" s="10">
        <f t="shared" si="99"/>
        <v>1.5746128142331075</v>
      </c>
      <c r="BS54" s="10">
        <f t="shared" si="99"/>
        <v>1.5746128142331075</v>
      </c>
      <c r="BT54" s="10">
        <f t="shared" si="99"/>
        <v>1.5746128142331075</v>
      </c>
      <c r="BU54" s="10">
        <f t="shared" si="99"/>
        <v>1.5746128142331075</v>
      </c>
      <c r="BV54" s="10">
        <f t="shared" si="99"/>
        <v>1.5746128142331075</v>
      </c>
      <c r="BW54" s="10">
        <f t="shared" si="99"/>
        <v>1.5746128142331075</v>
      </c>
      <c r="BX54" s="10">
        <f t="shared" si="99"/>
        <v>1.5746128142331075</v>
      </c>
      <c r="BY54" s="10">
        <f t="shared" si="99"/>
        <v>1.5746128142331075</v>
      </c>
      <c r="BZ54" s="10">
        <f t="shared" si="99"/>
        <v>1.5746128142331075</v>
      </c>
      <c r="CA54" s="10">
        <f t="shared" si="99"/>
        <v>1.5746128142331075</v>
      </c>
      <c r="CB54" s="10">
        <f t="shared" si="99"/>
        <v>1.5746128142331075</v>
      </c>
      <c r="CC54" s="10">
        <f t="shared" si="99"/>
        <v>1.5746128142331075</v>
      </c>
      <c r="CD54" s="10">
        <f t="shared" si="99"/>
        <v>1.5746128142331075</v>
      </c>
      <c r="CE54" s="10">
        <f t="shared" si="99"/>
        <v>1.5746128142331075</v>
      </c>
      <c r="CF54" s="10">
        <f t="shared" si="99"/>
        <v>1.5746128142331075</v>
      </c>
      <c r="CG54" s="10">
        <f t="shared" si="99"/>
        <v>1.5746128142331075</v>
      </c>
    </row>
    <row r="55" spans="2:89" ht="16.5" customHeight="1">
      <c r="B55" s="10" t="s">
        <v>815</v>
      </c>
      <c r="C55" s="10">
        <f t="shared" ref="C55:AH55" si="100">2*C$10*(C$5+C$11*C$6)/(SQRT(2)*C$7*SIN(C35))</f>
        <v>1.7562523882406222</v>
      </c>
      <c r="D55" s="10">
        <f t="shared" si="100"/>
        <v>1.7562523882406222</v>
      </c>
      <c r="E55" s="10">
        <f t="shared" si="100"/>
        <v>1.7562523882406222</v>
      </c>
      <c r="F55" s="10">
        <f t="shared" si="100"/>
        <v>1.7562523882406222</v>
      </c>
      <c r="G55" s="10">
        <f t="shared" si="100"/>
        <v>1.7562523882406222</v>
      </c>
      <c r="H55" s="10">
        <f t="shared" si="100"/>
        <v>1.7562523882406222</v>
      </c>
      <c r="I55" s="10">
        <f t="shared" si="100"/>
        <v>1.7562523882406222</v>
      </c>
      <c r="J55" s="10">
        <f t="shared" si="100"/>
        <v>1.7562523882406222</v>
      </c>
      <c r="K55" s="10">
        <f t="shared" si="100"/>
        <v>1.7562523882406222</v>
      </c>
      <c r="L55" s="10">
        <f t="shared" si="100"/>
        <v>1.7562523882406222</v>
      </c>
      <c r="M55" s="10">
        <f t="shared" si="100"/>
        <v>1.7562523882406222</v>
      </c>
      <c r="N55" s="10">
        <f t="shared" si="100"/>
        <v>1.7562523882406222</v>
      </c>
      <c r="O55" s="10">
        <f t="shared" si="100"/>
        <v>1.7562523882406222</v>
      </c>
      <c r="P55" s="10">
        <f t="shared" si="100"/>
        <v>1.7562523882406222</v>
      </c>
      <c r="Q55" s="10">
        <f t="shared" si="100"/>
        <v>1.7562523882406222</v>
      </c>
      <c r="R55" s="10">
        <f t="shared" si="100"/>
        <v>1.7562523882406222</v>
      </c>
      <c r="S55" s="10">
        <f t="shared" si="100"/>
        <v>1.7562523882406222</v>
      </c>
      <c r="T55" s="10">
        <f t="shared" si="100"/>
        <v>1.7562523882406222</v>
      </c>
      <c r="U55" s="10">
        <f t="shared" si="100"/>
        <v>1.7562523882406222</v>
      </c>
      <c r="V55" s="10">
        <f t="shared" si="100"/>
        <v>1.7562523882406222</v>
      </c>
      <c r="W55" s="10">
        <f t="shared" si="100"/>
        <v>1.7562523882406222</v>
      </c>
      <c r="X55" s="10">
        <f t="shared" si="100"/>
        <v>1.7562523882406222</v>
      </c>
      <c r="Y55" s="10">
        <f t="shared" si="100"/>
        <v>1.7562523882406222</v>
      </c>
      <c r="Z55" s="10">
        <f t="shared" si="100"/>
        <v>1.7562523882406222</v>
      </c>
      <c r="AA55" s="10">
        <f t="shared" si="100"/>
        <v>1.7562523882406222</v>
      </c>
      <c r="AB55" s="10">
        <f t="shared" si="100"/>
        <v>1.7562523882406222</v>
      </c>
      <c r="AC55" s="10">
        <f t="shared" si="100"/>
        <v>1.7562523882406222</v>
      </c>
      <c r="AD55" s="10">
        <f t="shared" si="100"/>
        <v>1.7562523882406222</v>
      </c>
      <c r="AE55" s="10">
        <f t="shared" si="100"/>
        <v>1.7562523882406222</v>
      </c>
      <c r="AF55" s="10">
        <f t="shared" si="100"/>
        <v>1.7562523882406222</v>
      </c>
      <c r="AG55" s="10">
        <f t="shared" si="100"/>
        <v>1.7562523882406222</v>
      </c>
      <c r="AH55" s="10">
        <f t="shared" si="100"/>
        <v>1.7562523882406222</v>
      </c>
      <c r="AI55" s="10">
        <f t="shared" ref="AI55:BN55" si="101">2*AI$10*(AI$5+AI$11*AI$6)/(SQRT(2)*AI$7*SIN(AI35))</f>
        <v>1.7562523882406222</v>
      </c>
      <c r="AJ55" s="10">
        <f t="shared" si="101"/>
        <v>1.7562523882406222</v>
      </c>
      <c r="AK55" s="10">
        <f t="shared" si="101"/>
        <v>1.7562523882406222</v>
      </c>
      <c r="AL55" s="10">
        <f t="shared" si="101"/>
        <v>1.7562523882406222</v>
      </c>
      <c r="AM55" s="10">
        <f t="shared" si="101"/>
        <v>1.7562523882406222</v>
      </c>
      <c r="AN55" s="10">
        <f t="shared" si="101"/>
        <v>1.7562523882406222</v>
      </c>
      <c r="AO55" s="10">
        <f t="shared" si="101"/>
        <v>1.7562523882406222</v>
      </c>
      <c r="AP55" s="10">
        <f t="shared" si="101"/>
        <v>1.7562523882406222</v>
      </c>
      <c r="AQ55" s="10">
        <f t="shared" si="101"/>
        <v>1.7562523882406222</v>
      </c>
      <c r="AR55" s="10">
        <f t="shared" si="101"/>
        <v>1.7562523882406222</v>
      </c>
      <c r="AS55" s="10">
        <f t="shared" si="101"/>
        <v>1.7562523882406222</v>
      </c>
      <c r="AT55" s="10">
        <f t="shared" si="101"/>
        <v>1.7562523882406222</v>
      </c>
      <c r="AU55" s="10">
        <f t="shared" si="101"/>
        <v>1.7562523882406222</v>
      </c>
      <c r="AV55" s="10">
        <f t="shared" si="101"/>
        <v>1.7562523882406222</v>
      </c>
      <c r="AW55" s="10">
        <f t="shared" si="101"/>
        <v>1.7562523882406222</v>
      </c>
      <c r="AX55" s="10">
        <f t="shared" si="101"/>
        <v>1.7562523882406222</v>
      </c>
      <c r="AY55" s="10">
        <f t="shared" si="101"/>
        <v>1.7562523882406222</v>
      </c>
      <c r="AZ55" s="10">
        <f t="shared" si="101"/>
        <v>1.7562523882406222</v>
      </c>
      <c r="BA55" s="10">
        <f t="shared" si="101"/>
        <v>1.7562523882406222</v>
      </c>
      <c r="BB55" s="10">
        <f t="shared" si="101"/>
        <v>1.7562523882406222</v>
      </c>
      <c r="BC55" s="10">
        <f t="shared" si="101"/>
        <v>1.7562523882406222</v>
      </c>
      <c r="BD55" s="10">
        <f t="shared" si="101"/>
        <v>1.7562523882406222</v>
      </c>
      <c r="BE55" s="10">
        <f t="shared" si="101"/>
        <v>1.7562523882406222</v>
      </c>
      <c r="BF55" s="10">
        <f t="shared" si="101"/>
        <v>1.7562523882406222</v>
      </c>
      <c r="BG55" s="10">
        <f t="shared" si="101"/>
        <v>1.7562523882406222</v>
      </c>
      <c r="BH55" s="10">
        <f t="shared" si="101"/>
        <v>1.7562523882406222</v>
      </c>
      <c r="BI55" s="10">
        <f t="shared" si="101"/>
        <v>1.7562523882406222</v>
      </c>
      <c r="BJ55" s="10">
        <f t="shared" si="101"/>
        <v>1.7562523882406222</v>
      </c>
      <c r="BK55" s="10">
        <f t="shared" si="101"/>
        <v>1.7562523882406222</v>
      </c>
      <c r="BL55" s="10">
        <f t="shared" si="101"/>
        <v>1.7562523882406222</v>
      </c>
      <c r="BM55" s="10">
        <f t="shared" si="101"/>
        <v>1.7562523882406222</v>
      </c>
      <c r="BN55" s="10">
        <f t="shared" si="101"/>
        <v>1.7562523882406222</v>
      </c>
      <c r="BO55" s="10">
        <f t="shared" ref="BO55:CG55" si="102">2*BO$10*(BO$5+BO$11*BO$6)/(SQRT(2)*BO$7*SIN(BO35))</f>
        <v>1.7562523882406222</v>
      </c>
      <c r="BP55" s="10">
        <f t="shared" si="102"/>
        <v>1.7562523882406222</v>
      </c>
      <c r="BQ55" s="10">
        <f t="shared" si="102"/>
        <v>1.7562523882406222</v>
      </c>
      <c r="BR55" s="10">
        <f t="shared" si="102"/>
        <v>1.7562523882406222</v>
      </c>
      <c r="BS55" s="10">
        <f t="shared" si="102"/>
        <v>1.7562523882406222</v>
      </c>
      <c r="BT55" s="10">
        <f t="shared" si="102"/>
        <v>1.7562523882406222</v>
      </c>
      <c r="BU55" s="10">
        <f t="shared" si="102"/>
        <v>1.7562523882406222</v>
      </c>
      <c r="BV55" s="10">
        <f t="shared" si="102"/>
        <v>1.7562523882406222</v>
      </c>
      <c r="BW55" s="10">
        <f t="shared" si="102"/>
        <v>1.7562523882406222</v>
      </c>
      <c r="BX55" s="10">
        <f t="shared" si="102"/>
        <v>1.7562523882406222</v>
      </c>
      <c r="BY55" s="10">
        <f t="shared" si="102"/>
        <v>1.7562523882406222</v>
      </c>
      <c r="BZ55" s="10">
        <f t="shared" si="102"/>
        <v>1.7562523882406222</v>
      </c>
      <c r="CA55" s="10">
        <f t="shared" si="102"/>
        <v>1.7562523882406222</v>
      </c>
      <c r="CB55" s="10">
        <f t="shared" si="102"/>
        <v>1.7562523882406222</v>
      </c>
      <c r="CC55" s="10">
        <f t="shared" si="102"/>
        <v>1.7562523882406222</v>
      </c>
      <c r="CD55" s="10">
        <f t="shared" si="102"/>
        <v>1.7562523882406222</v>
      </c>
      <c r="CE55" s="10">
        <f t="shared" si="102"/>
        <v>1.7562523882406222</v>
      </c>
      <c r="CF55" s="10">
        <f t="shared" si="102"/>
        <v>1.7562523882406222</v>
      </c>
      <c r="CG55" s="10">
        <f t="shared" si="102"/>
        <v>1.7562523882406222</v>
      </c>
    </row>
    <row r="56" spans="2:89" ht="16.5" customHeight="1">
      <c r="B56" s="10" t="s">
        <v>816</v>
      </c>
      <c r="C56" s="10">
        <f t="shared" ref="C56:AH56" si="103">2*C$10*(C$5+C$11*C$6)/(SQRT(2)*C$7*SIN(C36))</f>
        <v>2.1509611053669317</v>
      </c>
      <c r="D56" s="10">
        <f t="shared" si="103"/>
        <v>2.1509611053669317</v>
      </c>
      <c r="E56" s="10">
        <f t="shared" si="103"/>
        <v>2.1509611053669317</v>
      </c>
      <c r="F56" s="10">
        <f t="shared" si="103"/>
        <v>2.1509611053669317</v>
      </c>
      <c r="G56" s="10">
        <f t="shared" si="103"/>
        <v>2.1509611053669317</v>
      </c>
      <c r="H56" s="10">
        <f t="shared" si="103"/>
        <v>2.1509611053669317</v>
      </c>
      <c r="I56" s="10">
        <f t="shared" si="103"/>
        <v>2.1509611053669317</v>
      </c>
      <c r="J56" s="10">
        <f t="shared" si="103"/>
        <v>2.1509611053669317</v>
      </c>
      <c r="K56" s="10">
        <f t="shared" si="103"/>
        <v>2.1509611053669317</v>
      </c>
      <c r="L56" s="10">
        <f t="shared" si="103"/>
        <v>2.1509611053669317</v>
      </c>
      <c r="M56" s="10">
        <f t="shared" si="103"/>
        <v>2.1509611053669317</v>
      </c>
      <c r="N56" s="10">
        <f t="shared" si="103"/>
        <v>2.1509611053669317</v>
      </c>
      <c r="O56" s="10">
        <f t="shared" si="103"/>
        <v>2.1509611053669317</v>
      </c>
      <c r="P56" s="10">
        <f t="shared" si="103"/>
        <v>2.1509611053669317</v>
      </c>
      <c r="Q56" s="10">
        <f t="shared" si="103"/>
        <v>2.1509611053669317</v>
      </c>
      <c r="R56" s="10">
        <f t="shared" si="103"/>
        <v>2.1509611053669317</v>
      </c>
      <c r="S56" s="10">
        <f t="shared" si="103"/>
        <v>2.1509611053669317</v>
      </c>
      <c r="T56" s="10">
        <f t="shared" si="103"/>
        <v>2.1509611053669317</v>
      </c>
      <c r="U56" s="10">
        <f t="shared" si="103"/>
        <v>2.1509611053669317</v>
      </c>
      <c r="V56" s="10">
        <f t="shared" si="103"/>
        <v>2.1509611053669317</v>
      </c>
      <c r="W56" s="10">
        <f t="shared" si="103"/>
        <v>2.1509611053669317</v>
      </c>
      <c r="X56" s="10">
        <f t="shared" si="103"/>
        <v>2.1509611053669317</v>
      </c>
      <c r="Y56" s="10">
        <f t="shared" si="103"/>
        <v>2.1509611053669317</v>
      </c>
      <c r="Z56" s="10">
        <f t="shared" si="103"/>
        <v>2.1509611053669317</v>
      </c>
      <c r="AA56" s="10">
        <f t="shared" si="103"/>
        <v>2.1509611053669317</v>
      </c>
      <c r="AB56" s="10">
        <f t="shared" si="103"/>
        <v>2.1509611053669317</v>
      </c>
      <c r="AC56" s="10">
        <f t="shared" si="103"/>
        <v>2.1509611053669317</v>
      </c>
      <c r="AD56" s="10">
        <f t="shared" si="103"/>
        <v>2.1509611053669317</v>
      </c>
      <c r="AE56" s="10">
        <f t="shared" si="103"/>
        <v>2.1509611053669317</v>
      </c>
      <c r="AF56" s="10">
        <f t="shared" si="103"/>
        <v>2.1509611053669317</v>
      </c>
      <c r="AG56" s="10">
        <f t="shared" si="103"/>
        <v>2.1509611053669317</v>
      </c>
      <c r="AH56" s="10">
        <f t="shared" si="103"/>
        <v>2.1509611053669317</v>
      </c>
      <c r="AI56" s="10">
        <f t="shared" ref="AI56:BN56" si="104">2*AI$10*(AI$5+AI$11*AI$6)/(SQRT(2)*AI$7*SIN(AI36))</f>
        <v>2.1509611053669317</v>
      </c>
      <c r="AJ56" s="10">
        <f t="shared" si="104"/>
        <v>2.1509611053669317</v>
      </c>
      <c r="AK56" s="10">
        <f t="shared" si="104"/>
        <v>2.1509611053669317</v>
      </c>
      <c r="AL56" s="10">
        <f t="shared" si="104"/>
        <v>2.1509611053669317</v>
      </c>
      <c r="AM56" s="10">
        <f t="shared" si="104"/>
        <v>2.1509611053669317</v>
      </c>
      <c r="AN56" s="10">
        <f t="shared" si="104"/>
        <v>2.1509611053669317</v>
      </c>
      <c r="AO56" s="10">
        <f t="shared" si="104"/>
        <v>2.1509611053669317</v>
      </c>
      <c r="AP56" s="10">
        <f t="shared" si="104"/>
        <v>2.1509611053669317</v>
      </c>
      <c r="AQ56" s="10">
        <f t="shared" si="104"/>
        <v>2.1509611053669317</v>
      </c>
      <c r="AR56" s="10">
        <f t="shared" si="104"/>
        <v>2.1509611053669317</v>
      </c>
      <c r="AS56" s="10">
        <f t="shared" si="104"/>
        <v>2.1509611053669317</v>
      </c>
      <c r="AT56" s="10">
        <f t="shared" si="104"/>
        <v>2.1509611053669317</v>
      </c>
      <c r="AU56" s="10">
        <f t="shared" si="104"/>
        <v>2.1509611053669317</v>
      </c>
      <c r="AV56" s="10">
        <f t="shared" si="104"/>
        <v>2.1509611053669317</v>
      </c>
      <c r="AW56" s="10">
        <f t="shared" si="104"/>
        <v>2.1509611053669317</v>
      </c>
      <c r="AX56" s="10">
        <f t="shared" si="104"/>
        <v>2.1509611053669317</v>
      </c>
      <c r="AY56" s="10">
        <f t="shared" si="104"/>
        <v>2.1509611053669317</v>
      </c>
      <c r="AZ56" s="10">
        <f t="shared" si="104"/>
        <v>2.1509611053669317</v>
      </c>
      <c r="BA56" s="10">
        <f t="shared" si="104"/>
        <v>2.1509611053669317</v>
      </c>
      <c r="BB56" s="10">
        <f t="shared" si="104"/>
        <v>2.1509611053669317</v>
      </c>
      <c r="BC56" s="10">
        <f t="shared" si="104"/>
        <v>2.1509611053669317</v>
      </c>
      <c r="BD56" s="10">
        <f t="shared" si="104"/>
        <v>2.1509611053669317</v>
      </c>
      <c r="BE56" s="10">
        <f t="shared" si="104"/>
        <v>2.1509611053669317</v>
      </c>
      <c r="BF56" s="10">
        <f t="shared" si="104"/>
        <v>2.1509611053669317</v>
      </c>
      <c r="BG56" s="10">
        <f t="shared" si="104"/>
        <v>2.1509611053669317</v>
      </c>
      <c r="BH56" s="10">
        <f t="shared" si="104"/>
        <v>2.1509611053669317</v>
      </c>
      <c r="BI56" s="10">
        <f t="shared" si="104"/>
        <v>2.1509611053669317</v>
      </c>
      <c r="BJ56" s="10">
        <f t="shared" si="104"/>
        <v>2.1509611053669317</v>
      </c>
      <c r="BK56" s="10">
        <f t="shared" si="104"/>
        <v>2.1509611053669317</v>
      </c>
      <c r="BL56" s="10">
        <f t="shared" si="104"/>
        <v>2.1509611053669317</v>
      </c>
      <c r="BM56" s="10">
        <f t="shared" si="104"/>
        <v>2.1509611053669317</v>
      </c>
      <c r="BN56" s="10">
        <f t="shared" si="104"/>
        <v>2.1509611053669317</v>
      </c>
      <c r="BO56" s="10">
        <f t="shared" ref="BO56:CG56" si="105">2*BO$10*(BO$5+BO$11*BO$6)/(SQRT(2)*BO$7*SIN(BO36))</f>
        <v>2.1509611053669317</v>
      </c>
      <c r="BP56" s="10">
        <f t="shared" si="105"/>
        <v>2.1509611053669317</v>
      </c>
      <c r="BQ56" s="10">
        <f t="shared" si="105"/>
        <v>2.1509611053669317</v>
      </c>
      <c r="BR56" s="10">
        <f t="shared" si="105"/>
        <v>2.1509611053669317</v>
      </c>
      <c r="BS56" s="10">
        <f t="shared" si="105"/>
        <v>2.1509611053669317</v>
      </c>
      <c r="BT56" s="10">
        <f t="shared" si="105"/>
        <v>2.1509611053669317</v>
      </c>
      <c r="BU56" s="10">
        <f t="shared" si="105"/>
        <v>2.1509611053669317</v>
      </c>
      <c r="BV56" s="10">
        <f t="shared" si="105"/>
        <v>2.1509611053669317</v>
      </c>
      <c r="BW56" s="10">
        <f t="shared" si="105"/>
        <v>2.1509611053669317</v>
      </c>
      <c r="BX56" s="10">
        <f t="shared" si="105"/>
        <v>2.1509611053669317</v>
      </c>
      <c r="BY56" s="10">
        <f t="shared" si="105"/>
        <v>2.1509611053669317</v>
      </c>
      <c r="BZ56" s="10">
        <f t="shared" si="105"/>
        <v>2.1509611053669317</v>
      </c>
      <c r="CA56" s="10">
        <f t="shared" si="105"/>
        <v>2.1509611053669317</v>
      </c>
      <c r="CB56" s="10">
        <f t="shared" si="105"/>
        <v>2.1509611053669317</v>
      </c>
      <c r="CC56" s="10">
        <f t="shared" si="105"/>
        <v>2.1509611053669317</v>
      </c>
      <c r="CD56" s="10">
        <f t="shared" si="105"/>
        <v>2.1509611053669317</v>
      </c>
      <c r="CE56" s="10">
        <f t="shared" si="105"/>
        <v>2.1509611053669317</v>
      </c>
      <c r="CF56" s="10">
        <f t="shared" si="105"/>
        <v>2.1509611053669317</v>
      </c>
      <c r="CG56" s="10">
        <f t="shared" si="105"/>
        <v>2.1509611053669317</v>
      </c>
    </row>
    <row r="57" spans="2:89" ht="16.5" customHeight="1">
      <c r="B57" s="10" t="s">
        <v>817</v>
      </c>
      <c r="C57" s="10">
        <f t="shared" ref="C57:AH57" si="106">2*C$10*(C$5+C$11*C$6)/(SQRT(2)*C$7*SIN(C37))</f>
        <v>3.0419183673469394</v>
      </c>
      <c r="D57" s="10">
        <f t="shared" si="106"/>
        <v>3.0419183673469394</v>
      </c>
      <c r="E57" s="10">
        <f t="shared" si="106"/>
        <v>3.0419183673469394</v>
      </c>
      <c r="F57" s="10">
        <f t="shared" si="106"/>
        <v>3.0419183673469394</v>
      </c>
      <c r="G57" s="10">
        <f t="shared" si="106"/>
        <v>3.0419183673469394</v>
      </c>
      <c r="H57" s="10">
        <f t="shared" si="106"/>
        <v>3.0419183673469394</v>
      </c>
      <c r="I57" s="10">
        <f t="shared" si="106"/>
        <v>3.0419183673469394</v>
      </c>
      <c r="J57" s="10">
        <f t="shared" si="106"/>
        <v>3.0419183673469394</v>
      </c>
      <c r="K57" s="10">
        <f t="shared" si="106"/>
        <v>3.0419183673469394</v>
      </c>
      <c r="L57" s="10">
        <f t="shared" si="106"/>
        <v>3.0419183673469394</v>
      </c>
      <c r="M57" s="10">
        <f t="shared" si="106"/>
        <v>3.0419183673469394</v>
      </c>
      <c r="N57" s="10">
        <f t="shared" si="106"/>
        <v>3.0419183673469394</v>
      </c>
      <c r="O57" s="10">
        <f t="shared" si="106"/>
        <v>3.0419183673469394</v>
      </c>
      <c r="P57" s="10">
        <f t="shared" si="106"/>
        <v>3.0419183673469394</v>
      </c>
      <c r="Q57" s="10">
        <f t="shared" si="106"/>
        <v>3.0419183673469394</v>
      </c>
      <c r="R57" s="10">
        <f t="shared" si="106"/>
        <v>3.0419183673469394</v>
      </c>
      <c r="S57" s="10">
        <f t="shared" si="106"/>
        <v>3.0419183673469394</v>
      </c>
      <c r="T57" s="10">
        <f t="shared" si="106"/>
        <v>3.0419183673469394</v>
      </c>
      <c r="U57" s="10">
        <f t="shared" si="106"/>
        <v>3.0419183673469394</v>
      </c>
      <c r="V57" s="10">
        <f t="shared" si="106"/>
        <v>3.0419183673469394</v>
      </c>
      <c r="W57" s="10">
        <f t="shared" si="106"/>
        <v>3.0419183673469394</v>
      </c>
      <c r="X57" s="10">
        <f t="shared" si="106"/>
        <v>3.0419183673469394</v>
      </c>
      <c r="Y57" s="10">
        <f t="shared" si="106"/>
        <v>3.0419183673469394</v>
      </c>
      <c r="Z57" s="10">
        <f t="shared" si="106"/>
        <v>3.0419183673469394</v>
      </c>
      <c r="AA57" s="10">
        <f t="shared" si="106"/>
        <v>3.0419183673469394</v>
      </c>
      <c r="AB57" s="10">
        <f t="shared" si="106"/>
        <v>3.0419183673469394</v>
      </c>
      <c r="AC57" s="10">
        <f t="shared" si="106"/>
        <v>3.0419183673469394</v>
      </c>
      <c r="AD57" s="10">
        <f t="shared" si="106"/>
        <v>3.0419183673469394</v>
      </c>
      <c r="AE57" s="10">
        <f t="shared" si="106"/>
        <v>3.0419183673469394</v>
      </c>
      <c r="AF57" s="10">
        <f t="shared" si="106"/>
        <v>3.0419183673469394</v>
      </c>
      <c r="AG57" s="10">
        <f t="shared" si="106"/>
        <v>3.0419183673469394</v>
      </c>
      <c r="AH57" s="10">
        <f t="shared" si="106"/>
        <v>3.0419183673469394</v>
      </c>
      <c r="AI57" s="10">
        <f t="shared" ref="AI57:BN57" si="107">2*AI$10*(AI$5+AI$11*AI$6)/(SQRT(2)*AI$7*SIN(AI37))</f>
        <v>3.0419183673469394</v>
      </c>
      <c r="AJ57" s="10">
        <f t="shared" si="107"/>
        <v>3.0419183673469394</v>
      </c>
      <c r="AK57" s="10">
        <f t="shared" si="107"/>
        <v>3.0419183673469394</v>
      </c>
      <c r="AL57" s="10">
        <f t="shared" si="107"/>
        <v>3.0419183673469394</v>
      </c>
      <c r="AM57" s="10">
        <f t="shared" si="107"/>
        <v>3.0419183673469394</v>
      </c>
      <c r="AN57" s="10">
        <f t="shared" si="107"/>
        <v>3.0419183673469394</v>
      </c>
      <c r="AO57" s="10">
        <f t="shared" si="107"/>
        <v>3.0419183673469394</v>
      </c>
      <c r="AP57" s="10">
        <f t="shared" si="107"/>
        <v>3.0419183673469394</v>
      </c>
      <c r="AQ57" s="10">
        <f t="shared" si="107"/>
        <v>3.0419183673469394</v>
      </c>
      <c r="AR57" s="10">
        <f t="shared" si="107"/>
        <v>3.0419183673469394</v>
      </c>
      <c r="AS57" s="10">
        <f t="shared" si="107"/>
        <v>3.0419183673469394</v>
      </c>
      <c r="AT57" s="10">
        <f t="shared" si="107"/>
        <v>3.0419183673469394</v>
      </c>
      <c r="AU57" s="10">
        <f t="shared" si="107"/>
        <v>3.0419183673469394</v>
      </c>
      <c r="AV57" s="10">
        <f t="shared" si="107"/>
        <v>3.0419183673469394</v>
      </c>
      <c r="AW57" s="10">
        <f t="shared" si="107"/>
        <v>3.0419183673469394</v>
      </c>
      <c r="AX57" s="10">
        <f t="shared" si="107"/>
        <v>3.0419183673469394</v>
      </c>
      <c r="AY57" s="10">
        <f t="shared" si="107"/>
        <v>3.0419183673469394</v>
      </c>
      <c r="AZ57" s="10">
        <f t="shared" si="107"/>
        <v>3.0419183673469394</v>
      </c>
      <c r="BA57" s="10">
        <f t="shared" si="107"/>
        <v>3.0419183673469394</v>
      </c>
      <c r="BB57" s="10">
        <f t="shared" si="107"/>
        <v>3.0419183673469394</v>
      </c>
      <c r="BC57" s="10">
        <f t="shared" si="107"/>
        <v>3.0419183673469394</v>
      </c>
      <c r="BD57" s="10">
        <f t="shared" si="107"/>
        <v>3.0419183673469394</v>
      </c>
      <c r="BE57" s="10">
        <f t="shared" si="107"/>
        <v>3.0419183673469394</v>
      </c>
      <c r="BF57" s="10">
        <f t="shared" si="107"/>
        <v>3.0419183673469394</v>
      </c>
      <c r="BG57" s="10">
        <f t="shared" si="107"/>
        <v>3.0419183673469394</v>
      </c>
      <c r="BH57" s="10">
        <f t="shared" si="107"/>
        <v>3.0419183673469394</v>
      </c>
      <c r="BI57" s="10">
        <f t="shared" si="107"/>
        <v>3.0419183673469394</v>
      </c>
      <c r="BJ57" s="10">
        <f t="shared" si="107"/>
        <v>3.0419183673469394</v>
      </c>
      <c r="BK57" s="10">
        <f t="shared" si="107"/>
        <v>3.0419183673469394</v>
      </c>
      <c r="BL57" s="10">
        <f t="shared" si="107"/>
        <v>3.0419183673469394</v>
      </c>
      <c r="BM57" s="10">
        <f t="shared" si="107"/>
        <v>3.0419183673469394</v>
      </c>
      <c r="BN57" s="10">
        <f t="shared" si="107"/>
        <v>3.0419183673469394</v>
      </c>
      <c r="BO57" s="10">
        <f t="shared" ref="BO57:CG57" si="108">2*BO$10*(BO$5+BO$11*BO$6)/(SQRT(2)*BO$7*SIN(BO37))</f>
        <v>3.0419183673469394</v>
      </c>
      <c r="BP57" s="10">
        <f t="shared" si="108"/>
        <v>3.0419183673469394</v>
      </c>
      <c r="BQ57" s="10">
        <f t="shared" si="108"/>
        <v>3.0419183673469394</v>
      </c>
      <c r="BR57" s="10">
        <f t="shared" si="108"/>
        <v>3.0419183673469394</v>
      </c>
      <c r="BS57" s="10">
        <f t="shared" si="108"/>
        <v>3.0419183673469394</v>
      </c>
      <c r="BT57" s="10">
        <f t="shared" si="108"/>
        <v>3.0419183673469394</v>
      </c>
      <c r="BU57" s="10">
        <f t="shared" si="108"/>
        <v>3.0419183673469394</v>
      </c>
      <c r="BV57" s="10">
        <f t="shared" si="108"/>
        <v>3.0419183673469394</v>
      </c>
      <c r="BW57" s="10">
        <f t="shared" si="108"/>
        <v>3.0419183673469394</v>
      </c>
      <c r="BX57" s="10">
        <f t="shared" si="108"/>
        <v>3.0419183673469394</v>
      </c>
      <c r="BY57" s="10">
        <f t="shared" si="108"/>
        <v>3.0419183673469394</v>
      </c>
      <c r="BZ57" s="10">
        <f t="shared" si="108"/>
        <v>3.0419183673469394</v>
      </c>
      <c r="CA57" s="10">
        <f t="shared" si="108"/>
        <v>3.0419183673469394</v>
      </c>
      <c r="CB57" s="10">
        <f t="shared" si="108"/>
        <v>3.0419183673469394</v>
      </c>
      <c r="CC57" s="10">
        <f t="shared" si="108"/>
        <v>3.0419183673469394</v>
      </c>
      <c r="CD57" s="10">
        <f t="shared" si="108"/>
        <v>3.0419183673469394</v>
      </c>
      <c r="CE57" s="10">
        <f t="shared" si="108"/>
        <v>3.0419183673469394</v>
      </c>
      <c r="CF57" s="10">
        <f t="shared" si="108"/>
        <v>3.0419183673469394</v>
      </c>
      <c r="CG57" s="10">
        <f t="shared" si="108"/>
        <v>3.0419183673469394</v>
      </c>
    </row>
    <row r="58" spans="2:89" ht="16.5" customHeight="1">
      <c r="B58" s="10" t="s">
        <v>818</v>
      </c>
      <c r="C58" s="10">
        <f t="shared" ref="C58:AH58" si="109">2*C$10*(C$5+C$11*C$6)/(SQRT(2)*C$7*SIN(C38))</f>
        <v>5.8765350249669712</v>
      </c>
      <c r="D58" s="10">
        <f t="shared" si="109"/>
        <v>5.8765350249669712</v>
      </c>
      <c r="E58" s="10">
        <f t="shared" si="109"/>
        <v>5.8765350249669712</v>
      </c>
      <c r="F58" s="10">
        <f t="shared" si="109"/>
        <v>5.8765350249669712</v>
      </c>
      <c r="G58" s="10">
        <f t="shared" si="109"/>
        <v>5.8765350249669712</v>
      </c>
      <c r="H58" s="10">
        <f t="shared" si="109"/>
        <v>5.8765350249669712</v>
      </c>
      <c r="I58" s="10">
        <f t="shared" si="109"/>
        <v>5.8765350249669712</v>
      </c>
      <c r="J58" s="10">
        <f t="shared" si="109"/>
        <v>5.8765350249669712</v>
      </c>
      <c r="K58" s="10">
        <f t="shared" si="109"/>
        <v>5.8765350249669712</v>
      </c>
      <c r="L58" s="10">
        <f t="shared" si="109"/>
        <v>5.8765350249669712</v>
      </c>
      <c r="M58" s="10">
        <f t="shared" si="109"/>
        <v>5.8765350249669712</v>
      </c>
      <c r="N58" s="10">
        <f t="shared" si="109"/>
        <v>5.8765350249669712</v>
      </c>
      <c r="O58" s="10">
        <f t="shared" si="109"/>
        <v>5.8765350249669712</v>
      </c>
      <c r="P58" s="10">
        <f t="shared" si="109"/>
        <v>5.8765350249669712</v>
      </c>
      <c r="Q58" s="10">
        <f t="shared" si="109"/>
        <v>5.8765350249669712</v>
      </c>
      <c r="R58" s="10">
        <f t="shared" si="109"/>
        <v>5.8765350249669712</v>
      </c>
      <c r="S58" s="10">
        <f t="shared" si="109"/>
        <v>5.8765350249669712</v>
      </c>
      <c r="T58" s="10">
        <f t="shared" si="109"/>
        <v>5.8765350249669712</v>
      </c>
      <c r="U58" s="10">
        <f t="shared" si="109"/>
        <v>5.8765350249669712</v>
      </c>
      <c r="V58" s="10">
        <f t="shared" si="109"/>
        <v>5.8765350249669712</v>
      </c>
      <c r="W58" s="10">
        <f t="shared" si="109"/>
        <v>5.8765350249669712</v>
      </c>
      <c r="X58" s="10">
        <f t="shared" si="109"/>
        <v>5.8765350249669712</v>
      </c>
      <c r="Y58" s="10">
        <f t="shared" si="109"/>
        <v>5.8765350249669712</v>
      </c>
      <c r="Z58" s="10">
        <f t="shared" si="109"/>
        <v>5.8765350249669712</v>
      </c>
      <c r="AA58" s="10">
        <f t="shared" si="109"/>
        <v>5.8765350249669712</v>
      </c>
      <c r="AB58" s="10">
        <f t="shared" si="109"/>
        <v>5.8765350249669712</v>
      </c>
      <c r="AC58" s="10">
        <f t="shared" si="109"/>
        <v>5.8765350249669712</v>
      </c>
      <c r="AD58" s="10">
        <f t="shared" si="109"/>
        <v>5.8765350249669712</v>
      </c>
      <c r="AE58" s="10">
        <f t="shared" si="109"/>
        <v>5.8765350249669712</v>
      </c>
      <c r="AF58" s="10">
        <f t="shared" si="109"/>
        <v>5.8765350249669712</v>
      </c>
      <c r="AG58" s="10">
        <f t="shared" si="109"/>
        <v>5.8765350249669712</v>
      </c>
      <c r="AH58" s="10">
        <f t="shared" si="109"/>
        <v>5.8765350249669712</v>
      </c>
      <c r="AI58" s="10">
        <f t="shared" ref="AI58:BN58" si="110">2*AI$10*(AI$5+AI$11*AI$6)/(SQRT(2)*AI$7*SIN(AI38))</f>
        <v>5.8765350249669712</v>
      </c>
      <c r="AJ58" s="10">
        <f t="shared" si="110"/>
        <v>5.8765350249669712</v>
      </c>
      <c r="AK58" s="10">
        <f t="shared" si="110"/>
        <v>5.8765350249669712</v>
      </c>
      <c r="AL58" s="10">
        <f t="shared" si="110"/>
        <v>5.8765350249669712</v>
      </c>
      <c r="AM58" s="10">
        <f t="shared" si="110"/>
        <v>5.8765350249669712</v>
      </c>
      <c r="AN58" s="10">
        <f t="shared" si="110"/>
        <v>5.8765350249669712</v>
      </c>
      <c r="AO58" s="10">
        <f t="shared" si="110"/>
        <v>5.8765350249669712</v>
      </c>
      <c r="AP58" s="10">
        <f t="shared" si="110"/>
        <v>5.8765350249669712</v>
      </c>
      <c r="AQ58" s="10">
        <f t="shared" si="110"/>
        <v>5.8765350249669712</v>
      </c>
      <c r="AR58" s="10">
        <f t="shared" si="110"/>
        <v>5.8765350249669712</v>
      </c>
      <c r="AS58" s="10">
        <f t="shared" si="110"/>
        <v>5.8765350249669712</v>
      </c>
      <c r="AT58" s="10">
        <f t="shared" si="110"/>
        <v>5.8765350249669712</v>
      </c>
      <c r="AU58" s="10">
        <f t="shared" si="110"/>
        <v>5.8765350249669712</v>
      </c>
      <c r="AV58" s="10">
        <f t="shared" si="110"/>
        <v>5.8765350249669712</v>
      </c>
      <c r="AW58" s="10">
        <f t="shared" si="110"/>
        <v>5.8765350249669712</v>
      </c>
      <c r="AX58" s="10">
        <f t="shared" si="110"/>
        <v>5.8765350249669712</v>
      </c>
      <c r="AY58" s="10">
        <f t="shared" si="110"/>
        <v>5.8765350249669712</v>
      </c>
      <c r="AZ58" s="10">
        <f t="shared" si="110"/>
        <v>5.8765350249669712</v>
      </c>
      <c r="BA58" s="10">
        <f t="shared" si="110"/>
        <v>5.8765350249669712</v>
      </c>
      <c r="BB58" s="10">
        <f t="shared" si="110"/>
        <v>5.8765350249669712</v>
      </c>
      <c r="BC58" s="10">
        <f t="shared" si="110"/>
        <v>5.8765350249669712</v>
      </c>
      <c r="BD58" s="10">
        <f t="shared" si="110"/>
        <v>5.8765350249669712</v>
      </c>
      <c r="BE58" s="10">
        <f t="shared" si="110"/>
        <v>5.8765350249669712</v>
      </c>
      <c r="BF58" s="10">
        <f t="shared" si="110"/>
        <v>5.8765350249669712</v>
      </c>
      <c r="BG58" s="10">
        <f t="shared" si="110"/>
        <v>5.8765350249669712</v>
      </c>
      <c r="BH58" s="10">
        <f t="shared" si="110"/>
        <v>5.8765350249669712</v>
      </c>
      <c r="BI58" s="10">
        <f t="shared" si="110"/>
        <v>5.8765350249669712</v>
      </c>
      <c r="BJ58" s="10">
        <f t="shared" si="110"/>
        <v>5.8765350249669712</v>
      </c>
      <c r="BK58" s="10">
        <f t="shared" si="110"/>
        <v>5.8765350249669712</v>
      </c>
      <c r="BL58" s="10">
        <f t="shared" si="110"/>
        <v>5.8765350249669712</v>
      </c>
      <c r="BM58" s="10">
        <f t="shared" si="110"/>
        <v>5.8765350249669712</v>
      </c>
      <c r="BN58" s="10">
        <f t="shared" si="110"/>
        <v>5.8765350249669712</v>
      </c>
      <c r="BO58" s="10">
        <f t="shared" ref="BO58:CG58" si="111">2*BO$10*(BO$5+BO$11*BO$6)/(SQRT(2)*BO$7*SIN(BO38))</f>
        <v>5.8765350249669712</v>
      </c>
      <c r="BP58" s="10">
        <f t="shared" si="111"/>
        <v>5.8765350249669712</v>
      </c>
      <c r="BQ58" s="10">
        <f t="shared" si="111"/>
        <v>5.8765350249669712</v>
      </c>
      <c r="BR58" s="10">
        <f t="shared" si="111"/>
        <v>5.8765350249669712</v>
      </c>
      <c r="BS58" s="10">
        <f t="shared" si="111"/>
        <v>5.8765350249669712</v>
      </c>
      <c r="BT58" s="10">
        <f t="shared" si="111"/>
        <v>5.8765350249669712</v>
      </c>
      <c r="BU58" s="10">
        <f t="shared" si="111"/>
        <v>5.8765350249669712</v>
      </c>
      <c r="BV58" s="10">
        <f t="shared" si="111"/>
        <v>5.8765350249669712</v>
      </c>
      <c r="BW58" s="10">
        <f t="shared" si="111"/>
        <v>5.8765350249669712</v>
      </c>
      <c r="BX58" s="10">
        <f t="shared" si="111"/>
        <v>5.8765350249669712</v>
      </c>
      <c r="BY58" s="10">
        <f t="shared" si="111"/>
        <v>5.8765350249669712</v>
      </c>
      <c r="BZ58" s="10">
        <f t="shared" si="111"/>
        <v>5.8765350249669712</v>
      </c>
      <c r="CA58" s="10">
        <f t="shared" si="111"/>
        <v>5.8765350249669712</v>
      </c>
      <c r="CB58" s="10">
        <f t="shared" si="111"/>
        <v>5.8765350249669712</v>
      </c>
      <c r="CC58" s="10">
        <f t="shared" si="111"/>
        <v>5.8765350249669712</v>
      </c>
      <c r="CD58" s="10">
        <f t="shared" si="111"/>
        <v>5.8765350249669712</v>
      </c>
      <c r="CE58" s="10">
        <f t="shared" si="111"/>
        <v>5.8765350249669712</v>
      </c>
      <c r="CF58" s="10">
        <f t="shared" si="111"/>
        <v>5.8765350249669712</v>
      </c>
      <c r="CG58" s="10">
        <f t="shared" si="111"/>
        <v>5.8765350249669712</v>
      </c>
    </row>
    <row r="60" spans="2:89" ht="16.5" customHeight="1">
      <c r="B60" s="10" t="s">
        <v>819</v>
      </c>
      <c r="D60" s="10">
        <f t="shared" ref="D60:AI60" si="112">IF(AND(D$25&gt;D$24,IF(ISNA(D$29),TRUE(),D47&gt;=D$29),(D53-D47-(-D$25*(D47-C47)/(D$25-C$25)))/((D47-C47)/(D$25-C$25))&lt;=D$25,(D53-D47-(-D$25*(D47-C47)/(D$25-C$25)))/((D47-C47)/(D$25-C$25))&gt;C$25),(D53-D47-(-D$25*(D47-C47)/(D$25-C$25)))/((D47-C47)/(D$25-C$25)),0)</f>
        <v>0</v>
      </c>
      <c r="E60" s="10">
        <f t="shared" si="112"/>
        <v>0</v>
      </c>
      <c r="F60" s="10">
        <f t="shared" si="112"/>
        <v>0</v>
      </c>
      <c r="G60" s="10">
        <f t="shared" si="112"/>
        <v>0</v>
      </c>
      <c r="H60" s="10">
        <f t="shared" si="112"/>
        <v>0</v>
      </c>
      <c r="I60" s="10">
        <f t="shared" si="112"/>
        <v>0</v>
      </c>
      <c r="J60" s="10">
        <f t="shared" si="112"/>
        <v>0</v>
      </c>
      <c r="K60" s="10">
        <f t="shared" si="112"/>
        <v>0</v>
      </c>
      <c r="L60" s="10">
        <f t="shared" si="112"/>
        <v>0</v>
      </c>
      <c r="M60" s="10">
        <f t="shared" si="112"/>
        <v>0</v>
      </c>
      <c r="N60" s="10">
        <f t="shared" si="112"/>
        <v>0</v>
      </c>
      <c r="O60" s="10">
        <f t="shared" si="112"/>
        <v>0</v>
      </c>
      <c r="P60" s="10">
        <f t="shared" si="112"/>
        <v>0</v>
      </c>
      <c r="Q60" s="10">
        <f t="shared" si="112"/>
        <v>0</v>
      </c>
      <c r="R60" s="10">
        <f t="shared" si="112"/>
        <v>0</v>
      </c>
      <c r="S60" s="10">
        <f t="shared" si="112"/>
        <v>0</v>
      </c>
      <c r="T60" s="10">
        <f t="shared" si="112"/>
        <v>0</v>
      </c>
      <c r="U60" s="10">
        <f t="shared" si="112"/>
        <v>0</v>
      </c>
      <c r="V60" s="10">
        <f t="shared" si="112"/>
        <v>0</v>
      </c>
      <c r="W60" s="10">
        <f t="shared" si="112"/>
        <v>0</v>
      </c>
      <c r="X60" s="10">
        <f t="shared" si="112"/>
        <v>0</v>
      </c>
      <c r="Y60" s="10">
        <f t="shared" si="112"/>
        <v>0</v>
      </c>
      <c r="Z60" s="10">
        <f t="shared" si="112"/>
        <v>0</v>
      </c>
      <c r="AA60" s="10">
        <f t="shared" si="112"/>
        <v>0</v>
      </c>
      <c r="AB60" s="10">
        <f t="shared" si="112"/>
        <v>0</v>
      </c>
      <c r="AC60" s="10">
        <f t="shared" si="112"/>
        <v>0</v>
      </c>
      <c r="AD60" s="10">
        <f t="shared" si="112"/>
        <v>0</v>
      </c>
      <c r="AE60" s="10">
        <f t="shared" si="112"/>
        <v>0</v>
      </c>
      <c r="AF60" s="10">
        <f t="shared" si="112"/>
        <v>0</v>
      </c>
      <c r="AG60" s="10">
        <f t="shared" si="112"/>
        <v>0</v>
      </c>
      <c r="AH60" s="10">
        <f t="shared" si="112"/>
        <v>0</v>
      </c>
      <c r="AI60" s="10">
        <f t="shared" si="112"/>
        <v>0</v>
      </c>
      <c r="AJ60" s="10">
        <f t="shared" ref="AJ60:BO60" si="113">IF(AND(AJ$25&gt;AJ$24,IF(ISNA(AJ$29),TRUE(),AJ47&gt;=AJ$29),(AJ53-AJ47-(-AJ$25*(AJ47-AI47)/(AJ$25-AI$25)))/((AJ47-AI47)/(AJ$25-AI$25))&lt;=AJ$25,(AJ53-AJ47-(-AJ$25*(AJ47-AI47)/(AJ$25-AI$25)))/((AJ47-AI47)/(AJ$25-AI$25))&gt;AI$25),(AJ53-AJ47-(-AJ$25*(AJ47-AI47)/(AJ$25-AI$25)))/((AJ47-AI47)/(AJ$25-AI$25)),0)</f>
        <v>0</v>
      </c>
      <c r="AK60" s="10">
        <f t="shared" si="113"/>
        <v>0</v>
      </c>
      <c r="AL60" s="10">
        <f t="shared" si="113"/>
        <v>0</v>
      </c>
      <c r="AM60" s="10">
        <f t="shared" si="113"/>
        <v>0</v>
      </c>
      <c r="AN60" s="10">
        <f t="shared" si="113"/>
        <v>0</v>
      </c>
      <c r="AO60" s="10">
        <f t="shared" si="113"/>
        <v>0</v>
      </c>
      <c r="AP60" s="10">
        <f t="shared" si="113"/>
        <v>0</v>
      </c>
      <c r="AQ60" s="10">
        <f t="shared" si="113"/>
        <v>0</v>
      </c>
      <c r="AR60" s="10">
        <f t="shared" si="113"/>
        <v>0</v>
      </c>
      <c r="AS60" s="10">
        <f t="shared" si="113"/>
        <v>0</v>
      </c>
      <c r="AT60" s="10">
        <f t="shared" si="113"/>
        <v>0</v>
      </c>
      <c r="AU60" s="10">
        <f t="shared" si="113"/>
        <v>0</v>
      </c>
      <c r="AV60" s="10">
        <f t="shared" si="113"/>
        <v>0</v>
      </c>
      <c r="AW60" s="10">
        <f t="shared" si="113"/>
        <v>0</v>
      </c>
      <c r="AX60" s="10">
        <f t="shared" si="113"/>
        <v>0</v>
      </c>
      <c r="AY60" s="10">
        <f t="shared" si="113"/>
        <v>0</v>
      </c>
      <c r="AZ60" s="10">
        <f t="shared" si="113"/>
        <v>0</v>
      </c>
      <c r="BA60" s="10">
        <f t="shared" si="113"/>
        <v>0.71493085895435615</v>
      </c>
      <c r="BB60" s="10">
        <f t="shared" si="113"/>
        <v>0</v>
      </c>
      <c r="BC60" s="10">
        <f t="shared" si="113"/>
        <v>0</v>
      </c>
      <c r="BD60" s="10">
        <f t="shared" si="113"/>
        <v>0</v>
      </c>
      <c r="BE60" s="10">
        <f t="shared" si="113"/>
        <v>0</v>
      </c>
      <c r="BF60" s="10">
        <f t="shared" si="113"/>
        <v>0</v>
      </c>
      <c r="BG60" s="10">
        <f t="shared" si="113"/>
        <v>0</v>
      </c>
      <c r="BH60" s="10">
        <f t="shared" si="113"/>
        <v>0</v>
      </c>
      <c r="BI60" s="10">
        <f t="shared" si="113"/>
        <v>0</v>
      </c>
      <c r="BJ60" s="10">
        <f t="shared" si="113"/>
        <v>0</v>
      </c>
      <c r="BK60" s="10">
        <f t="shared" si="113"/>
        <v>0</v>
      </c>
      <c r="BL60" s="10">
        <f t="shared" si="113"/>
        <v>0</v>
      </c>
      <c r="BM60" s="10">
        <f t="shared" si="113"/>
        <v>0</v>
      </c>
      <c r="BN60" s="10">
        <f t="shared" si="113"/>
        <v>0</v>
      </c>
      <c r="BO60" s="10">
        <f t="shared" si="113"/>
        <v>0</v>
      </c>
      <c r="BP60" s="10">
        <f t="shared" ref="BP60:CG60" si="114">IF(AND(BP$25&gt;BP$24,IF(ISNA(BP$29),TRUE(),BP47&gt;=BP$29),(BP53-BP47-(-BP$25*(BP47-BO47)/(BP$25-BO$25)))/((BP47-BO47)/(BP$25-BO$25))&lt;=BP$25,(BP53-BP47-(-BP$25*(BP47-BO47)/(BP$25-BO$25)))/((BP47-BO47)/(BP$25-BO$25))&gt;BO$25),(BP53-BP47-(-BP$25*(BP47-BO47)/(BP$25-BO$25)))/((BP47-BO47)/(BP$25-BO$25)),0)</f>
        <v>0</v>
      </c>
      <c r="BQ60" s="10">
        <f t="shared" si="114"/>
        <v>0</v>
      </c>
      <c r="BR60" s="10">
        <f t="shared" si="114"/>
        <v>0</v>
      </c>
      <c r="BS60" s="10">
        <f t="shared" si="114"/>
        <v>0</v>
      </c>
      <c r="BT60" s="10">
        <f t="shared" si="114"/>
        <v>0</v>
      </c>
      <c r="BU60" s="10">
        <f t="shared" si="114"/>
        <v>0</v>
      </c>
      <c r="BV60" s="10">
        <f t="shared" si="114"/>
        <v>0</v>
      </c>
      <c r="BW60" s="10">
        <f t="shared" si="114"/>
        <v>0</v>
      </c>
      <c r="BX60" s="10">
        <f t="shared" si="114"/>
        <v>0</v>
      </c>
      <c r="BY60" s="10">
        <f t="shared" si="114"/>
        <v>0</v>
      </c>
      <c r="BZ60" s="10">
        <f t="shared" si="114"/>
        <v>0</v>
      </c>
      <c r="CA60" s="10">
        <f t="shared" si="114"/>
        <v>0</v>
      </c>
      <c r="CB60" s="10">
        <f t="shared" si="114"/>
        <v>0</v>
      </c>
      <c r="CC60" s="10">
        <f t="shared" si="114"/>
        <v>0</v>
      </c>
      <c r="CD60" s="10">
        <f t="shared" si="114"/>
        <v>0</v>
      </c>
      <c r="CE60" s="10">
        <f t="shared" si="114"/>
        <v>0</v>
      </c>
      <c r="CF60" s="10">
        <f t="shared" si="114"/>
        <v>0</v>
      </c>
      <c r="CG60" s="10">
        <f t="shared" si="114"/>
        <v>0</v>
      </c>
      <c r="CH60" s="10">
        <f t="array" aca="1" ref="CH60" ca="1">IF(MAX(D60:CG60),MAX(D60:CG60),INDIRECT(CI47))</f>
        <v>0.71493085895435615</v>
      </c>
    </row>
    <row r="61" spans="2:89" ht="16.5" customHeight="1">
      <c r="B61" s="10" t="s">
        <v>820</v>
      </c>
      <c r="D61" s="10">
        <f t="shared" ref="D61:AI61" si="115">IF(AND(D$25&gt;D$24,IF(ISNA(D$29),TRUE(),D48&gt;=D$29),(D54-D48-(-D$25*(D48-C48)/(D$25-C$25)))/((D48-C48)/(D$25-C$25))&lt;=D$25,(D54-D48-(-D$25*(D48-C48)/(D$25-C$25)))/((D48-C48)/(D$25-C$25))&gt;C$25),(D54-D48-(-D$25*(D48-C48)/(D$25-C$25)))/((D48-C48)/(D$25-C$25)),0)</f>
        <v>0</v>
      </c>
      <c r="E61" s="10">
        <f t="shared" si="115"/>
        <v>0</v>
      </c>
      <c r="F61" s="10">
        <f t="shared" si="115"/>
        <v>0</v>
      </c>
      <c r="G61" s="10">
        <f t="shared" si="115"/>
        <v>0</v>
      </c>
      <c r="H61" s="10">
        <f t="shared" si="115"/>
        <v>0</v>
      </c>
      <c r="I61" s="10">
        <f t="shared" si="115"/>
        <v>0</v>
      </c>
      <c r="J61" s="10">
        <f t="shared" si="115"/>
        <v>0</v>
      </c>
      <c r="K61" s="10">
        <f t="shared" si="115"/>
        <v>0</v>
      </c>
      <c r="L61" s="10">
        <f t="shared" si="115"/>
        <v>0</v>
      </c>
      <c r="M61" s="10">
        <f t="shared" si="115"/>
        <v>0</v>
      </c>
      <c r="N61" s="10">
        <f t="shared" si="115"/>
        <v>0</v>
      </c>
      <c r="O61" s="10">
        <f t="shared" si="115"/>
        <v>0</v>
      </c>
      <c r="P61" s="10">
        <f t="shared" si="115"/>
        <v>0</v>
      </c>
      <c r="Q61" s="10">
        <f t="shared" si="115"/>
        <v>0</v>
      </c>
      <c r="R61" s="10">
        <f t="shared" si="115"/>
        <v>0</v>
      </c>
      <c r="S61" s="10">
        <f t="shared" si="115"/>
        <v>0</v>
      </c>
      <c r="T61" s="10">
        <f t="shared" si="115"/>
        <v>0</v>
      </c>
      <c r="U61" s="10">
        <f t="shared" si="115"/>
        <v>0</v>
      </c>
      <c r="V61" s="10">
        <f t="shared" si="115"/>
        <v>0</v>
      </c>
      <c r="W61" s="10">
        <f t="shared" si="115"/>
        <v>0</v>
      </c>
      <c r="X61" s="10">
        <f t="shared" si="115"/>
        <v>0</v>
      </c>
      <c r="Y61" s="10">
        <f t="shared" si="115"/>
        <v>0</v>
      </c>
      <c r="Z61" s="10">
        <f t="shared" si="115"/>
        <v>0</v>
      </c>
      <c r="AA61" s="10">
        <f t="shared" si="115"/>
        <v>0</v>
      </c>
      <c r="AB61" s="10">
        <f t="shared" si="115"/>
        <v>0</v>
      </c>
      <c r="AC61" s="10">
        <f t="shared" si="115"/>
        <v>0</v>
      </c>
      <c r="AD61" s="10">
        <f t="shared" si="115"/>
        <v>0</v>
      </c>
      <c r="AE61" s="10">
        <f t="shared" si="115"/>
        <v>0</v>
      </c>
      <c r="AF61" s="10">
        <f t="shared" si="115"/>
        <v>0</v>
      </c>
      <c r="AG61" s="10">
        <f t="shared" si="115"/>
        <v>0</v>
      </c>
      <c r="AH61" s="10">
        <f t="shared" si="115"/>
        <v>0</v>
      </c>
      <c r="AI61" s="10">
        <f t="shared" si="115"/>
        <v>0</v>
      </c>
      <c r="AJ61" s="10">
        <f t="shared" ref="AJ61:BO61" si="116">IF(AND(AJ$25&gt;AJ$24,IF(ISNA(AJ$29),TRUE(),AJ48&gt;=AJ$29),(AJ54-AJ48-(-AJ$25*(AJ48-AI48)/(AJ$25-AI$25)))/((AJ48-AI48)/(AJ$25-AI$25))&lt;=AJ$25,(AJ54-AJ48-(-AJ$25*(AJ48-AI48)/(AJ$25-AI$25)))/((AJ48-AI48)/(AJ$25-AI$25))&gt;AI$25),(AJ54-AJ48-(-AJ$25*(AJ48-AI48)/(AJ$25-AI$25)))/((AJ48-AI48)/(AJ$25-AI$25)),0)</f>
        <v>0</v>
      </c>
      <c r="AK61" s="10">
        <f t="shared" si="116"/>
        <v>0</v>
      </c>
      <c r="AL61" s="10">
        <f t="shared" si="116"/>
        <v>0</v>
      </c>
      <c r="AM61" s="10">
        <f t="shared" si="116"/>
        <v>0</v>
      </c>
      <c r="AN61" s="10">
        <f t="shared" si="116"/>
        <v>0</v>
      </c>
      <c r="AO61" s="10">
        <f t="shared" si="116"/>
        <v>0</v>
      </c>
      <c r="AP61" s="10">
        <f t="shared" si="116"/>
        <v>0</v>
      </c>
      <c r="AQ61" s="10">
        <f t="shared" si="116"/>
        <v>0</v>
      </c>
      <c r="AR61" s="10">
        <f t="shared" si="116"/>
        <v>0</v>
      </c>
      <c r="AS61" s="10">
        <f t="shared" si="116"/>
        <v>0</v>
      </c>
      <c r="AT61" s="10">
        <f t="shared" si="116"/>
        <v>0</v>
      </c>
      <c r="AU61" s="10">
        <f t="shared" si="116"/>
        <v>0</v>
      </c>
      <c r="AV61" s="10">
        <f t="shared" si="116"/>
        <v>0</v>
      </c>
      <c r="AW61" s="10">
        <f t="shared" si="116"/>
        <v>0</v>
      </c>
      <c r="AX61" s="10">
        <f t="shared" si="116"/>
        <v>0</v>
      </c>
      <c r="AY61" s="10">
        <f t="shared" si="116"/>
        <v>0</v>
      </c>
      <c r="AZ61" s="10">
        <f t="shared" si="116"/>
        <v>0.70770292041505545</v>
      </c>
      <c r="BA61" s="10">
        <f t="shared" si="116"/>
        <v>0</v>
      </c>
      <c r="BB61" s="10">
        <f t="shared" si="116"/>
        <v>0</v>
      </c>
      <c r="BC61" s="10">
        <f t="shared" si="116"/>
        <v>0</v>
      </c>
      <c r="BD61" s="10">
        <f t="shared" si="116"/>
        <v>0</v>
      </c>
      <c r="BE61" s="10">
        <f t="shared" si="116"/>
        <v>0</v>
      </c>
      <c r="BF61" s="10">
        <f t="shared" si="116"/>
        <v>0</v>
      </c>
      <c r="BG61" s="10">
        <f t="shared" si="116"/>
        <v>0</v>
      </c>
      <c r="BH61" s="10">
        <f t="shared" si="116"/>
        <v>0</v>
      </c>
      <c r="BI61" s="10">
        <f t="shared" si="116"/>
        <v>0</v>
      </c>
      <c r="BJ61" s="10">
        <f t="shared" si="116"/>
        <v>0</v>
      </c>
      <c r="BK61" s="10">
        <f t="shared" si="116"/>
        <v>0</v>
      </c>
      <c r="BL61" s="10">
        <f t="shared" si="116"/>
        <v>0</v>
      </c>
      <c r="BM61" s="10">
        <f t="shared" si="116"/>
        <v>0</v>
      </c>
      <c r="BN61" s="10">
        <f t="shared" si="116"/>
        <v>0</v>
      </c>
      <c r="BO61" s="10">
        <f t="shared" si="116"/>
        <v>0</v>
      </c>
      <c r="BP61" s="10">
        <f t="shared" ref="BP61:CG61" si="117">IF(AND(BP$25&gt;BP$24,IF(ISNA(BP$29),TRUE(),BP48&gt;=BP$29),(BP54-BP48-(-BP$25*(BP48-BO48)/(BP$25-BO$25)))/((BP48-BO48)/(BP$25-BO$25))&lt;=BP$25,(BP54-BP48-(-BP$25*(BP48-BO48)/(BP$25-BO$25)))/((BP48-BO48)/(BP$25-BO$25))&gt;BO$25),(BP54-BP48-(-BP$25*(BP48-BO48)/(BP$25-BO$25)))/((BP48-BO48)/(BP$25-BO$25)),0)</f>
        <v>0</v>
      </c>
      <c r="BQ61" s="10">
        <f t="shared" si="117"/>
        <v>0</v>
      </c>
      <c r="BR61" s="10">
        <f t="shared" si="117"/>
        <v>0</v>
      </c>
      <c r="BS61" s="10">
        <f t="shared" si="117"/>
        <v>0</v>
      </c>
      <c r="BT61" s="10">
        <f t="shared" si="117"/>
        <v>0</v>
      </c>
      <c r="BU61" s="10">
        <f t="shared" si="117"/>
        <v>0</v>
      </c>
      <c r="BV61" s="10">
        <f t="shared" si="117"/>
        <v>0</v>
      </c>
      <c r="BW61" s="10">
        <f t="shared" si="117"/>
        <v>0</v>
      </c>
      <c r="BX61" s="10">
        <f t="shared" si="117"/>
        <v>0</v>
      </c>
      <c r="BY61" s="10">
        <f t="shared" si="117"/>
        <v>0</v>
      </c>
      <c r="BZ61" s="10">
        <f t="shared" si="117"/>
        <v>0</v>
      </c>
      <c r="CA61" s="10">
        <f t="shared" si="117"/>
        <v>0</v>
      </c>
      <c r="CB61" s="10">
        <f t="shared" si="117"/>
        <v>0</v>
      </c>
      <c r="CC61" s="10">
        <f t="shared" si="117"/>
        <v>0</v>
      </c>
      <c r="CD61" s="10">
        <f t="shared" si="117"/>
        <v>0</v>
      </c>
      <c r="CE61" s="10">
        <f t="shared" si="117"/>
        <v>0</v>
      </c>
      <c r="CF61" s="10">
        <f t="shared" si="117"/>
        <v>0</v>
      </c>
      <c r="CG61" s="10">
        <f t="shared" si="117"/>
        <v>0</v>
      </c>
      <c r="CH61" s="10">
        <f t="array" aca="1" ref="CH61" ca="1">IF(MAX(D61:CG61),MAX(D61:CG61),INDIRECT(CI48))</f>
        <v>0.70770292041505545</v>
      </c>
    </row>
    <row r="62" spans="2:89" ht="16.5" customHeight="1">
      <c r="B62" s="10" t="s">
        <v>821</v>
      </c>
      <c r="D62" s="10">
        <f t="shared" ref="D62:AI62" si="118">IF(AND(D$25&gt;D$24,IF(ISNA(D$29),TRUE(),D49&gt;=D$29),(D55-D49-(-D$25*(D49-C49)/(D$25-C$25)))/((D49-C49)/(D$25-C$25))&lt;=D$25,(D55-D49-(-D$25*(D49-C49)/(D$25-C$25)))/((D49-C49)/(D$25-C$25))&gt;C$25),(D55-D49-(-D$25*(D49-C49)/(D$25-C$25)))/((D49-C49)/(D$25-C$25)),0)</f>
        <v>0</v>
      </c>
      <c r="E62" s="10">
        <f t="shared" si="118"/>
        <v>0</v>
      </c>
      <c r="F62" s="10">
        <f t="shared" si="118"/>
        <v>0</v>
      </c>
      <c r="G62" s="10">
        <f t="shared" si="118"/>
        <v>0</v>
      </c>
      <c r="H62" s="10">
        <f t="shared" si="118"/>
        <v>0</v>
      </c>
      <c r="I62" s="10">
        <f t="shared" si="118"/>
        <v>0</v>
      </c>
      <c r="J62" s="10">
        <f t="shared" si="118"/>
        <v>0</v>
      </c>
      <c r="K62" s="10">
        <f t="shared" si="118"/>
        <v>0</v>
      </c>
      <c r="L62" s="10">
        <f t="shared" si="118"/>
        <v>0</v>
      </c>
      <c r="M62" s="10">
        <f t="shared" si="118"/>
        <v>0</v>
      </c>
      <c r="N62" s="10">
        <f t="shared" si="118"/>
        <v>0</v>
      </c>
      <c r="O62" s="10">
        <f t="shared" si="118"/>
        <v>0</v>
      </c>
      <c r="P62" s="10">
        <f t="shared" si="118"/>
        <v>0</v>
      </c>
      <c r="Q62" s="10">
        <f t="shared" si="118"/>
        <v>0</v>
      </c>
      <c r="R62" s="10">
        <f t="shared" si="118"/>
        <v>0</v>
      </c>
      <c r="S62" s="10">
        <f t="shared" si="118"/>
        <v>0</v>
      </c>
      <c r="T62" s="10">
        <f t="shared" si="118"/>
        <v>0</v>
      </c>
      <c r="U62" s="10">
        <f t="shared" si="118"/>
        <v>0</v>
      </c>
      <c r="V62" s="10">
        <f t="shared" si="118"/>
        <v>0</v>
      </c>
      <c r="W62" s="10">
        <f t="shared" si="118"/>
        <v>0</v>
      </c>
      <c r="X62" s="10">
        <f t="shared" si="118"/>
        <v>0</v>
      </c>
      <c r="Y62" s="10">
        <f t="shared" si="118"/>
        <v>0</v>
      </c>
      <c r="Z62" s="10">
        <f t="shared" si="118"/>
        <v>0</v>
      </c>
      <c r="AA62" s="10">
        <f t="shared" si="118"/>
        <v>0</v>
      </c>
      <c r="AB62" s="10">
        <f t="shared" si="118"/>
        <v>0</v>
      </c>
      <c r="AC62" s="10">
        <f t="shared" si="118"/>
        <v>0</v>
      </c>
      <c r="AD62" s="10">
        <f t="shared" si="118"/>
        <v>0</v>
      </c>
      <c r="AE62" s="10">
        <f t="shared" si="118"/>
        <v>0</v>
      </c>
      <c r="AF62" s="10">
        <f t="shared" si="118"/>
        <v>0</v>
      </c>
      <c r="AG62" s="10">
        <f t="shared" si="118"/>
        <v>0</v>
      </c>
      <c r="AH62" s="10">
        <f t="shared" si="118"/>
        <v>0</v>
      </c>
      <c r="AI62" s="10">
        <f t="shared" si="118"/>
        <v>0</v>
      </c>
      <c r="AJ62" s="10">
        <f t="shared" ref="AJ62:BO62" si="119">IF(AND(AJ$25&gt;AJ$24,IF(ISNA(AJ$29),TRUE(),AJ49&gt;=AJ$29),(AJ55-AJ49-(-AJ$25*(AJ49-AI49)/(AJ$25-AI$25)))/((AJ49-AI49)/(AJ$25-AI$25))&lt;=AJ$25,(AJ55-AJ49-(-AJ$25*(AJ49-AI49)/(AJ$25-AI$25)))/((AJ49-AI49)/(AJ$25-AI$25))&gt;AI$25),(AJ55-AJ49-(-AJ$25*(AJ49-AI49)/(AJ$25-AI$25)))/((AJ49-AI49)/(AJ$25-AI$25)),0)</f>
        <v>0</v>
      </c>
      <c r="AK62" s="10">
        <f t="shared" si="119"/>
        <v>0</v>
      </c>
      <c r="AL62" s="10">
        <f t="shared" si="119"/>
        <v>0</v>
      </c>
      <c r="AM62" s="10">
        <f t="shared" si="119"/>
        <v>0</v>
      </c>
      <c r="AN62" s="10">
        <f t="shared" si="119"/>
        <v>0</v>
      </c>
      <c r="AO62" s="10">
        <f t="shared" si="119"/>
        <v>0</v>
      </c>
      <c r="AP62" s="10">
        <f t="shared" si="119"/>
        <v>0</v>
      </c>
      <c r="AQ62" s="10">
        <f t="shared" si="119"/>
        <v>0</v>
      </c>
      <c r="AR62" s="10">
        <f t="shared" si="119"/>
        <v>0</v>
      </c>
      <c r="AS62" s="10">
        <f t="shared" si="119"/>
        <v>0</v>
      </c>
      <c r="AT62" s="10">
        <f t="shared" si="119"/>
        <v>0</v>
      </c>
      <c r="AU62" s="10">
        <f t="shared" si="119"/>
        <v>0</v>
      </c>
      <c r="AV62" s="10">
        <f t="shared" si="119"/>
        <v>0</v>
      </c>
      <c r="AW62" s="10">
        <f t="shared" si="119"/>
        <v>0</v>
      </c>
      <c r="AX62" s="10">
        <f t="shared" si="119"/>
        <v>0</v>
      </c>
      <c r="AY62" s="10">
        <f t="shared" si="119"/>
        <v>0.68892794832560678</v>
      </c>
      <c r="AZ62" s="10">
        <f t="shared" si="119"/>
        <v>0</v>
      </c>
      <c r="BA62" s="10">
        <f t="shared" si="119"/>
        <v>0</v>
      </c>
      <c r="BB62" s="10">
        <f t="shared" si="119"/>
        <v>0</v>
      </c>
      <c r="BC62" s="10">
        <f t="shared" si="119"/>
        <v>0</v>
      </c>
      <c r="BD62" s="10">
        <f t="shared" si="119"/>
        <v>0</v>
      </c>
      <c r="BE62" s="10">
        <f t="shared" si="119"/>
        <v>0</v>
      </c>
      <c r="BF62" s="10">
        <f t="shared" si="119"/>
        <v>0</v>
      </c>
      <c r="BG62" s="10">
        <f t="shared" si="119"/>
        <v>0</v>
      </c>
      <c r="BH62" s="10">
        <f t="shared" si="119"/>
        <v>0</v>
      </c>
      <c r="BI62" s="10">
        <f t="shared" si="119"/>
        <v>0</v>
      </c>
      <c r="BJ62" s="10">
        <f t="shared" si="119"/>
        <v>0</v>
      </c>
      <c r="BK62" s="10">
        <f t="shared" si="119"/>
        <v>0</v>
      </c>
      <c r="BL62" s="10">
        <f t="shared" si="119"/>
        <v>0</v>
      </c>
      <c r="BM62" s="10">
        <f t="shared" si="119"/>
        <v>0</v>
      </c>
      <c r="BN62" s="10">
        <f t="shared" si="119"/>
        <v>0</v>
      </c>
      <c r="BO62" s="10">
        <f t="shared" si="119"/>
        <v>0</v>
      </c>
      <c r="BP62" s="10">
        <f t="shared" ref="BP62:CG62" si="120">IF(AND(BP$25&gt;BP$24,IF(ISNA(BP$29),TRUE(),BP49&gt;=BP$29),(BP55-BP49-(-BP$25*(BP49-BO49)/(BP$25-BO$25)))/((BP49-BO49)/(BP$25-BO$25))&lt;=BP$25,(BP55-BP49-(-BP$25*(BP49-BO49)/(BP$25-BO$25)))/((BP49-BO49)/(BP$25-BO$25))&gt;BO$25),(BP55-BP49-(-BP$25*(BP49-BO49)/(BP$25-BO$25)))/((BP49-BO49)/(BP$25-BO$25)),0)</f>
        <v>0</v>
      </c>
      <c r="BQ62" s="10">
        <f t="shared" si="120"/>
        <v>0</v>
      </c>
      <c r="BR62" s="10">
        <f t="shared" si="120"/>
        <v>0</v>
      </c>
      <c r="BS62" s="10">
        <f t="shared" si="120"/>
        <v>0</v>
      </c>
      <c r="BT62" s="10">
        <f t="shared" si="120"/>
        <v>0</v>
      </c>
      <c r="BU62" s="10">
        <f t="shared" si="120"/>
        <v>0</v>
      </c>
      <c r="BV62" s="10">
        <f t="shared" si="120"/>
        <v>0</v>
      </c>
      <c r="BW62" s="10">
        <f t="shared" si="120"/>
        <v>0</v>
      </c>
      <c r="BX62" s="10">
        <f t="shared" si="120"/>
        <v>0</v>
      </c>
      <c r="BY62" s="10">
        <f t="shared" si="120"/>
        <v>0</v>
      </c>
      <c r="BZ62" s="10">
        <f t="shared" si="120"/>
        <v>0</v>
      </c>
      <c r="CA62" s="10">
        <f t="shared" si="120"/>
        <v>0</v>
      </c>
      <c r="CB62" s="10">
        <f t="shared" si="120"/>
        <v>0</v>
      </c>
      <c r="CC62" s="10">
        <f t="shared" si="120"/>
        <v>0</v>
      </c>
      <c r="CD62" s="10">
        <f t="shared" si="120"/>
        <v>0</v>
      </c>
      <c r="CE62" s="10">
        <f t="shared" si="120"/>
        <v>0</v>
      </c>
      <c r="CF62" s="10">
        <f t="shared" si="120"/>
        <v>0</v>
      </c>
      <c r="CG62" s="10">
        <f t="shared" si="120"/>
        <v>0</v>
      </c>
      <c r="CH62" s="10">
        <f t="array" aca="1" ref="CH62" ca="1">IF(MAX(D62:CG62),MAX(D62:CG62),INDIRECT(CI49))</f>
        <v>0.68892794832560678</v>
      </c>
    </row>
    <row r="63" spans="2:89" ht="16.5" customHeight="1">
      <c r="B63" s="10" t="s">
        <v>822</v>
      </c>
      <c r="D63" s="10">
        <f t="shared" ref="D63:AI63" si="121">IF(AND(D$25&gt;D$24,IF(ISNA(D$29),TRUE(),D50&gt;=D$29),(D56-D50-(-D$25*(D50-C50)/(D$25-C$25)))/((D50-C50)/(D$25-C$25))&lt;=D$25,(D56-D50-(-D$25*(D50-C50)/(D$25-C$25)))/((D50-C50)/(D$25-C$25))&gt;C$25),(D56-D50-(-D$25*(D50-C50)/(D$25-C$25)))/((D50-C50)/(D$25-C$25)),0)</f>
        <v>0</v>
      </c>
      <c r="E63" s="10">
        <f t="shared" si="121"/>
        <v>0</v>
      </c>
      <c r="F63" s="10">
        <f t="shared" si="121"/>
        <v>0</v>
      </c>
      <c r="G63" s="10">
        <f t="shared" si="121"/>
        <v>0</v>
      </c>
      <c r="H63" s="10">
        <f t="shared" si="121"/>
        <v>0</v>
      </c>
      <c r="I63" s="10">
        <f t="shared" si="121"/>
        <v>0</v>
      </c>
      <c r="J63" s="10">
        <f t="shared" si="121"/>
        <v>0</v>
      </c>
      <c r="K63" s="10">
        <f t="shared" si="121"/>
        <v>0</v>
      </c>
      <c r="L63" s="10">
        <f t="shared" si="121"/>
        <v>0</v>
      </c>
      <c r="M63" s="10">
        <f t="shared" si="121"/>
        <v>0</v>
      </c>
      <c r="N63" s="10">
        <f t="shared" si="121"/>
        <v>0</v>
      </c>
      <c r="O63" s="10">
        <f t="shared" si="121"/>
        <v>0</v>
      </c>
      <c r="P63" s="10">
        <f t="shared" si="121"/>
        <v>0</v>
      </c>
      <c r="Q63" s="10">
        <f t="shared" si="121"/>
        <v>0</v>
      </c>
      <c r="R63" s="10">
        <f t="shared" si="121"/>
        <v>0</v>
      </c>
      <c r="S63" s="10">
        <f t="shared" si="121"/>
        <v>0</v>
      </c>
      <c r="T63" s="10">
        <f t="shared" si="121"/>
        <v>0</v>
      </c>
      <c r="U63" s="10">
        <f t="shared" si="121"/>
        <v>0</v>
      </c>
      <c r="V63" s="10">
        <f t="shared" si="121"/>
        <v>0</v>
      </c>
      <c r="W63" s="10">
        <f t="shared" si="121"/>
        <v>0</v>
      </c>
      <c r="X63" s="10">
        <f t="shared" si="121"/>
        <v>0</v>
      </c>
      <c r="Y63" s="10">
        <f t="shared" si="121"/>
        <v>0</v>
      </c>
      <c r="Z63" s="10">
        <f t="shared" si="121"/>
        <v>0</v>
      </c>
      <c r="AA63" s="10">
        <f t="shared" si="121"/>
        <v>0</v>
      </c>
      <c r="AB63" s="10">
        <f t="shared" si="121"/>
        <v>0</v>
      </c>
      <c r="AC63" s="10">
        <f t="shared" si="121"/>
        <v>0</v>
      </c>
      <c r="AD63" s="10">
        <f t="shared" si="121"/>
        <v>0</v>
      </c>
      <c r="AE63" s="10">
        <f t="shared" si="121"/>
        <v>0</v>
      </c>
      <c r="AF63" s="10">
        <f t="shared" si="121"/>
        <v>0</v>
      </c>
      <c r="AG63" s="10">
        <f t="shared" si="121"/>
        <v>0</v>
      </c>
      <c r="AH63" s="10">
        <f t="shared" si="121"/>
        <v>0</v>
      </c>
      <c r="AI63" s="10">
        <f t="shared" si="121"/>
        <v>0</v>
      </c>
      <c r="AJ63" s="10">
        <f t="shared" ref="AJ63:BO63" si="122">IF(AND(AJ$25&gt;AJ$24,IF(ISNA(AJ$29),TRUE(),AJ50&gt;=AJ$29),(AJ56-AJ50-(-AJ$25*(AJ50-AI50)/(AJ$25-AI$25)))/((AJ50-AI50)/(AJ$25-AI$25))&lt;=AJ$25,(AJ56-AJ50-(-AJ$25*(AJ50-AI50)/(AJ$25-AI$25)))/((AJ50-AI50)/(AJ$25-AI$25))&gt;AI$25),(AJ56-AJ50-(-AJ$25*(AJ50-AI50)/(AJ$25-AI$25)))/((AJ50-AI50)/(AJ$25-AI$25)),0)</f>
        <v>0</v>
      </c>
      <c r="AK63" s="10">
        <f t="shared" si="122"/>
        <v>0</v>
      </c>
      <c r="AL63" s="10">
        <f t="shared" si="122"/>
        <v>0</v>
      </c>
      <c r="AM63" s="10">
        <f t="shared" si="122"/>
        <v>0</v>
      </c>
      <c r="AN63" s="10">
        <f t="shared" si="122"/>
        <v>0</v>
      </c>
      <c r="AO63" s="10">
        <f t="shared" si="122"/>
        <v>0</v>
      </c>
      <c r="AP63" s="10">
        <f t="shared" si="122"/>
        <v>0</v>
      </c>
      <c r="AQ63" s="10">
        <f t="shared" si="122"/>
        <v>0</v>
      </c>
      <c r="AR63" s="10">
        <f t="shared" si="122"/>
        <v>0</v>
      </c>
      <c r="AS63" s="10">
        <f t="shared" si="122"/>
        <v>0</v>
      </c>
      <c r="AT63" s="10">
        <f t="shared" si="122"/>
        <v>0</v>
      </c>
      <c r="AU63" s="10">
        <f t="shared" si="122"/>
        <v>0</v>
      </c>
      <c r="AV63" s="10">
        <f t="shared" si="122"/>
        <v>0</v>
      </c>
      <c r="AW63" s="10">
        <f t="shared" si="122"/>
        <v>0.66266363346235846</v>
      </c>
      <c r="AX63" s="10">
        <f t="shared" si="122"/>
        <v>0</v>
      </c>
      <c r="AY63" s="10">
        <f t="shared" si="122"/>
        <v>0</v>
      </c>
      <c r="AZ63" s="10">
        <f t="shared" si="122"/>
        <v>0</v>
      </c>
      <c r="BA63" s="10">
        <f t="shared" si="122"/>
        <v>0</v>
      </c>
      <c r="BB63" s="10">
        <f t="shared" si="122"/>
        <v>0</v>
      </c>
      <c r="BC63" s="10">
        <f t="shared" si="122"/>
        <v>0</v>
      </c>
      <c r="BD63" s="10">
        <f t="shared" si="122"/>
        <v>0</v>
      </c>
      <c r="BE63" s="10">
        <f t="shared" si="122"/>
        <v>0</v>
      </c>
      <c r="BF63" s="10">
        <f t="shared" si="122"/>
        <v>0</v>
      </c>
      <c r="BG63" s="10">
        <f t="shared" si="122"/>
        <v>0</v>
      </c>
      <c r="BH63" s="10">
        <f t="shared" si="122"/>
        <v>0</v>
      </c>
      <c r="BI63" s="10">
        <f t="shared" si="122"/>
        <v>0</v>
      </c>
      <c r="BJ63" s="10">
        <f t="shared" si="122"/>
        <v>0</v>
      </c>
      <c r="BK63" s="10">
        <f t="shared" si="122"/>
        <v>0</v>
      </c>
      <c r="BL63" s="10">
        <f t="shared" si="122"/>
        <v>0</v>
      </c>
      <c r="BM63" s="10">
        <f t="shared" si="122"/>
        <v>0</v>
      </c>
      <c r="BN63" s="10">
        <f t="shared" si="122"/>
        <v>0</v>
      </c>
      <c r="BO63" s="10">
        <f t="shared" si="122"/>
        <v>0</v>
      </c>
      <c r="BP63" s="10">
        <f t="shared" ref="BP63:CG63" si="123">IF(AND(BP$25&gt;BP$24,IF(ISNA(BP$29),TRUE(),BP50&gt;=BP$29),(BP56-BP50-(-BP$25*(BP50-BO50)/(BP$25-BO$25)))/((BP50-BO50)/(BP$25-BO$25))&lt;=BP$25,(BP56-BP50-(-BP$25*(BP50-BO50)/(BP$25-BO$25)))/((BP50-BO50)/(BP$25-BO$25))&gt;BO$25),(BP56-BP50-(-BP$25*(BP50-BO50)/(BP$25-BO$25)))/((BP50-BO50)/(BP$25-BO$25)),0)</f>
        <v>0</v>
      </c>
      <c r="BQ63" s="10">
        <f t="shared" si="123"/>
        <v>0</v>
      </c>
      <c r="BR63" s="10">
        <f t="shared" si="123"/>
        <v>0</v>
      </c>
      <c r="BS63" s="10">
        <f t="shared" si="123"/>
        <v>0</v>
      </c>
      <c r="BT63" s="10">
        <f t="shared" si="123"/>
        <v>0</v>
      </c>
      <c r="BU63" s="10">
        <f t="shared" si="123"/>
        <v>0</v>
      </c>
      <c r="BV63" s="10">
        <f t="shared" si="123"/>
        <v>0</v>
      </c>
      <c r="BW63" s="10">
        <f t="shared" si="123"/>
        <v>0</v>
      </c>
      <c r="BX63" s="10">
        <f t="shared" si="123"/>
        <v>0</v>
      </c>
      <c r="BY63" s="10">
        <f t="shared" si="123"/>
        <v>0</v>
      </c>
      <c r="BZ63" s="10">
        <f t="shared" si="123"/>
        <v>0</v>
      </c>
      <c r="CA63" s="10">
        <f t="shared" si="123"/>
        <v>0</v>
      </c>
      <c r="CB63" s="10">
        <f t="shared" si="123"/>
        <v>0</v>
      </c>
      <c r="CC63" s="10">
        <f t="shared" si="123"/>
        <v>0</v>
      </c>
      <c r="CD63" s="10">
        <f t="shared" si="123"/>
        <v>0</v>
      </c>
      <c r="CE63" s="10">
        <f t="shared" si="123"/>
        <v>0</v>
      </c>
      <c r="CF63" s="10">
        <f t="shared" si="123"/>
        <v>0</v>
      </c>
      <c r="CG63" s="10">
        <f t="shared" si="123"/>
        <v>0</v>
      </c>
      <c r="CH63" s="10">
        <f t="array" aca="1" ref="CH63" ca="1">IF(MAX(D63:CG63),MAX(D63:CG63),INDIRECT(CI50))</f>
        <v>0.66266363346235846</v>
      </c>
    </row>
    <row r="64" spans="2:89" ht="16.5" customHeight="1">
      <c r="B64" s="10" t="s">
        <v>823</v>
      </c>
      <c r="D64" s="10">
        <f t="shared" ref="D64:AI64" si="124">IF(AND(D$25&gt;D$24,IF(ISNA(D$29),TRUE(),D51&gt;=D$29),(D57-D51-(-D$25*(D51-C51)/(D$25-C$25)))/((D51-C51)/(D$25-C$25))&lt;=D$25,(D57-D51-(-D$25*(D51-C51)/(D$25-C$25)))/((D51-C51)/(D$25-C$25))&gt;C$25),(D57-D51-(-D$25*(D51-C51)/(D$25-C$25)))/((D51-C51)/(D$25-C$25)),0)</f>
        <v>0</v>
      </c>
      <c r="E64" s="10">
        <f t="shared" si="124"/>
        <v>0</v>
      </c>
      <c r="F64" s="10">
        <f t="shared" si="124"/>
        <v>0</v>
      </c>
      <c r="G64" s="10">
        <f t="shared" si="124"/>
        <v>0</v>
      </c>
      <c r="H64" s="10">
        <f t="shared" si="124"/>
        <v>0</v>
      </c>
      <c r="I64" s="10">
        <f t="shared" si="124"/>
        <v>0</v>
      </c>
      <c r="J64" s="10">
        <f t="shared" si="124"/>
        <v>0</v>
      </c>
      <c r="K64" s="10">
        <f t="shared" si="124"/>
        <v>0</v>
      </c>
      <c r="L64" s="10">
        <f t="shared" si="124"/>
        <v>0</v>
      </c>
      <c r="M64" s="10">
        <f t="shared" si="124"/>
        <v>0</v>
      </c>
      <c r="N64" s="10">
        <f t="shared" si="124"/>
        <v>0</v>
      </c>
      <c r="O64" s="10">
        <f t="shared" si="124"/>
        <v>0</v>
      </c>
      <c r="P64" s="10">
        <f t="shared" si="124"/>
        <v>0</v>
      </c>
      <c r="Q64" s="10">
        <f t="shared" si="124"/>
        <v>0</v>
      </c>
      <c r="R64" s="10">
        <f t="shared" si="124"/>
        <v>0</v>
      </c>
      <c r="S64" s="10">
        <f t="shared" si="124"/>
        <v>0</v>
      </c>
      <c r="T64" s="10">
        <f t="shared" si="124"/>
        <v>0</v>
      </c>
      <c r="U64" s="10">
        <f t="shared" si="124"/>
        <v>0</v>
      </c>
      <c r="V64" s="10">
        <f t="shared" si="124"/>
        <v>0</v>
      </c>
      <c r="W64" s="10">
        <f t="shared" si="124"/>
        <v>0</v>
      </c>
      <c r="X64" s="10">
        <f t="shared" si="124"/>
        <v>0</v>
      </c>
      <c r="Y64" s="10">
        <f t="shared" si="124"/>
        <v>0</v>
      </c>
      <c r="Z64" s="10">
        <f t="shared" si="124"/>
        <v>0</v>
      </c>
      <c r="AA64" s="10">
        <f t="shared" si="124"/>
        <v>0</v>
      </c>
      <c r="AB64" s="10">
        <f t="shared" si="124"/>
        <v>0</v>
      </c>
      <c r="AC64" s="10">
        <f t="shared" si="124"/>
        <v>0</v>
      </c>
      <c r="AD64" s="10">
        <f t="shared" si="124"/>
        <v>0</v>
      </c>
      <c r="AE64" s="10">
        <f t="shared" si="124"/>
        <v>0</v>
      </c>
      <c r="AF64" s="10">
        <f t="shared" si="124"/>
        <v>0</v>
      </c>
      <c r="AG64" s="10">
        <f t="shared" si="124"/>
        <v>0</v>
      </c>
      <c r="AH64" s="10">
        <f t="shared" si="124"/>
        <v>0</v>
      </c>
      <c r="AI64" s="10">
        <f t="shared" si="124"/>
        <v>0</v>
      </c>
      <c r="AJ64" s="10">
        <f t="shared" ref="AJ64:BO64" si="125">IF(AND(AJ$25&gt;AJ$24,IF(ISNA(AJ$29),TRUE(),AJ51&gt;=AJ$29),(AJ57-AJ51-(-AJ$25*(AJ51-AI51)/(AJ$25-AI$25)))/((AJ51-AI51)/(AJ$25-AI$25))&lt;=AJ$25,(AJ57-AJ51-(-AJ$25*(AJ51-AI51)/(AJ$25-AI$25)))/((AJ51-AI51)/(AJ$25-AI$25))&gt;AI$25),(AJ57-AJ51-(-AJ$25*(AJ51-AI51)/(AJ$25-AI$25)))/((AJ51-AI51)/(AJ$25-AI$25)),0)</f>
        <v>0</v>
      </c>
      <c r="AK64" s="10">
        <f t="shared" si="125"/>
        <v>0</v>
      </c>
      <c r="AL64" s="10">
        <f t="shared" si="125"/>
        <v>0</v>
      </c>
      <c r="AM64" s="10">
        <f t="shared" si="125"/>
        <v>0</v>
      </c>
      <c r="AN64" s="10">
        <f t="shared" si="125"/>
        <v>0</v>
      </c>
      <c r="AO64" s="10">
        <f t="shared" si="125"/>
        <v>0</v>
      </c>
      <c r="AP64" s="10">
        <f t="shared" si="125"/>
        <v>0</v>
      </c>
      <c r="AQ64" s="10">
        <f t="shared" si="125"/>
        <v>0</v>
      </c>
      <c r="AR64" s="10">
        <f t="shared" si="125"/>
        <v>0</v>
      </c>
      <c r="AS64" s="10">
        <f t="shared" si="125"/>
        <v>0</v>
      </c>
      <c r="AT64" s="10">
        <f t="shared" si="125"/>
        <v>0</v>
      </c>
      <c r="AU64" s="10">
        <f t="shared" si="125"/>
        <v>0.63132154853750366</v>
      </c>
      <c r="AV64" s="10">
        <f t="shared" si="125"/>
        <v>0</v>
      </c>
      <c r="AW64" s="10">
        <f t="shared" si="125"/>
        <v>0</v>
      </c>
      <c r="AX64" s="10">
        <f t="shared" si="125"/>
        <v>0</v>
      </c>
      <c r="AY64" s="10">
        <f t="shared" si="125"/>
        <v>0</v>
      </c>
      <c r="AZ64" s="10">
        <f t="shared" si="125"/>
        <v>0</v>
      </c>
      <c r="BA64" s="10">
        <f t="shared" si="125"/>
        <v>0</v>
      </c>
      <c r="BB64" s="10">
        <f t="shared" si="125"/>
        <v>0</v>
      </c>
      <c r="BC64" s="10">
        <f t="shared" si="125"/>
        <v>0</v>
      </c>
      <c r="BD64" s="10">
        <f t="shared" si="125"/>
        <v>0</v>
      </c>
      <c r="BE64" s="10">
        <f t="shared" si="125"/>
        <v>0</v>
      </c>
      <c r="BF64" s="10">
        <f t="shared" si="125"/>
        <v>0</v>
      </c>
      <c r="BG64" s="10">
        <f t="shared" si="125"/>
        <v>0</v>
      </c>
      <c r="BH64" s="10">
        <f t="shared" si="125"/>
        <v>0</v>
      </c>
      <c r="BI64" s="10">
        <f t="shared" si="125"/>
        <v>0</v>
      </c>
      <c r="BJ64" s="10">
        <f t="shared" si="125"/>
        <v>0</v>
      </c>
      <c r="BK64" s="10">
        <f t="shared" si="125"/>
        <v>0</v>
      </c>
      <c r="BL64" s="10">
        <f t="shared" si="125"/>
        <v>0</v>
      </c>
      <c r="BM64" s="10">
        <f t="shared" si="125"/>
        <v>0</v>
      </c>
      <c r="BN64" s="10">
        <f t="shared" si="125"/>
        <v>0</v>
      </c>
      <c r="BO64" s="10">
        <f t="shared" si="125"/>
        <v>0</v>
      </c>
      <c r="BP64" s="10">
        <f t="shared" ref="BP64:CG64" si="126">IF(AND(BP$25&gt;BP$24,IF(ISNA(BP$29),TRUE(),BP51&gt;=BP$29),(BP57-BP51-(-BP$25*(BP51-BO51)/(BP$25-BO$25)))/((BP51-BO51)/(BP$25-BO$25))&lt;=BP$25,(BP57-BP51-(-BP$25*(BP51-BO51)/(BP$25-BO$25)))/((BP51-BO51)/(BP$25-BO$25))&gt;BO$25),(BP57-BP51-(-BP$25*(BP51-BO51)/(BP$25-BO$25)))/((BP51-BO51)/(BP$25-BO$25)),0)</f>
        <v>0</v>
      </c>
      <c r="BQ64" s="10">
        <f t="shared" si="126"/>
        <v>0</v>
      </c>
      <c r="BR64" s="10">
        <f t="shared" si="126"/>
        <v>0</v>
      </c>
      <c r="BS64" s="10">
        <f t="shared" si="126"/>
        <v>0</v>
      </c>
      <c r="BT64" s="10">
        <f t="shared" si="126"/>
        <v>0</v>
      </c>
      <c r="BU64" s="10">
        <f t="shared" si="126"/>
        <v>0</v>
      </c>
      <c r="BV64" s="10">
        <f t="shared" si="126"/>
        <v>0</v>
      </c>
      <c r="BW64" s="10">
        <f t="shared" si="126"/>
        <v>0</v>
      </c>
      <c r="BX64" s="10">
        <f t="shared" si="126"/>
        <v>0</v>
      </c>
      <c r="BY64" s="10">
        <f t="shared" si="126"/>
        <v>0</v>
      </c>
      <c r="BZ64" s="10">
        <f t="shared" si="126"/>
        <v>0</v>
      </c>
      <c r="CA64" s="10">
        <f t="shared" si="126"/>
        <v>0</v>
      </c>
      <c r="CB64" s="10">
        <f t="shared" si="126"/>
        <v>0</v>
      </c>
      <c r="CC64" s="10">
        <f t="shared" si="126"/>
        <v>0</v>
      </c>
      <c r="CD64" s="10">
        <f t="shared" si="126"/>
        <v>0</v>
      </c>
      <c r="CE64" s="10">
        <f t="shared" si="126"/>
        <v>0</v>
      </c>
      <c r="CF64" s="10">
        <f t="shared" si="126"/>
        <v>0</v>
      </c>
      <c r="CG64" s="10">
        <f t="shared" si="126"/>
        <v>0</v>
      </c>
      <c r="CH64" s="10">
        <f t="array" aca="1" ref="CH64" ca="1">IF(MAX(D64:CG64),MAX(D64:CG64),INDIRECT(CI51))</f>
        <v>0.63132154853750366</v>
      </c>
    </row>
    <row r="65" spans="2:86" ht="16.5" customHeight="1">
      <c r="B65" s="10" t="s">
        <v>824</v>
      </c>
      <c r="D65" s="10">
        <f t="shared" ref="D65:AI65" si="127">IF(AND(D$25&gt;D$24,IF(ISNA(D$29),TRUE(),D52&gt;=D$29),(D58-D52-(-D$25*(D52-C52)/(D$25-C$25)))/((D52-C52)/(D$25-C$25))&lt;=D$25,(D58-D52-(-D$25*(D52-C52)/(D$25-C$25)))/((D52-C52)/(D$25-C$25))&gt;C$25),(D58-D52-(-D$25*(D52-C52)/(D$25-C$25)))/((D52-C52)/(D$25-C$25)),0)</f>
        <v>0</v>
      </c>
      <c r="E65" s="10">
        <f t="shared" si="127"/>
        <v>0</v>
      </c>
      <c r="F65" s="10">
        <f t="shared" si="127"/>
        <v>0</v>
      </c>
      <c r="G65" s="10">
        <f t="shared" si="127"/>
        <v>0</v>
      </c>
      <c r="H65" s="10">
        <f t="shared" si="127"/>
        <v>0</v>
      </c>
      <c r="I65" s="10">
        <f t="shared" si="127"/>
        <v>0</v>
      </c>
      <c r="J65" s="10">
        <f t="shared" si="127"/>
        <v>0</v>
      </c>
      <c r="K65" s="10">
        <f t="shared" si="127"/>
        <v>0</v>
      </c>
      <c r="L65" s="10">
        <f t="shared" si="127"/>
        <v>0</v>
      </c>
      <c r="M65" s="10">
        <f t="shared" si="127"/>
        <v>0</v>
      </c>
      <c r="N65" s="10">
        <f t="shared" si="127"/>
        <v>0</v>
      </c>
      <c r="O65" s="10">
        <f t="shared" si="127"/>
        <v>0</v>
      </c>
      <c r="P65" s="10">
        <f t="shared" si="127"/>
        <v>0</v>
      </c>
      <c r="Q65" s="10">
        <f t="shared" si="127"/>
        <v>0</v>
      </c>
      <c r="R65" s="10">
        <f t="shared" si="127"/>
        <v>0</v>
      </c>
      <c r="S65" s="10">
        <f t="shared" si="127"/>
        <v>0</v>
      </c>
      <c r="T65" s="10">
        <f t="shared" si="127"/>
        <v>0</v>
      </c>
      <c r="U65" s="10">
        <f t="shared" si="127"/>
        <v>0</v>
      </c>
      <c r="V65" s="10">
        <f t="shared" si="127"/>
        <v>0</v>
      </c>
      <c r="W65" s="10">
        <f t="shared" si="127"/>
        <v>0</v>
      </c>
      <c r="X65" s="10">
        <f t="shared" si="127"/>
        <v>0</v>
      </c>
      <c r="Y65" s="10">
        <f t="shared" si="127"/>
        <v>0</v>
      </c>
      <c r="Z65" s="10">
        <f t="shared" si="127"/>
        <v>0</v>
      </c>
      <c r="AA65" s="10">
        <f t="shared" si="127"/>
        <v>0</v>
      </c>
      <c r="AB65" s="10">
        <f t="shared" si="127"/>
        <v>0</v>
      </c>
      <c r="AC65" s="10">
        <f t="shared" si="127"/>
        <v>0</v>
      </c>
      <c r="AD65" s="10">
        <f t="shared" si="127"/>
        <v>0</v>
      </c>
      <c r="AE65" s="10">
        <f t="shared" si="127"/>
        <v>0</v>
      </c>
      <c r="AF65" s="10">
        <f t="shared" si="127"/>
        <v>0</v>
      </c>
      <c r="AG65" s="10">
        <f t="shared" si="127"/>
        <v>0</v>
      </c>
      <c r="AH65" s="10">
        <f t="shared" si="127"/>
        <v>0</v>
      </c>
      <c r="AI65" s="10">
        <f t="shared" si="127"/>
        <v>0</v>
      </c>
      <c r="AJ65" s="10">
        <f t="shared" ref="AJ65:BO65" si="128">IF(AND(AJ$25&gt;AJ$24,IF(ISNA(AJ$29),TRUE(),AJ52&gt;=AJ$29),(AJ58-AJ52-(-AJ$25*(AJ52-AI52)/(AJ$25-AI$25)))/((AJ52-AI52)/(AJ$25-AI$25))&lt;=AJ$25,(AJ58-AJ52-(-AJ$25*(AJ52-AI52)/(AJ$25-AI$25)))/((AJ52-AI52)/(AJ$25-AI$25))&gt;AI$25),(AJ58-AJ52-(-AJ$25*(AJ52-AI52)/(AJ$25-AI$25)))/((AJ52-AI52)/(AJ$25-AI$25)),0)</f>
        <v>0</v>
      </c>
      <c r="AK65" s="10">
        <f t="shared" si="128"/>
        <v>0</v>
      </c>
      <c r="AL65" s="10">
        <f t="shared" si="128"/>
        <v>0</v>
      </c>
      <c r="AM65" s="10">
        <f t="shared" si="128"/>
        <v>0</v>
      </c>
      <c r="AN65" s="10">
        <f t="shared" si="128"/>
        <v>0</v>
      </c>
      <c r="AO65" s="10">
        <f t="shared" si="128"/>
        <v>0</v>
      </c>
      <c r="AP65" s="10">
        <f t="shared" si="128"/>
        <v>0</v>
      </c>
      <c r="AQ65" s="10">
        <f t="shared" si="128"/>
        <v>0</v>
      </c>
      <c r="AR65" s="10">
        <f t="shared" si="128"/>
        <v>0</v>
      </c>
      <c r="AS65" s="10">
        <f t="shared" si="128"/>
        <v>0.59607195676535074</v>
      </c>
      <c r="AT65" s="10">
        <f t="shared" si="128"/>
        <v>0</v>
      </c>
      <c r="AU65" s="10">
        <f t="shared" si="128"/>
        <v>0</v>
      </c>
      <c r="AV65" s="10">
        <f t="shared" si="128"/>
        <v>0</v>
      </c>
      <c r="AW65" s="10">
        <f t="shared" si="128"/>
        <v>0</v>
      </c>
      <c r="AX65" s="10">
        <f t="shared" si="128"/>
        <v>0</v>
      </c>
      <c r="AY65" s="10">
        <f t="shared" si="128"/>
        <v>0</v>
      </c>
      <c r="AZ65" s="10">
        <f t="shared" si="128"/>
        <v>0</v>
      </c>
      <c r="BA65" s="10">
        <f t="shared" si="128"/>
        <v>0</v>
      </c>
      <c r="BB65" s="10">
        <f t="shared" si="128"/>
        <v>0</v>
      </c>
      <c r="BC65" s="10">
        <f t="shared" si="128"/>
        <v>0</v>
      </c>
      <c r="BD65" s="10">
        <f t="shared" si="128"/>
        <v>0</v>
      </c>
      <c r="BE65" s="10">
        <f t="shared" si="128"/>
        <v>0</v>
      </c>
      <c r="BF65" s="10">
        <f t="shared" si="128"/>
        <v>0</v>
      </c>
      <c r="BG65" s="10">
        <f t="shared" si="128"/>
        <v>0</v>
      </c>
      <c r="BH65" s="10">
        <f t="shared" si="128"/>
        <v>0</v>
      </c>
      <c r="BI65" s="10">
        <f t="shared" si="128"/>
        <v>0</v>
      </c>
      <c r="BJ65" s="10">
        <f t="shared" si="128"/>
        <v>0</v>
      </c>
      <c r="BK65" s="10">
        <f t="shared" si="128"/>
        <v>0</v>
      </c>
      <c r="BL65" s="10">
        <f t="shared" si="128"/>
        <v>0</v>
      </c>
      <c r="BM65" s="10">
        <f t="shared" si="128"/>
        <v>0</v>
      </c>
      <c r="BN65" s="10">
        <f t="shared" si="128"/>
        <v>0</v>
      </c>
      <c r="BO65" s="10">
        <f t="shared" si="128"/>
        <v>0</v>
      </c>
      <c r="BP65" s="10">
        <f t="shared" ref="BP65:CG65" si="129">IF(AND(BP$25&gt;BP$24,IF(ISNA(BP$29),TRUE(),BP52&gt;=BP$29),(BP58-BP52-(-BP$25*(BP52-BO52)/(BP$25-BO$25)))/((BP52-BO52)/(BP$25-BO$25))&lt;=BP$25,(BP58-BP52-(-BP$25*(BP52-BO52)/(BP$25-BO$25)))/((BP52-BO52)/(BP$25-BO$25))&gt;BO$25),(BP58-BP52-(-BP$25*(BP52-BO52)/(BP$25-BO$25)))/((BP52-BO52)/(BP$25-BO$25)),0)</f>
        <v>0</v>
      </c>
      <c r="BQ65" s="10">
        <f t="shared" si="129"/>
        <v>0</v>
      </c>
      <c r="BR65" s="10">
        <f t="shared" si="129"/>
        <v>0</v>
      </c>
      <c r="BS65" s="10">
        <f t="shared" si="129"/>
        <v>0</v>
      </c>
      <c r="BT65" s="10">
        <f t="shared" si="129"/>
        <v>0</v>
      </c>
      <c r="BU65" s="10">
        <f t="shared" si="129"/>
        <v>0</v>
      </c>
      <c r="BV65" s="10">
        <f t="shared" si="129"/>
        <v>0</v>
      </c>
      <c r="BW65" s="10">
        <f t="shared" si="129"/>
        <v>0</v>
      </c>
      <c r="BX65" s="10">
        <f t="shared" si="129"/>
        <v>0</v>
      </c>
      <c r="BY65" s="10">
        <f t="shared" si="129"/>
        <v>0</v>
      </c>
      <c r="BZ65" s="10">
        <f t="shared" si="129"/>
        <v>0</v>
      </c>
      <c r="CA65" s="10">
        <f t="shared" si="129"/>
        <v>0</v>
      </c>
      <c r="CB65" s="10">
        <f t="shared" si="129"/>
        <v>0</v>
      </c>
      <c r="CC65" s="10">
        <f t="shared" si="129"/>
        <v>0</v>
      </c>
      <c r="CD65" s="10">
        <f t="shared" si="129"/>
        <v>0</v>
      </c>
      <c r="CE65" s="10">
        <f t="shared" si="129"/>
        <v>0</v>
      </c>
      <c r="CF65" s="10">
        <f t="shared" si="129"/>
        <v>0</v>
      </c>
      <c r="CG65" s="10">
        <f t="shared" si="129"/>
        <v>0</v>
      </c>
      <c r="CH65" s="10">
        <f t="array" aca="1" ref="CH65" ca="1">IF(MAX(D65:CG65),MAX(D65:CG65),INDIRECT(CI52))</f>
        <v>0.59607195676535074</v>
      </c>
    </row>
    <row r="67" spans="2:86" ht="16.5" customHeight="1">
      <c r="B67" s="10" t="s">
        <v>782</v>
      </c>
      <c r="C67" s="10">
        <f t="shared" ref="C67:AH67" si="130">2*C$10*(C$5+C$11*C$6)/(SQRT(2)*C$9*SIN(C33))</f>
        <v>0.79284042553191492</v>
      </c>
      <c r="D67" s="10">
        <f t="shared" si="130"/>
        <v>0.79284042553191492</v>
      </c>
      <c r="E67" s="10">
        <f t="shared" si="130"/>
        <v>0.79284042553191492</v>
      </c>
      <c r="F67" s="10">
        <f t="shared" si="130"/>
        <v>0.79284042553191492</v>
      </c>
      <c r="G67" s="10">
        <f t="shared" si="130"/>
        <v>0.79284042553191492</v>
      </c>
      <c r="H67" s="10">
        <f t="shared" si="130"/>
        <v>0.79284042553191492</v>
      </c>
      <c r="I67" s="10">
        <f t="shared" si="130"/>
        <v>0.79284042553191492</v>
      </c>
      <c r="J67" s="10">
        <f t="shared" si="130"/>
        <v>0.79284042553191492</v>
      </c>
      <c r="K67" s="10">
        <f t="shared" si="130"/>
        <v>0.79284042553191492</v>
      </c>
      <c r="L67" s="10">
        <f t="shared" si="130"/>
        <v>0.79284042553191492</v>
      </c>
      <c r="M67" s="10">
        <f t="shared" si="130"/>
        <v>0.79284042553191492</v>
      </c>
      <c r="N67" s="10">
        <f t="shared" si="130"/>
        <v>0.79284042553191492</v>
      </c>
      <c r="O67" s="10">
        <f t="shared" si="130"/>
        <v>0.79284042553191492</v>
      </c>
      <c r="P67" s="10">
        <f t="shared" si="130"/>
        <v>0.79284042553191492</v>
      </c>
      <c r="Q67" s="10">
        <f t="shared" si="130"/>
        <v>0.79284042553191492</v>
      </c>
      <c r="R67" s="10">
        <f t="shared" si="130"/>
        <v>0.79284042553191492</v>
      </c>
      <c r="S67" s="10">
        <f t="shared" si="130"/>
        <v>0.79284042553191492</v>
      </c>
      <c r="T67" s="10">
        <f t="shared" si="130"/>
        <v>0.79284042553191492</v>
      </c>
      <c r="U67" s="10">
        <f t="shared" si="130"/>
        <v>0.79284042553191492</v>
      </c>
      <c r="V67" s="10">
        <f t="shared" si="130"/>
        <v>0.79284042553191492</v>
      </c>
      <c r="W67" s="10">
        <f t="shared" si="130"/>
        <v>0.79284042553191492</v>
      </c>
      <c r="X67" s="10">
        <f t="shared" si="130"/>
        <v>0.79284042553191492</v>
      </c>
      <c r="Y67" s="10">
        <f t="shared" si="130"/>
        <v>0.79284042553191492</v>
      </c>
      <c r="Z67" s="10">
        <f t="shared" si="130"/>
        <v>0.79284042553191492</v>
      </c>
      <c r="AA67" s="10">
        <f t="shared" si="130"/>
        <v>0.79284042553191492</v>
      </c>
      <c r="AB67" s="10">
        <f t="shared" si="130"/>
        <v>0.79284042553191492</v>
      </c>
      <c r="AC67" s="10">
        <f t="shared" si="130"/>
        <v>0.79284042553191492</v>
      </c>
      <c r="AD67" s="10">
        <f t="shared" si="130"/>
        <v>0.79284042553191492</v>
      </c>
      <c r="AE67" s="10">
        <f t="shared" si="130"/>
        <v>0.79284042553191492</v>
      </c>
      <c r="AF67" s="10">
        <f t="shared" si="130"/>
        <v>0.79284042553191492</v>
      </c>
      <c r="AG67" s="10">
        <f t="shared" si="130"/>
        <v>0.79284042553191492</v>
      </c>
      <c r="AH67" s="10">
        <f t="shared" si="130"/>
        <v>0.79284042553191492</v>
      </c>
      <c r="AI67" s="10">
        <f t="shared" ref="AI67:BN67" si="131">2*AI$10*(AI$5+AI$11*AI$6)/(SQRT(2)*AI$9*SIN(AI33))</f>
        <v>0.79284042553191492</v>
      </c>
      <c r="AJ67" s="10">
        <f t="shared" si="131"/>
        <v>0.79284042553191492</v>
      </c>
      <c r="AK67" s="10">
        <f t="shared" si="131"/>
        <v>0.79284042553191492</v>
      </c>
      <c r="AL67" s="10">
        <f t="shared" si="131"/>
        <v>0.79284042553191492</v>
      </c>
      <c r="AM67" s="10">
        <f t="shared" si="131"/>
        <v>0.79284042553191492</v>
      </c>
      <c r="AN67" s="10">
        <f t="shared" si="131"/>
        <v>0.79284042553191492</v>
      </c>
      <c r="AO67" s="10">
        <f t="shared" si="131"/>
        <v>0.79284042553191492</v>
      </c>
      <c r="AP67" s="10">
        <f t="shared" si="131"/>
        <v>0.79284042553191492</v>
      </c>
      <c r="AQ67" s="10">
        <f t="shared" si="131"/>
        <v>0.79284042553191492</v>
      </c>
      <c r="AR67" s="10">
        <f t="shared" si="131"/>
        <v>0.79284042553191492</v>
      </c>
      <c r="AS67" s="10">
        <f t="shared" si="131"/>
        <v>0.79284042553191492</v>
      </c>
      <c r="AT67" s="10">
        <f t="shared" si="131"/>
        <v>0.79284042553191492</v>
      </c>
      <c r="AU67" s="10">
        <f t="shared" si="131"/>
        <v>0.79284042553191492</v>
      </c>
      <c r="AV67" s="10">
        <f t="shared" si="131"/>
        <v>0.79284042553191492</v>
      </c>
      <c r="AW67" s="10">
        <f t="shared" si="131"/>
        <v>0.79284042553191492</v>
      </c>
      <c r="AX67" s="10">
        <f t="shared" si="131"/>
        <v>0.79284042553191492</v>
      </c>
      <c r="AY67" s="10">
        <f t="shared" si="131"/>
        <v>0.79284042553191492</v>
      </c>
      <c r="AZ67" s="10">
        <f t="shared" si="131"/>
        <v>0.79284042553191492</v>
      </c>
      <c r="BA67" s="10">
        <f t="shared" si="131"/>
        <v>0.79284042553191492</v>
      </c>
      <c r="BB67" s="10">
        <f t="shared" si="131"/>
        <v>0.79284042553191492</v>
      </c>
      <c r="BC67" s="10">
        <f t="shared" si="131"/>
        <v>0.79284042553191492</v>
      </c>
      <c r="BD67" s="10">
        <f t="shared" si="131"/>
        <v>0.79284042553191492</v>
      </c>
      <c r="BE67" s="10">
        <f t="shared" si="131"/>
        <v>0.79284042553191492</v>
      </c>
      <c r="BF67" s="10">
        <f t="shared" si="131"/>
        <v>0.79284042553191492</v>
      </c>
      <c r="BG67" s="10">
        <f t="shared" si="131"/>
        <v>0.79284042553191492</v>
      </c>
      <c r="BH67" s="10">
        <f t="shared" si="131"/>
        <v>0.79284042553191492</v>
      </c>
      <c r="BI67" s="10">
        <f t="shared" si="131"/>
        <v>0.79284042553191492</v>
      </c>
      <c r="BJ67" s="10">
        <f t="shared" si="131"/>
        <v>0.79284042553191492</v>
      </c>
      <c r="BK67" s="10">
        <f t="shared" si="131"/>
        <v>0.79284042553191492</v>
      </c>
      <c r="BL67" s="10">
        <f t="shared" si="131"/>
        <v>0.79284042553191492</v>
      </c>
      <c r="BM67" s="10">
        <f t="shared" si="131"/>
        <v>0.79284042553191492</v>
      </c>
      <c r="BN67" s="10">
        <f t="shared" si="131"/>
        <v>0.79284042553191492</v>
      </c>
      <c r="BO67" s="10">
        <f t="shared" ref="BO67:CG67" si="132">2*BO$10*(BO$5+BO$11*BO$6)/(SQRT(2)*BO$9*SIN(BO33))</f>
        <v>0.79284042553191492</v>
      </c>
      <c r="BP67" s="10">
        <f t="shared" si="132"/>
        <v>0.79284042553191492</v>
      </c>
      <c r="BQ67" s="10">
        <f t="shared" si="132"/>
        <v>0.79284042553191492</v>
      </c>
      <c r="BR67" s="10">
        <f t="shared" si="132"/>
        <v>0.79284042553191492</v>
      </c>
      <c r="BS67" s="10">
        <f t="shared" si="132"/>
        <v>0.79284042553191492</v>
      </c>
      <c r="BT67" s="10">
        <f t="shared" si="132"/>
        <v>0.79284042553191492</v>
      </c>
      <c r="BU67" s="10">
        <f t="shared" si="132"/>
        <v>0.79284042553191492</v>
      </c>
      <c r="BV67" s="10">
        <f t="shared" si="132"/>
        <v>0.79284042553191492</v>
      </c>
      <c r="BW67" s="10">
        <f t="shared" si="132"/>
        <v>0.79284042553191492</v>
      </c>
      <c r="BX67" s="10">
        <f t="shared" si="132"/>
        <v>0.79284042553191492</v>
      </c>
      <c r="BY67" s="10">
        <f t="shared" si="132"/>
        <v>0.79284042553191492</v>
      </c>
      <c r="BZ67" s="10">
        <f t="shared" si="132"/>
        <v>0.79284042553191492</v>
      </c>
      <c r="CA67" s="10">
        <f t="shared" si="132"/>
        <v>0.79284042553191492</v>
      </c>
      <c r="CB67" s="10">
        <f t="shared" si="132"/>
        <v>0.79284042553191492</v>
      </c>
      <c r="CC67" s="10">
        <f t="shared" si="132"/>
        <v>0.79284042553191492</v>
      </c>
      <c r="CD67" s="10">
        <f t="shared" si="132"/>
        <v>0.79284042553191492</v>
      </c>
      <c r="CE67" s="10">
        <f t="shared" si="132"/>
        <v>0.79284042553191492</v>
      </c>
      <c r="CF67" s="10">
        <f t="shared" si="132"/>
        <v>0.79284042553191492</v>
      </c>
      <c r="CG67" s="10">
        <f t="shared" si="132"/>
        <v>0.79284042553191492</v>
      </c>
    </row>
    <row r="68" spans="2:86" ht="16.5" customHeight="1">
      <c r="B68" s="10" t="s">
        <v>825</v>
      </c>
      <c r="C68" s="10">
        <f t="shared" ref="C68:AH68" si="133">2*C$10*(C$5+C$11*C$6)/(SQRT(2)*C$9*SIN(C34))</f>
        <v>0.82080880741938578</v>
      </c>
      <c r="D68" s="10">
        <f t="shared" si="133"/>
        <v>0.82080880741938578</v>
      </c>
      <c r="E68" s="10">
        <f t="shared" si="133"/>
        <v>0.82080880741938578</v>
      </c>
      <c r="F68" s="10">
        <f t="shared" si="133"/>
        <v>0.82080880741938578</v>
      </c>
      <c r="G68" s="10">
        <f t="shared" si="133"/>
        <v>0.82080880741938578</v>
      </c>
      <c r="H68" s="10">
        <f t="shared" si="133"/>
        <v>0.82080880741938578</v>
      </c>
      <c r="I68" s="10">
        <f t="shared" si="133"/>
        <v>0.82080880741938578</v>
      </c>
      <c r="J68" s="10">
        <f t="shared" si="133"/>
        <v>0.82080880741938578</v>
      </c>
      <c r="K68" s="10">
        <f t="shared" si="133"/>
        <v>0.82080880741938578</v>
      </c>
      <c r="L68" s="10">
        <f t="shared" si="133"/>
        <v>0.82080880741938578</v>
      </c>
      <c r="M68" s="10">
        <f t="shared" si="133"/>
        <v>0.82080880741938578</v>
      </c>
      <c r="N68" s="10">
        <f t="shared" si="133"/>
        <v>0.82080880741938578</v>
      </c>
      <c r="O68" s="10">
        <f t="shared" si="133"/>
        <v>0.82080880741938578</v>
      </c>
      <c r="P68" s="10">
        <f t="shared" si="133"/>
        <v>0.82080880741938578</v>
      </c>
      <c r="Q68" s="10">
        <f t="shared" si="133"/>
        <v>0.82080880741938578</v>
      </c>
      <c r="R68" s="10">
        <f t="shared" si="133"/>
        <v>0.82080880741938578</v>
      </c>
      <c r="S68" s="10">
        <f t="shared" si="133"/>
        <v>0.82080880741938578</v>
      </c>
      <c r="T68" s="10">
        <f t="shared" si="133"/>
        <v>0.82080880741938578</v>
      </c>
      <c r="U68" s="10">
        <f t="shared" si="133"/>
        <v>0.82080880741938578</v>
      </c>
      <c r="V68" s="10">
        <f t="shared" si="133"/>
        <v>0.82080880741938578</v>
      </c>
      <c r="W68" s="10">
        <f t="shared" si="133"/>
        <v>0.82080880741938578</v>
      </c>
      <c r="X68" s="10">
        <f t="shared" si="133"/>
        <v>0.82080880741938578</v>
      </c>
      <c r="Y68" s="10">
        <f t="shared" si="133"/>
        <v>0.82080880741938578</v>
      </c>
      <c r="Z68" s="10">
        <f t="shared" si="133"/>
        <v>0.82080880741938578</v>
      </c>
      <c r="AA68" s="10">
        <f t="shared" si="133"/>
        <v>0.82080880741938578</v>
      </c>
      <c r="AB68" s="10">
        <f t="shared" si="133"/>
        <v>0.82080880741938578</v>
      </c>
      <c r="AC68" s="10">
        <f t="shared" si="133"/>
        <v>0.82080880741938578</v>
      </c>
      <c r="AD68" s="10">
        <f t="shared" si="133"/>
        <v>0.82080880741938578</v>
      </c>
      <c r="AE68" s="10">
        <f t="shared" si="133"/>
        <v>0.82080880741938578</v>
      </c>
      <c r="AF68" s="10">
        <f t="shared" si="133"/>
        <v>0.82080880741938578</v>
      </c>
      <c r="AG68" s="10">
        <f t="shared" si="133"/>
        <v>0.82080880741938578</v>
      </c>
      <c r="AH68" s="10">
        <f t="shared" si="133"/>
        <v>0.82080880741938578</v>
      </c>
      <c r="AI68" s="10">
        <f t="shared" ref="AI68:BN68" si="134">2*AI$10*(AI$5+AI$11*AI$6)/(SQRT(2)*AI$9*SIN(AI34))</f>
        <v>0.82080880741938578</v>
      </c>
      <c r="AJ68" s="10">
        <f t="shared" si="134"/>
        <v>0.82080880741938578</v>
      </c>
      <c r="AK68" s="10">
        <f t="shared" si="134"/>
        <v>0.82080880741938578</v>
      </c>
      <c r="AL68" s="10">
        <f t="shared" si="134"/>
        <v>0.82080880741938578</v>
      </c>
      <c r="AM68" s="10">
        <f t="shared" si="134"/>
        <v>0.82080880741938578</v>
      </c>
      <c r="AN68" s="10">
        <f t="shared" si="134"/>
        <v>0.82080880741938578</v>
      </c>
      <c r="AO68" s="10">
        <f t="shared" si="134"/>
        <v>0.82080880741938578</v>
      </c>
      <c r="AP68" s="10">
        <f t="shared" si="134"/>
        <v>0.82080880741938578</v>
      </c>
      <c r="AQ68" s="10">
        <f t="shared" si="134"/>
        <v>0.82080880741938578</v>
      </c>
      <c r="AR68" s="10">
        <f t="shared" si="134"/>
        <v>0.82080880741938578</v>
      </c>
      <c r="AS68" s="10">
        <f t="shared" si="134"/>
        <v>0.82080880741938578</v>
      </c>
      <c r="AT68" s="10">
        <f t="shared" si="134"/>
        <v>0.82080880741938578</v>
      </c>
      <c r="AU68" s="10">
        <f t="shared" si="134"/>
        <v>0.82080880741938578</v>
      </c>
      <c r="AV68" s="10">
        <f t="shared" si="134"/>
        <v>0.82080880741938578</v>
      </c>
      <c r="AW68" s="10">
        <f t="shared" si="134"/>
        <v>0.82080880741938578</v>
      </c>
      <c r="AX68" s="10">
        <f t="shared" si="134"/>
        <v>0.82080880741938578</v>
      </c>
      <c r="AY68" s="10">
        <f t="shared" si="134"/>
        <v>0.82080880741938578</v>
      </c>
      <c r="AZ68" s="10">
        <f t="shared" si="134"/>
        <v>0.82080880741938578</v>
      </c>
      <c r="BA68" s="10">
        <f t="shared" si="134"/>
        <v>0.82080880741938578</v>
      </c>
      <c r="BB68" s="10">
        <f t="shared" si="134"/>
        <v>0.82080880741938578</v>
      </c>
      <c r="BC68" s="10">
        <f t="shared" si="134"/>
        <v>0.82080880741938578</v>
      </c>
      <c r="BD68" s="10">
        <f t="shared" si="134"/>
        <v>0.82080880741938578</v>
      </c>
      <c r="BE68" s="10">
        <f t="shared" si="134"/>
        <v>0.82080880741938578</v>
      </c>
      <c r="BF68" s="10">
        <f t="shared" si="134"/>
        <v>0.82080880741938578</v>
      </c>
      <c r="BG68" s="10">
        <f t="shared" si="134"/>
        <v>0.82080880741938578</v>
      </c>
      <c r="BH68" s="10">
        <f t="shared" si="134"/>
        <v>0.82080880741938578</v>
      </c>
      <c r="BI68" s="10">
        <f t="shared" si="134"/>
        <v>0.82080880741938578</v>
      </c>
      <c r="BJ68" s="10">
        <f t="shared" si="134"/>
        <v>0.82080880741938578</v>
      </c>
      <c r="BK68" s="10">
        <f t="shared" si="134"/>
        <v>0.82080880741938578</v>
      </c>
      <c r="BL68" s="10">
        <f t="shared" si="134"/>
        <v>0.82080880741938578</v>
      </c>
      <c r="BM68" s="10">
        <f t="shared" si="134"/>
        <v>0.82080880741938578</v>
      </c>
      <c r="BN68" s="10">
        <f t="shared" si="134"/>
        <v>0.82080880741938578</v>
      </c>
      <c r="BO68" s="10">
        <f t="shared" ref="BO68:CG68" si="135">2*BO$10*(BO$5+BO$11*BO$6)/(SQRT(2)*BO$9*SIN(BO34))</f>
        <v>0.82080880741938578</v>
      </c>
      <c r="BP68" s="10">
        <f t="shared" si="135"/>
        <v>0.82080880741938578</v>
      </c>
      <c r="BQ68" s="10">
        <f t="shared" si="135"/>
        <v>0.82080880741938578</v>
      </c>
      <c r="BR68" s="10">
        <f t="shared" si="135"/>
        <v>0.82080880741938578</v>
      </c>
      <c r="BS68" s="10">
        <f t="shared" si="135"/>
        <v>0.82080880741938578</v>
      </c>
      <c r="BT68" s="10">
        <f t="shared" si="135"/>
        <v>0.82080880741938578</v>
      </c>
      <c r="BU68" s="10">
        <f t="shared" si="135"/>
        <v>0.82080880741938578</v>
      </c>
      <c r="BV68" s="10">
        <f t="shared" si="135"/>
        <v>0.82080880741938578</v>
      </c>
      <c r="BW68" s="10">
        <f t="shared" si="135"/>
        <v>0.82080880741938578</v>
      </c>
      <c r="BX68" s="10">
        <f t="shared" si="135"/>
        <v>0.82080880741938578</v>
      </c>
      <c r="BY68" s="10">
        <f t="shared" si="135"/>
        <v>0.82080880741938578</v>
      </c>
      <c r="BZ68" s="10">
        <f t="shared" si="135"/>
        <v>0.82080880741938578</v>
      </c>
      <c r="CA68" s="10">
        <f t="shared" si="135"/>
        <v>0.82080880741938578</v>
      </c>
      <c r="CB68" s="10">
        <f t="shared" si="135"/>
        <v>0.82080880741938578</v>
      </c>
      <c r="CC68" s="10">
        <f t="shared" si="135"/>
        <v>0.82080880741938578</v>
      </c>
      <c r="CD68" s="10">
        <f t="shared" si="135"/>
        <v>0.82080880741938578</v>
      </c>
      <c r="CE68" s="10">
        <f t="shared" si="135"/>
        <v>0.82080880741938578</v>
      </c>
      <c r="CF68" s="10">
        <f t="shared" si="135"/>
        <v>0.82080880741938578</v>
      </c>
      <c r="CG68" s="10">
        <f t="shared" si="135"/>
        <v>0.82080880741938578</v>
      </c>
    </row>
    <row r="69" spans="2:86" ht="16.5" customHeight="1">
      <c r="B69" s="10" t="s">
        <v>826</v>
      </c>
      <c r="C69" s="10">
        <f t="shared" ref="C69:AH69" si="136">2*C$10*(C$5+C$11*C$6)/(SQRT(2)*C$9*SIN(C35))</f>
        <v>0.91549326621053717</v>
      </c>
      <c r="D69" s="10">
        <f t="shared" si="136"/>
        <v>0.91549326621053717</v>
      </c>
      <c r="E69" s="10">
        <f t="shared" si="136"/>
        <v>0.91549326621053717</v>
      </c>
      <c r="F69" s="10">
        <f t="shared" si="136"/>
        <v>0.91549326621053717</v>
      </c>
      <c r="G69" s="10">
        <f t="shared" si="136"/>
        <v>0.91549326621053717</v>
      </c>
      <c r="H69" s="10">
        <f t="shared" si="136"/>
        <v>0.91549326621053717</v>
      </c>
      <c r="I69" s="10">
        <f t="shared" si="136"/>
        <v>0.91549326621053717</v>
      </c>
      <c r="J69" s="10">
        <f t="shared" si="136"/>
        <v>0.91549326621053717</v>
      </c>
      <c r="K69" s="10">
        <f t="shared" si="136"/>
        <v>0.91549326621053717</v>
      </c>
      <c r="L69" s="10">
        <f t="shared" si="136"/>
        <v>0.91549326621053717</v>
      </c>
      <c r="M69" s="10">
        <f t="shared" si="136"/>
        <v>0.91549326621053717</v>
      </c>
      <c r="N69" s="10">
        <f t="shared" si="136"/>
        <v>0.91549326621053717</v>
      </c>
      <c r="O69" s="10">
        <f t="shared" si="136"/>
        <v>0.91549326621053717</v>
      </c>
      <c r="P69" s="10">
        <f t="shared" si="136"/>
        <v>0.91549326621053717</v>
      </c>
      <c r="Q69" s="10">
        <f t="shared" si="136"/>
        <v>0.91549326621053717</v>
      </c>
      <c r="R69" s="10">
        <f t="shared" si="136"/>
        <v>0.91549326621053717</v>
      </c>
      <c r="S69" s="10">
        <f t="shared" si="136"/>
        <v>0.91549326621053717</v>
      </c>
      <c r="T69" s="10">
        <f t="shared" si="136"/>
        <v>0.91549326621053717</v>
      </c>
      <c r="U69" s="10">
        <f t="shared" si="136"/>
        <v>0.91549326621053717</v>
      </c>
      <c r="V69" s="10">
        <f t="shared" si="136"/>
        <v>0.91549326621053717</v>
      </c>
      <c r="W69" s="10">
        <f t="shared" si="136"/>
        <v>0.91549326621053717</v>
      </c>
      <c r="X69" s="10">
        <f t="shared" si="136"/>
        <v>0.91549326621053717</v>
      </c>
      <c r="Y69" s="10">
        <f t="shared" si="136"/>
        <v>0.91549326621053717</v>
      </c>
      <c r="Z69" s="10">
        <f t="shared" si="136"/>
        <v>0.91549326621053717</v>
      </c>
      <c r="AA69" s="10">
        <f t="shared" si="136"/>
        <v>0.91549326621053717</v>
      </c>
      <c r="AB69" s="10">
        <f t="shared" si="136"/>
        <v>0.91549326621053717</v>
      </c>
      <c r="AC69" s="10">
        <f t="shared" si="136"/>
        <v>0.91549326621053717</v>
      </c>
      <c r="AD69" s="10">
        <f t="shared" si="136"/>
        <v>0.91549326621053717</v>
      </c>
      <c r="AE69" s="10">
        <f t="shared" si="136"/>
        <v>0.91549326621053717</v>
      </c>
      <c r="AF69" s="10">
        <f t="shared" si="136"/>
        <v>0.91549326621053717</v>
      </c>
      <c r="AG69" s="10">
        <f t="shared" si="136"/>
        <v>0.91549326621053717</v>
      </c>
      <c r="AH69" s="10">
        <f t="shared" si="136"/>
        <v>0.91549326621053717</v>
      </c>
      <c r="AI69" s="10">
        <f t="shared" ref="AI69:BN69" si="137">2*AI$10*(AI$5+AI$11*AI$6)/(SQRT(2)*AI$9*SIN(AI35))</f>
        <v>0.91549326621053717</v>
      </c>
      <c r="AJ69" s="10">
        <f t="shared" si="137"/>
        <v>0.91549326621053717</v>
      </c>
      <c r="AK69" s="10">
        <f t="shared" si="137"/>
        <v>0.91549326621053717</v>
      </c>
      <c r="AL69" s="10">
        <f t="shared" si="137"/>
        <v>0.91549326621053717</v>
      </c>
      <c r="AM69" s="10">
        <f t="shared" si="137"/>
        <v>0.91549326621053717</v>
      </c>
      <c r="AN69" s="10">
        <f t="shared" si="137"/>
        <v>0.91549326621053717</v>
      </c>
      <c r="AO69" s="10">
        <f t="shared" si="137"/>
        <v>0.91549326621053717</v>
      </c>
      <c r="AP69" s="10">
        <f t="shared" si="137"/>
        <v>0.91549326621053717</v>
      </c>
      <c r="AQ69" s="10">
        <f t="shared" si="137"/>
        <v>0.91549326621053717</v>
      </c>
      <c r="AR69" s="10">
        <f t="shared" si="137"/>
        <v>0.91549326621053717</v>
      </c>
      <c r="AS69" s="10">
        <f t="shared" si="137"/>
        <v>0.91549326621053717</v>
      </c>
      <c r="AT69" s="10">
        <f t="shared" si="137"/>
        <v>0.91549326621053717</v>
      </c>
      <c r="AU69" s="10">
        <f t="shared" si="137"/>
        <v>0.91549326621053717</v>
      </c>
      <c r="AV69" s="10">
        <f t="shared" si="137"/>
        <v>0.91549326621053717</v>
      </c>
      <c r="AW69" s="10">
        <f t="shared" si="137"/>
        <v>0.91549326621053717</v>
      </c>
      <c r="AX69" s="10">
        <f t="shared" si="137"/>
        <v>0.91549326621053717</v>
      </c>
      <c r="AY69" s="10">
        <f t="shared" si="137"/>
        <v>0.91549326621053717</v>
      </c>
      <c r="AZ69" s="10">
        <f t="shared" si="137"/>
        <v>0.91549326621053717</v>
      </c>
      <c r="BA69" s="10">
        <f t="shared" si="137"/>
        <v>0.91549326621053717</v>
      </c>
      <c r="BB69" s="10">
        <f t="shared" si="137"/>
        <v>0.91549326621053717</v>
      </c>
      <c r="BC69" s="10">
        <f t="shared" si="137"/>
        <v>0.91549326621053717</v>
      </c>
      <c r="BD69" s="10">
        <f t="shared" si="137"/>
        <v>0.91549326621053717</v>
      </c>
      <c r="BE69" s="10">
        <f t="shared" si="137"/>
        <v>0.91549326621053717</v>
      </c>
      <c r="BF69" s="10">
        <f t="shared" si="137"/>
        <v>0.91549326621053717</v>
      </c>
      <c r="BG69" s="10">
        <f t="shared" si="137"/>
        <v>0.91549326621053717</v>
      </c>
      <c r="BH69" s="10">
        <f t="shared" si="137"/>
        <v>0.91549326621053717</v>
      </c>
      <c r="BI69" s="10">
        <f t="shared" si="137"/>
        <v>0.91549326621053717</v>
      </c>
      <c r="BJ69" s="10">
        <f t="shared" si="137"/>
        <v>0.91549326621053717</v>
      </c>
      <c r="BK69" s="10">
        <f t="shared" si="137"/>
        <v>0.91549326621053717</v>
      </c>
      <c r="BL69" s="10">
        <f t="shared" si="137"/>
        <v>0.91549326621053717</v>
      </c>
      <c r="BM69" s="10">
        <f t="shared" si="137"/>
        <v>0.91549326621053717</v>
      </c>
      <c r="BN69" s="10">
        <f t="shared" si="137"/>
        <v>0.91549326621053717</v>
      </c>
      <c r="BO69" s="10">
        <f t="shared" ref="BO69:CG69" si="138">2*BO$10*(BO$5+BO$11*BO$6)/(SQRT(2)*BO$9*SIN(BO35))</f>
        <v>0.91549326621053717</v>
      </c>
      <c r="BP69" s="10">
        <f t="shared" si="138"/>
        <v>0.91549326621053717</v>
      </c>
      <c r="BQ69" s="10">
        <f t="shared" si="138"/>
        <v>0.91549326621053717</v>
      </c>
      <c r="BR69" s="10">
        <f t="shared" si="138"/>
        <v>0.91549326621053717</v>
      </c>
      <c r="BS69" s="10">
        <f t="shared" si="138"/>
        <v>0.91549326621053717</v>
      </c>
      <c r="BT69" s="10">
        <f t="shared" si="138"/>
        <v>0.91549326621053717</v>
      </c>
      <c r="BU69" s="10">
        <f t="shared" si="138"/>
        <v>0.91549326621053717</v>
      </c>
      <c r="BV69" s="10">
        <f t="shared" si="138"/>
        <v>0.91549326621053717</v>
      </c>
      <c r="BW69" s="10">
        <f t="shared" si="138"/>
        <v>0.91549326621053717</v>
      </c>
      <c r="BX69" s="10">
        <f t="shared" si="138"/>
        <v>0.91549326621053717</v>
      </c>
      <c r="BY69" s="10">
        <f t="shared" si="138"/>
        <v>0.91549326621053717</v>
      </c>
      <c r="BZ69" s="10">
        <f t="shared" si="138"/>
        <v>0.91549326621053717</v>
      </c>
      <c r="CA69" s="10">
        <f t="shared" si="138"/>
        <v>0.91549326621053717</v>
      </c>
      <c r="CB69" s="10">
        <f t="shared" si="138"/>
        <v>0.91549326621053717</v>
      </c>
      <c r="CC69" s="10">
        <f t="shared" si="138"/>
        <v>0.91549326621053717</v>
      </c>
      <c r="CD69" s="10">
        <f t="shared" si="138"/>
        <v>0.91549326621053717</v>
      </c>
      <c r="CE69" s="10">
        <f t="shared" si="138"/>
        <v>0.91549326621053717</v>
      </c>
      <c r="CF69" s="10">
        <f t="shared" si="138"/>
        <v>0.91549326621053717</v>
      </c>
      <c r="CG69" s="10">
        <f t="shared" si="138"/>
        <v>0.91549326621053717</v>
      </c>
    </row>
    <row r="70" spans="2:86" ht="16.5" customHeight="1">
      <c r="B70" s="10" t="s">
        <v>827</v>
      </c>
      <c r="C70" s="10">
        <f t="shared" ref="C70:AH70" si="139">2*C$10*(C$5+C$11*C$6)/(SQRT(2)*C$9*SIN(C36))</f>
        <v>1.12124568258489</v>
      </c>
      <c r="D70" s="10">
        <f t="shared" si="139"/>
        <v>1.12124568258489</v>
      </c>
      <c r="E70" s="10">
        <f t="shared" si="139"/>
        <v>1.12124568258489</v>
      </c>
      <c r="F70" s="10">
        <f t="shared" si="139"/>
        <v>1.12124568258489</v>
      </c>
      <c r="G70" s="10">
        <f t="shared" si="139"/>
        <v>1.12124568258489</v>
      </c>
      <c r="H70" s="10">
        <f t="shared" si="139"/>
        <v>1.12124568258489</v>
      </c>
      <c r="I70" s="10">
        <f t="shared" si="139"/>
        <v>1.12124568258489</v>
      </c>
      <c r="J70" s="10">
        <f t="shared" si="139"/>
        <v>1.12124568258489</v>
      </c>
      <c r="K70" s="10">
        <f t="shared" si="139"/>
        <v>1.12124568258489</v>
      </c>
      <c r="L70" s="10">
        <f t="shared" si="139"/>
        <v>1.12124568258489</v>
      </c>
      <c r="M70" s="10">
        <f t="shared" si="139"/>
        <v>1.12124568258489</v>
      </c>
      <c r="N70" s="10">
        <f t="shared" si="139"/>
        <v>1.12124568258489</v>
      </c>
      <c r="O70" s="10">
        <f t="shared" si="139"/>
        <v>1.12124568258489</v>
      </c>
      <c r="P70" s="10">
        <f t="shared" si="139"/>
        <v>1.12124568258489</v>
      </c>
      <c r="Q70" s="10">
        <f t="shared" si="139"/>
        <v>1.12124568258489</v>
      </c>
      <c r="R70" s="10">
        <f t="shared" si="139"/>
        <v>1.12124568258489</v>
      </c>
      <c r="S70" s="10">
        <f t="shared" si="139"/>
        <v>1.12124568258489</v>
      </c>
      <c r="T70" s="10">
        <f t="shared" si="139"/>
        <v>1.12124568258489</v>
      </c>
      <c r="U70" s="10">
        <f t="shared" si="139"/>
        <v>1.12124568258489</v>
      </c>
      <c r="V70" s="10">
        <f t="shared" si="139"/>
        <v>1.12124568258489</v>
      </c>
      <c r="W70" s="10">
        <f t="shared" si="139"/>
        <v>1.12124568258489</v>
      </c>
      <c r="X70" s="10">
        <f t="shared" si="139"/>
        <v>1.12124568258489</v>
      </c>
      <c r="Y70" s="10">
        <f t="shared" si="139"/>
        <v>1.12124568258489</v>
      </c>
      <c r="Z70" s="10">
        <f t="shared" si="139"/>
        <v>1.12124568258489</v>
      </c>
      <c r="AA70" s="10">
        <f t="shared" si="139"/>
        <v>1.12124568258489</v>
      </c>
      <c r="AB70" s="10">
        <f t="shared" si="139"/>
        <v>1.12124568258489</v>
      </c>
      <c r="AC70" s="10">
        <f t="shared" si="139"/>
        <v>1.12124568258489</v>
      </c>
      <c r="AD70" s="10">
        <f t="shared" si="139"/>
        <v>1.12124568258489</v>
      </c>
      <c r="AE70" s="10">
        <f t="shared" si="139"/>
        <v>1.12124568258489</v>
      </c>
      <c r="AF70" s="10">
        <f t="shared" si="139"/>
        <v>1.12124568258489</v>
      </c>
      <c r="AG70" s="10">
        <f t="shared" si="139"/>
        <v>1.12124568258489</v>
      </c>
      <c r="AH70" s="10">
        <f t="shared" si="139"/>
        <v>1.12124568258489</v>
      </c>
      <c r="AI70" s="10">
        <f t="shared" ref="AI70:BN70" si="140">2*AI$10*(AI$5+AI$11*AI$6)/(SQRT(2)*AI$9*SIN(AI36))</f>
        <v>1.12124568258489</v>
      </c>
      <c r="AJ70" s="10">
        <f t="shared" si="140"/>
        <v>1.12124568258489</v>
      </c>
      <c r="AK70" s="10">
        <f t="shared" si="140"/>
        <v>1.12124568258489</v>
      </c>
      <c r="AL70" s="10">
        <f t="shared" si="140"/>
        <v>1.12124568258489</v>
      </c>
      <c r="AM70" s="10">
        <f t="shared" si="140"/>
        <v>1.12124568258489</v>
      </c>
      <c r="AN70" s="10">
        <f t="shared" si="140"/>
        <v>1.12124568258489</v>
      </c>
      <c r="AO70" s="10">
        <f t="shared" si="140"/>
        <v>1.12124568258489</v>
      </c>
      <c r="AP70" s="10">
        <f t="shared" si="140"/>
        <v>1.12124568258489</v>
      </c>
      <c r="AQ70" s="10">
        <f t="shared" si="140"/>
        <v>1.12124568258489</v>
      </c>
      <c r="AR70" s="10">
        <f t="shared" si="140"/>
        <v>1.12124568258489</v>
      </c>
      <c r="AS70" s="10">
        <f t="shared" si="140"/>
        <v>1.12124568258489</v>
      </c>
      <c r="AT70" s="10">
        <f t="shared" si="140"/>
        <v>1.12124568258489</v>
      </c>
      <c r="AU70" s="10">
        <f t="shared" si="140"/>
        <v>1.12124568258489</v>
      </c>
      <c r="AV70" s="10">
        <f t="shared" si="140"/>
        <v>1.12124568258489</v>
      </c>
      <c r="AW70" s="10">
        <f t="shared" si="140"/>
        <v>1.12124568258489</v>
      </c>
      <c r="AX70" s="10">
        <f t="shared" si="140"/>
        <v>1.12124568258489</v>
      </c>
      <c r="AY70" s="10">
        <f t="shared" si="140"/>
        <v>1.12124568258489</v>
      </c>
      <c r="AZ70" s="10">
        <f t="shared" si="140"/>
        <v>1.12124568258489</v>
      </c>
      <c r="BA70" s="10">
        <f t="shared" si="140"/>
        <v>1.12124568258489</v>
      </c>
      <c r="BB70" s="10">
        <f t="shared" si="140"/>
        <v>1.12124568258489</v>
      </c>
      <c r="BC70" s="10">
        <f t="shared" si="140"/>
        <v>1.12124568258489</v>
      </c>
      <c r="BD70" s="10">
        <f t="shared" si="140"/>
        <v>1.12124568258489</v>
      </c>
      <c r="BE70" s="10">
        <f t="shared" si="140"/>
        <v>1.12124568258489</v>
      </c>
      <c r="BF70" s="10">
        <f t="shared" si="140"/>
        <v>1.12124568258489</v>
      </c>
      <c r="BG70" s="10">
        <f t="shared" si="140"/>
        <v>1.12124568258489</v>
      </c>
      <c r="BH70" s="10">
        <f t="shared" si="140"/>
        <v>1.12124568258489</v>
      </c>
      <c r="BI70" s="10">
        <f t="shared" si="140"/>
        <v>1.12124568258489</v>
      </c>
      <c r="BJ70" s="10">
        <f t="shared" si="140"/>
        <v>1.12124568258489</v>
      </c>
      <c r="BK70" s="10">
        <f t="shared" si="140"/>
        <v>1.12124568258489</v>
      </c>
      <c r="BL70" s="10">
        <f t="shared" si="140"/>
        <v>1.12124568258489</v>
      </c>
      <c r="BM70" s="10">
        <f t="shared" si="140"/>
        <v>1.12124568258489</v>
      </c>
      <c r="BN70" s="10">
        <f t="shared" si="140"/>
        <v>1.12124568258489</v>
      </c>
      <c r="BO70" s="10">
        <f t="shared" ref="BO70:CG70" si="141">2*BO$10*(BO$5+BO$11*BO$6)/(SQRT(2)*BO$9*SIN(BO36))</f>
        <v>1.12124568258489</v>
      </c>
      <c r="BP70" s="10">
        <f t="shared" si="141"/>
        <v>1.12124568258489</v>
      </c>
      <c r="BQ70" s="10">
        <f t="shared" si="141"/>
        <v>1.12124568258489</v>
      </c>
      <c r="BR70" s="10">
        <f t="shared" si="141"/>
        <v>1.12124568258489</v>
      </c>
      <c r="BS70" s="10">
        <f t="shared" si="141"/>
        <v>1.12124568258489</v>
      </c>
      <c r="BT70" s="10">
        <f t="shared" si="141"/>
        <v>1.12124568258489</v>
      </c>
      <c r="BU70" s="10">
        <f t="shared" si="141"/>
        <v>1.12124568258489</v>
      </c>
      <c r="BV70" s="10">
        <f t="shared" si="141"/>
        <v>1.12124568258489</v>
      </c>
      <c r="BW70" s="10">
        <f t="shared" si="141"/>
        <v>1.12124568258489</v>
      </c>
      <c r="BX70" s="10">
        <f t="shared" si="141"/>
        <v>1.12124568258489</v>
      </c>
      <c r="BY70" s="10">
        <f t="shared" si="141"/>
        <v>1.12124568258489</v>
      </c>
      <c r="BZ70" s="10">
        <f t="shared" si="141"/>
        <v>1.12124568258489</v>
      </c>
      <c r="CA70" s="10">
        <f t="shared" si="141"/>
        <v>1.12124568258489</v>
      </c>
      <c r="CB70" s="10">
        <f t="shared" si="141"/>
        <v>1.12124568258489</v>
      </c>
      <c r="CC70" s="10">
        <f t="shared" si="141"/>
        <v>1.12124568258489</v>
      </c>
      <c r="CD70" s="10">
        <f t="shared" si="141"/>
        <v>1.12124568258489</v>
      </c>
      <c r="CE70" s="10">
        <f t="shared" si="141"/>
        <v>1.12124568258489</v>
      </c>
      <c r="CF70" s="10">
        <f t="shared" si="141"/>
        <v>1.12124568258489</v>
      </c>
      <c r="CG70" s="10">
        <f t="shared" si="141"/>
        <v>1.12124568258489</v>
      </c>
    </row>
    <row r="71" spans="2:86" ht="16.5" customHeight="1">
      <c r="B71" s="10" t="s">
        <v>828</v>
      </c>
      <c r="C71" s="10">
        <f t="shared" ref="C71:AH71" si="142">2*C$10*(C$5+C$11*C$6)/(SQRT(2)*C$9*SIN(C37))</f>
        <v>1.5856808510638301</v>
      </c>
      <c r="D71" s="10">
        <f t="shared" si="142"/>
        <v>1.5856808510638301</v>
      </c>
      <c r="E71" s="10">
        <f t="shared" si="142"/>
        <v>1.5856808510638301</v>
      </c>
      <c r="F71" s="10">
        <f t="shared" si="142"/>
        <v>1.5856808510638301</v>
      </c>
      <c r="G71" s="10">
        <f t="shared" si="142"/>
        <v>1.5856808510638301</v>
      </c>
      <c r="H71" s="10">
        <f t="shared" si="142"/>
        <v>1.5856808510638301</v>
      </c>
      <c r="I71" s="10">
        <f t="shared" si="142"/>
        <v>1.5856808510638301</v>
      </c>
      <c r="J71" s="10">
        <f t="shared" si="142"/>
        <v>1.5856808510638301</v>
      </c>
      <c r="K71" s="10">
        <f t="shared" si="142"/>
        <v>1.5856808510638301</v>
      </c>
      <c r="L71" s="10">
        <f t="shared" si="142"/>
        <v>1.5856808510638301</v>
      </c>
      <c r="M71" s="10">
        <f t="shared" si="142"/>
        <v>1.5856808510638301</v>
      </c>
      <c r="N71" s="10">
        <f t="shared" si="142"/>
        <v>1.5856808510638301</v>
      </c>
      <c r="O71" s="10">
        <f t="shared" si="142"/>
        <v>1.5856808510638301</v>
      </c>
      <c r="P71" s="10">
        <f t="shared" si="142"/>
        <v>1.5856808510638301</v>
      </c>
      <c r="Q71" s="10">
        <f t="shared" si="142"/>
        <v>1.5856808510638301</v>
      </c>
      <c r="R71" s="10">
        <f t="shared" si="142"/>
        <v>1.5856808510638301</v>
      </c>
      <c r="S71" s="10">
        <f t="shared" si="142"/>
        <v>1.5856808510638301</v>
      </c>
      <c r="T71" s="10">
        <f t="shared" si="142"/>
        <v>1.5856808510638301</v>
      </c>
      <c r="U71" s="10">
        <f t="shared" si="142"/>
        <v>1.5856808510638301</v>
      </c>
      <c r="V71" s="10">
        <f t="shared" si="142"/>
        <v>1.5856808510638301</v>
      </c>
      <c r="W71" s="10">
        <f t="shared" si="142"/>
        <v>1.5856808510638301</v>
      </c>
      <c r="X71" s="10">
        <f t="shared" si="142"/>
        <v>1.5856808510638301</v>
      </c>
      <c r="Y71" s="10">
        <f t="shared" si="142"/>
        <v>1.5856808510638301</v>
      </c>
      <c r="Z71" s="10">
        <f t="shared" si="142"/>
        <v>1.5856808510638301</v>
      </c>
      <c r="AA71" s="10">
        <f t="shared" si="142"/>
        <v>1.5856808510638301</v>
      </c>
      <c r="AB71" s="10">
        <f t="shared" si="142"/>
        <v>1.5856808510638301</v>
      </c>
      <c r="AC71" s="10">
        <f t="shared" si="142"/>
        <v>1.5856808510638301</v>
      </c>
      <c r="AD71" s="10">
        <f t="shared" si="142"/>
        <v>1.5856808510638301</v>
      </c>
      <c r="AE71" s="10">
        <f t="shared" si="142"/>
        <v>1.5856808510638301</v>
      </c>
      <c r="AF71" s="10">
        <f t="shared" si="142"/>
        <v>1.5856808510638301</v>
      </c>
      <c r="AG71" s="10">
        <f t="shared" si="142"/>
        <v>1.5856808510638301</v>
      </c>
      <c r="AH71" s="10">
        <f t="shared" si="142"/>
        <v>1.5856808510638301</v>
      </c>
      <c r="AI71" s="10">
        <f t="shared" ref="AI71:BN71" si="143">2*AI$10*(AI$5+AI$11*AI$6)/(SQRT(2)*AI$9*SIN(AI37))</f>
        <v>1.5856808510638301</v>
      </c>
      <c r="AJ71" s="10">
        <f t="shared" si="143"/>
        <v>1.5856808510638301</v>
      </c>
      <c r="AK71" s="10">
        <f t="shared" si="143"/>
        <v>1.5856808510638301</v>
      </c>
      <c r="AL71" s="10">
        <f t="shared" si="143"/>
        <v>1.5856808510638301</v>
      </c>
      <c r="AM71" s="10">
        <f t="shared" si="143"/>
        <v>1.5856808510638301</v>
      </c>
      <c r="AN71" s="10">
        <f t="shared" si="143"/>
        <v>1.5856808510638301</v>
      </c>
      <c r="AO71" s="10">
        <f t="shared" si="143"/>
        <v>1.5856808510638301</v>
      </c>
      <c r="AP71" s="10">
        <f t="shared" si="143"/>
        <v>1.5856808510638301</v>
      </c>
      <c r="AQ71" s="10">
        <f t="shared" si="143"/>
        <v>1.5856808510638301</v>
      </c>
      <c r="AR71" s="10">
        <f t="shared" si="143"/>
        <v>1.5856808510638301</v>
      </c>
      <c r="AS71" s="10">
        <f t="shared" si="143"/>
        <v>1.5856808510638301</v>
      </c>
      <c r="AT71" s="10">
        <f t="shared" si="143"/>
        <v>1.5856808510638301</v>
      </c>
      <c r="AU71" s="10">
        <f t="shared" si="143"/>
        <v>1.5856808510638301</v>
      </c>
      <c r="AV71" s="10">
        <f t="shared" si="143"/>
        <v>1.5856808510638301</v>
      </c>
      <c r="AW71" s="10">
        <f t="shared" si="143"/>
        <v>1.5856808510638301</v>
      </c>
      <c r="AX71" s="10">
        <f t="shared" si="143"/>
        <v>1.5856808510638301</v>
      </c>
      <c r="AY71" s="10">
        <f t="shared" si="143"/>
        <v>1.5856808510638301</v>
      </c>
      <c r="AZ71" s="10">
        <f t="shared" si="143"/>
        <v>1.5856808510638301</v>
      </c>
      <c r="BA71" s="10">
        <f t="shared" si="143"/>
        <v>1.5856808510638301</v>
      </c>
      <c r="BB71" s="10">
        <f t="shared" si="143"/>
        <v>1.5856808510638301</v>
      </c>
      <c r="BC71" s="10">
        <f t="shared" si="143"/>
        <v>1.5856808510638301</v>
      </c>
      <c r="BD71" s="10">
        <f t="shared" si="143"/>
        <v>1.5856808510638301</v>
      </c>
      <c r="BE71" s="10">
        <f t="shared" si="143"/>
        <v>1.5856808510638301</v>
      </c>
      <c r="BF71" s="10">
        <f t="shared" si="143"/>
        <v>1.5856808510638301</v>
      </c>
      <c r="BG71" s="10">
        <f t="shared" si="143"/>
        <v>1.5856808510638301</v>
      </c>
      <c r="BH71" s="10">
        <f t="shared" si="143"/>
        <v>1.5856808510638301</v>
      </c>
      <c r="BI71" s="10">
        <f t="shared" si="143"/>
        <v>1.5856808510638301</v>
      </c>
      <c r="BJ71" s="10">
        <f t="shared" si="143"/>
        <v>1.5856808510638301</v>
      </c>
      <c r="BK71" s="10">
        <f t="shared" si="143"/>
        <v>1.5856808510638301</v>
      </c>
      <c r="BL71" s="10">
        <f t="shared" si="143"/>
        <v>1.5856808510638301</v>
      </c>
      <c r="BM71" s="10">
        <f t="shared" si="143"/>
        <v>1.5856808510638301</v>
      </c>
      <c r="BN71" s="10">
        <f t="shared" si="143"/>
        <v>1.5856808510638301</v>
      </c>
      <c r="BO71" s="10">
        <f t="shared" ref="BO71:CG71" si="144">2*BO$10*(BO$5+BO$11*BO$6)/(SQRT(2)*BO$9*SIN(BO37))</f>
        <v>1.5856808510638301</v>
      </c>
      <c r="BP71" s="10">
        <f t="shared" si="144"/>
        <v>1.5856808510638301</v>
      </c>
      <c r="BQ71" s="10">
        <f t="shared" si="144"/>
        <v>1.5856808510638301</v>
      </c>
      <c r="BR71" s="10">
        <f t="shared" si="144"/>
        <v>1.5856808510638301</v>
      </c>
      <c r="BS71" s="10">
        <f t="shared" si="144"/>
        <v>1.5856808510638301</v>
      </c>
      <c r="BT71" s="10">
        <f t="shared" si="144"/>
        <v>1.5856808510638301</v>
      </c>
      <c r="BU71" s="10">
        <f t="shared" si="144"/>
        <v>1.5856808510638301</v>
      </c>
      <c r="BV71" s="10">
        <f t="shared" si="144"/>
        <v>1.5856808510638301</v>
      </c>
      <c r="BW71" s="10">
        <f t="shared" si="144"/>
        <v>1.5856808510638301</v>
      </c>
      <c r="BX71" s="10">
        <f t="shared" si="144"/>
        <v>1.5856808510638301</v>
      </c>
      <c r="BY71" s="10">
        <f t="shared" si="144"/>
        <v>1.5856808510638301</v>
      </c>
      <c r="BZ71" s="10">
        <f t="shared" si="144"/>
        <v>1.5856808510638301</v>
      </c>
      <c r="CA71" s="10">
        <f t="shared" si="144"/>
        <v>1.5856808510638301</v>
      </c>
      <c r="CB71" s="10">
        <f t="shared" si="144"/>
        <v>1.5856808510638301</v>
      </c>
      <c r="CC71" s="10">
        <f t="shared" si="144"/>
        <v>1.5856808510638301</v>
      </c>
      <c r="CD71" s="10">
        <f t="shared" si="144"/>
        <v>1.5856808510638301</v>
      </c>
      <c r="CE71" s="10">
        <f t="shared" si="144"/>
        <v>1.5856808510638301</v>
      </c>
      <c r="CF71" s="10">
        <f t="shared" si="144"/>
        <v>1.5856808510638301</v>
      </c>
      <c r="CG71" s="10">
        <f t="shared" si="144"/>
        <v>1.5856808510638301</v>
      </c>
    </row>
    <row r="72" spans="2:86" ht="16.5" customHeight="1">
      <c r="B72" s="10" t="s">
        <v>829</v>
      </c>
      <c r="C72" s="10">
        <f t="shared" ref="C72:AH72" si="145">2*C$10*(C$5+C$11*C$6)/(SQRT(2)*C$9*SIN(C38))</f>
        <v>3.0633001725891664</v>
      </c>
      <c r="D72" s="10">
        <f t="shared" si="145"/>
        <v>3.0633001725891664</v>
      </c>
      <c r="E72" s="10">
        <f t="shared" si="145"/>
        <v>3.0633001725891664</v>
      </c>
      <c r="F72" s="10">
        <f t="shared" si="145"/>
        <v>3.0633001725891664</v>
      </c>
      <c r="G72" s="10">
        <f t="shared" si="145"/>
        <v>3.0633001725891664</v>
      </c>
      <c r="H72" s="10">
        <f t="shared" si="145"/>
        <v>3.0633001725891664</v>
      </c>
      <c r="I72" s="10">
        <f t="shared" si="145"/>
        <v>3.0633001725891664</v>
      </c>
      <c r="J72" s="10">
        <f t="shared" si="145"/>
        <v>3.0633001725891664</v>
      </c>
      <c r="K72" s="10">
        <f t="shared" si="145"/>
        <v>3.0633001725891664</v>
      </c>
      <c r="L72" s="10">
        <f t="shared" si="145"/>
        <v>3.0633001725891664</v>
      </c>
      <c r="M72" s="10">
        <f t="shared" si="145"/>
        <v>3.0633001725891664</v>
      </c>
      <c r="N72" s="10">
        <f t="shared" si="145"/>
        <v>3.0633001725891664</v>
      </c>
      <c r="O72" s="10">
        <f t="shared" si="145"/>
        <v>3.0633001725891664</v>
      </c>
      <c r="P72" s="10">
        <f t="shared" si="145"/>
        <v>3.0633001725891664</v>
      </c>
      <c r="Q72" s="10">
        <f t="shared" si="145"/>
        <v>3.0633001725891664</v>
      </c>
      <c r="R72" s="10">
        <f t="shared" si="145"/>
        <v>3.0633001725891664</v>
      </c>
      <c r="S72" s="10">
        <f t="shared" si="145"/>
        <v>3.0633001725891664</v>
      </c>
      <c r="T72" s="10">
        <f t="shared" si="145"/>
        <v>3.0633001725891664</v>
      </c>
      <c r="U72" s="10">
        <f t="shared" si="145"/>
        <v>3.0633001725891664</v>
      </c>
      <c r="V72" s="10">
        <f t="shared" si="145"/>
        <v>3.0633001725891664</v>
      </c>
      <c r="W72" s="10">
        <f t="shared" si="145"/>
        <v>3.0633001725891664</v>
      </c>
      <c r="X72" s="10">
        <f t="shared" si="145"/>
        <v>3.0633001725891664</v>
      </c>
      <c r="Y72" s="10">
        <f t="shared" si="145"/>
        <v>3.0633001725891664</v>
      </c>
      <c r="Z72" s="10">
        <f t="shared" si="145"/>
        <v>3.0633001725891664</v>
      </c>
      <c r="AA72" s="10">
        <f t="shared" si="145"/>
        <v>3.0633001725891664</v>
      </c>
      <c r="AB72" s="10">
        <f t="shared" si="145"/>
        <v>3.0633001725891664</v>
      </c>
      <c r="AC72" s="10">
        <f t="shared" si="145"/>
        <v>3.0633001725891664</v>
      </c>
      <c r="AD72" s="10">
        <f t="shared" si="145"/>
        <v>3.0633001725891664</v>
      </c>
      <c r="AE72" s="10">
        <f t="shared" si="145"/>
        <v>3.0633001725891664</v>
      </c>
      <c r="AF72" s="10">
        <f t="shared" si="145"/>
        <v>3.0633001725891664</v>
      </c>
      <c r="AG72" s="10">
        <f t="shared" si="145"/>
        <v>3.0633001725891664</v>
      </c>
      <c r="AH72" s="10">
        <f t="shared" si="145"/>
        <v>3.0633001725891664</v>
      </c>
      <c r="AI72" s="10">
        <f t="shared" ref="AI72:BN72" si="146">2*AI$10*(AI$5+AI$11*AI$6)/(SQRT(2)*AI$9*SIN(AI38))</f>
        <v>3.0633001725891664</v>
      </c>
      <c r="AJ72" s="10">
        <f t="shared" si="146"/>
        <v>3.0633001725891664</v>
      </c>
      <c r="AK72" s="10">
        <f t="shared" si="146"/>
        <v>3.0633001725891664</v>
      </c>
      <c r="AL72" s="10">
        <f t="shared" si="146"/>
        <v>3.0633001725891664</v>
      </c>
      <c r="AM72" s="10">
        <f t="shared" si="146"/>
        <v>3.0633001725891664</v>
      </c>
      <c r="AN72" s="10">
        <f t="shared" si="146"/>
        <v>3.0633001725891664</v>
      </c>
      <c r="AO72" s="10">
        <f t="shared" si="146"/>
        <v>3.0633001725891664</v>
      </c>
      <c r="AP72" s="10">
        <f t="shared" si="146"/>
        <v>3.0633001725891664</v>
      </c>
      <c r="AQ72" s="10">
        <f t="shared" si="146"/>
        <v>3.0633001725891664</v>
      </c>
      <c r="AR72" s="10">
        <f t="shared" si="146"/>
        <v>3.0633001725891664</v>
      </c>
      <c r="AS72" s="10">
        <f t="shared" si="146"/>
        <v>3.0633001725891664</v>
      </c>
      <c r="AT72" s="10">
        <f t="shared" si="146"/>
        <v>3.0633001725891664</v>
      </c>
      <c r="AU72" s="10">
        <f t="shared" si="146"/>
        <v>3.0633001725891664</v>
      </c>
      <c r="AV72" s="10">
        <f t="shared" si="146"/>
        <v>3.0633001725891664</v>
      </c>
      <c r="AW72" s="10">
        <f t="shared" si="146"/>
        <v>3.0633001725891664</v>
      </c>
      <c r="AX72" s="10">
        <f t="shared" si="146"/>
        <v>3.0633001725891664</v>
      </c>
      <c r="AY72" s="10">
        <f t="shared" si="146"/>
        <v>3.0633001725891664</v>
      </c>
      <c r="AZ72" s="10">
        <f t="shared" si="146"/>
        <v>3.0633001725891664</v>
      </c>
      <c r="BA72" s="10">
        <f t="shared" si="146"/>
        <v>3.0633001725891664</v>
      </c>
      <c r="BB72" s="10">
        <f t="shared" si="146"/>
        <v>3.0633001725891664</v>
      </c>
      <c r="BC72" s="10">
        <f t="shared" si="146"/>
        <v>3.0633001725891664</v>
      </c>
      <c r="BD72" s="10">
        <f t="shared" si="146"/>
        <v>3.0633001725891664</v>
      </c>
      <c r="BE72" s="10">
        <f t="shared" si="146"/>
        <v>3.0633001725891664</v>
      </c>
      <c r="BF72" s="10">
        <f t="shared" si="146"/>
        <v>3.0633001725891664</v>
      </c>
      <c r="BG72" s="10">
        <f t="shared" si="146"/>
        <v>3.0633001725891664</v>
      </c>
      <c r="BH72" s="10">
        <f t="shared" si="146"/>
        <v>3.0633001725891664</v>
      </c>
      <c r="BI72" s="10">
        <f t="shared" si="146"/>
        <v>3.0633001725891664</v>
      </c>
      <c r="BJ72" s="10">
        <f t="shared" si="146"/>
        <v>3.0633001725891664</v>
      </c>
      <c r="BK72" s="10">
        <f t="shared" si="146"/>
        <v>3.0633001725891664</v>
      </c>
      <c r="BL72" s="10">
        <f t="shared" si="146"/>
        <v>3.0633001725891664</v>
      </c>
      <c r="BM72" s="10">
        <f t="shared" si="146"/>
        <v>3.0633001725891664</v>
      </c>
      <c r="BN72" s="10">
        <f t="shared" si="146"/>
        <v>3.0633001725891664</v>
      </c>
      <c r="BO72" s="10">
        <f t="shared" ref="BO72:CG72" si="147">2*BO$10*(BO$5+BO$11*BO$6)/(SQRT(2)*BO$9*SIN(BO38))</f>
        <v>3.0633001725891664</v>
      </c>
      <c r="BP72" s="10">
        <f t="shared" si="147"/>
        <v>3.0633001725891664</v>
      </c>
      <c r="BQ72" s="10">
        <f t="shared" si="147"/>
        <v>3.0633001725891664</v>
      </c>
      <c r="BR72" s="10">
        <f t="shared" si="147"/>
        <v>3.0633001725891664</v>
      </c>
      <c r="BS72" s="10">
        <f t="shared" si="147"/>
        <v>3.0633001725891664</v>
      </c>
      <c r="BT72" s="10">
        <f t="shared" si="147"/>
        <v>3.0633001725891664</v>
      </c>
      <c r="BU72" s="10">
        <f t="shared" si="147"/>
        <v>3.0633001725891664</v>
      </c>
      <c r="BV72" s="10">
        <f t="shared" si="147"/>
        <v>3.0633001725891664</v>
      </c>
      <c r="BW72" s="10">
        <f t="shared" si="147"/>
        <v>3.0633001725891664</v>
      </c>
      <c r="BX72" s="10">
        <f t="shared" si="147"/>
        <v>3.0633001725891664</v>
      </c>
      <c r="BY72" s="10">
        <f t="shared" si="147"/>
        <v>3.0633001725891664</v>
      </c>
      <c r="BZ72" s="10">
        <f t="shared" si="147"/>
        <v>3.0633001725891664</v>
      </c>
      <c r="CA72" s="10">
        <f t="shared" si="147"/>
        <v>3.0633001725891664</v>
      </c>
      <c r="CB72" s="10">
        <f t="shared" si="147"/>
        <v>3.0633001725891664</v>
      </c>
      <c r="CC72" s="10">
        <f t="shared" si="147"/>
        <v>3.0633001725891664</v>
      </c>
      <c r="CD72" s="10">
        <f t="shared" si="147"/>
        <v>3.0633001725891664</v>
      </c>
      <c r="CE72" s="10">
        <f t="shared" si="147"/>
        <v>3.0633001725891664</v>
      </c>
      <c r="CF72" s="10">
        <f t="shared" si="147"/>
        <v>3.0633001725891664</v>
      </c>
      <c r="CG72" s="10">
        <f t="shared" si="147"/>
        <v>3.0633001725891664</v>
      </c>
    </row>
    <row r="74" spans="2:86" ht="16.5" customHeight="1">
      <c r="B74" s="10" t="s">
        <v>830</v>
      </c>
      <c r="D74" s="10">
        <f t="shared" ref="D74:AI74" si="148">IF(AND(D$25&gt;D$24,IF(ISNA(D$29),TRUE(),D47&gt;=D$29),(D67-D47-(-D$25*(D47-C47)/(D$25-C$25)))/((D47-C47)/(D$25-C$25))&lt;=D$25,(D67-D47-(-D$25*(D47-C47)/(D$25-C$25)))/((D47-C47)/(D$25-C$25))&gt;C$25),(D67-D47-(-D$25*(D47-C47)/(D$25-C$25)))/((D47-C47)/(D$25-C$25)),0)</f>
        <v>0</v>
      </c>
      <c r="E74" s="10">
        <f t="shared" si="148"/>
        <v>0</v>
      </c>
      <c r="F74" s="10">
        <f t="shared" si="148"/>
        <v>0</v>
      </c>
      <c r="G74" s="10">
        <f t="shared" si="148"/>
        <v>0</v>
      </c>
      <c r="H74" s="10">
        <f t="shared" si="148"/>
        <v>0</v>
      </c>
      <c r="I74" s="10">
        <f t="shared" si="148"/>
        <v>0</v>
      </c>
      <c r="J74" s="10">
        <f t="shared" si="148"/>
        <v>0</v>
      </c>
      <c r="K74" s="10">
        <f t="shared" si="148"/>
        <v>0</v>
      </c>
      <c r="L74" s="10">
        <f t="shared" si="148"/>
        <v>0</v>
      </c>
      <c r="M74" s="10">
        <f t="shared" si="148"/>
        <v>0</v>
      </c>
      <c r="N74" s="10">
        <f t="shared" si="148"/>
        <v>0</v>
      </c>
      <c r="O74" s="10">
        <f t="shared" si="148"/>
        <v>0</v>
      </c>
      <c r="P74" s="10">
        <f t="shared" si="148"/>
        <v>0</v>
      </c>
      <c r="Q74" s="10">
        <f t="shared" si="148"/>
        <v>0</v>
      </c>
      <c r="R74" s="10">
        <f t="shared" si="148"/>
        <v>0</v>
      </c>
      <c r="S74" s="10">
        <f t="shared" si="148"/>
        <v>0</v>
      </c>
      <c r="T74" s="10">
        <f t="shared" si="148"/>
        <v>0</v>
      </c>
      <c r="U74" s="10">
        <f t="shared" si="148"/>
        <v>0</v>
      </c>
      <c r="V74" s="10">
        <f t="shared" si="148"/>
        <v>0</v>
      </c>
      <c r="W74" s="10">
        <f t="shared" si="148"/>
        <v>0</v>
      </c>
      <c r="X74" s="10">
        <f t="shared" si="148"/>
        <v>0</v>
      </c>
      <c r="Y74" s="10">
        <f t="shared" si="148"/>
        <v>0</v>
      </c>
      <c r="Z74" s="10">
        <f t="shared" si="148"/>
        <v>0</v>
      </c>
      <c r="AA74" s="10">
        <f t="shared" si="148"/>
        <v>0</v>
      </c>
      <c r="AB74" s="10">
        <f t="shared" si="148"/>
        <v>0</v>
      </c>
      <c r="AC74" s="10">
        <f t="shared" si="148"/>
        <v>0</v>
      </c>
      <c r="AD74" s="10">
        <f t="shared" si="148"/>
        <v>0</v>
      </c>
      <c r="AE74" s="10">
        <f t="shared" si="148"/>
        <v>0</v>
      </c>
      <c r="AF74" s="10">
        <f t="shared" si="148"/>
        <v>0</v>
      </c>
      <c r="AG74" s="10">
        <f t="shared" si="148"/>
        <v>0</v>
      </c>
      <c r="AH74" s="10">
        <f t="shared" si="148"/>
        <v>0</v>
      </c>
      <c r="AI74" s="10">
        <f t="shared" si="148"/>
        <v>0</v>
      </c>
      <c r="AJ74" s="10">
        <f t="shared" ref="AJ74:BO74" si="149">IF(AND(AJ$25&gt;AJ$24,IF(ISNA(AJ$29),TRUE(),AJ47&gt;=AJ$29),(AJ67-AJ47-(-AJ$25*(AJ47-AI47)/(AJ$25-AI$25)))/((AJ47-AI47)/(AJ$25-AI$25))&lt;=AJ$25,(AJ67-AJ47-(-AJ$25*(AJ47-AI47)/(AJ$25-AI$25)))/((AJ47-AI47)/(AJ$25-AI$25))&gt;AI$25),(AJ67-AJ47-(-AJ$25*(AJ47-AI47)/(AJ$25-AI$25)))/((AJ47-AI47)/(AJ$25-AI$25)),0)</f>
        <v>0</v>
      </c>
      <c r="AK74" s="10">
        <f t="shared" si="149"/>
        <v>0</v>
      </c>
      <c r="AL74" s="10">
        <f t="shared" si="149"/>
        <v>0</v>
      </c>
      <c r="AM74" s="10">
        <f t="shared" si="149"/>
        <v>0</v>
      </c>
      <c r="AN74" s="10">
        <f t="shared" si="149"/>
        <v>0</v>
      </c>
      <c r="AO74" s="10">
        <f t="shared" si="149"/>
        <v>0</v>
      </c>
      <c r="AP74" s="10">
        <f t="shared" si="149"/>
        <v>0</v>
      </c>
      <c r="AQ74" s="10">
        <f t="shared" si="149"/>
        <v>0</v>
      </c>
      <c r="AR74" s="10">
        <f t="shared" si="149"/>
        <v>0</v>
      </c>
      <c r="AS74" s="10">
        <f t="shared" si="149"/>
        <v>0</v>
      </c>
      <c r="AT74" s="10">
        <f t="shared" si="149"/>
        <v>0</v>
      </c>
      <c r="AU74" s="10">
        <f t="shared" si="149"/>
        <v>0</v>
      </c>
      <c r="AV74" s="10">
        <f t="shared" si="149"/>
        <v>0</v>
      </c>
      <c r="AW74" s="10">
        <f t="shared" si="149"/>
        <v>0</v>
      </c>
      <c r="AX74" s="10">
        <f t="shared" si="149"/>
        <v>0</v>
      </c>
      <c r="AY74" s="10">
        <f t="shared" si="149"/>
        <v>0</v>
      </c>
      <c r="AZ74" s="10">
        <f t="shared" si="149"/>
        <v>0</v>
      </c>
      <c r="BA74" s="10">
        <f t="shared" si="149"/>
        <v>0</v>
      </c>
      <c r="BB74" s="10">
        <f t="shared" si="149"/>
        <v>0</v>
      </c>
      <c r="BC74" s="10">
        <f t="shared" si="149"/>
        <v>0</v>
      </c>
      <c r="BD74" s="10">
        <f t="shared" si="149"/>
        <v>0</v>
      </c>
      <c r="BE74" s="10">
        <f t="shared" si="149"/>
        <v>0</v>
      </c>
      <c r="BF74" s="10">
        <f t="shared" si="149"/>
        <v>0</v>
      </c>
      <c r="BG74" s="10">
        <f t="shared" si="149"/>
        <v>0</v>
      </c>
      <c r="BH74" s="10">
        <f t="shared" si="149"/>
        <v>0</v>
      </c>
      <c r="BI74" s="10">
        <f t="shared" si="149"/>
        <v>0</v>
      </c>
      <c r="BJ74" s="10">
        <f t="shared" si="149"/>
        <v>0</v>
      </c>
      <c r="BK74" s="10">
        <f t="shared" si="149"/>
        <v>0</v>
      </c>
      <c r="BL74" s="10">
        <f t="shared" si="149"/>
        <v>0</v>
      </c>
      <c r="BM74" s="10">
        <f t="shared" si="149"/>
        <v>0</v>
      </c>
      <c r="BN74" s="10">
        <f t="shared" si="149"/>
        <v>0</v>
      </c>
      <c r="BO74" s="10">
        <f t="shared" si="149"/>
        <v>0</v>
      </c>
      <c r="BP74" s="10">
        <f t="shared" ref="BP74:CG74" si="150">IF(AND(BP$25&gt;BP$24,IF(ISNA(BP$29),TRUE(),BP47&gt;=BP$29),(BP67-BP47-(-BP$25*(BP47-BO47)/(BP$25-BO$25)))/((BP47-BO47)/(BP$25-BO$25))&lt;=BP$25,(BP67-BP47-(-BP$25*(BP47-BO47)/(BP$25-BO$25)))/((BP47-BO47)/(BP$25-BO$25))&gt;BO$25),(BP67-BP47-(-BP$25*(BP47-BO47)/(BP$25-BO$25)))/((BP47-BO47)/(BP$25-BO$25)),0)</f>
        <v>0</v>
      </c>
      <c r="BQ74" s="10">
        <f t="shared" si="150"/>
        <v>0</v>
      </c>
      <c r="BR74" s="10">
        <f t="shared" si="150"/>
        <v>0</v>
      </c>
      <c r="BS74" s="10">
        <f t="shared" si="150"/>
        <v>0</v>
      </c>
      <c r="BT74" s="10">
        <f t="shared" si="150"/>
        <v>0</v>
      </c>
      <c r="BU74" s="10">
        <f t="shared" si="150"/>
        <v>0</v>
      </c>
      <c r="BV74" s="10">
        <f t="shared" si="150"/>
        <v>0</v>
      </c>
      <c r="BW74" s="10">
        <f t="shared" si="150"/>
        <v>0</v>
      </c>
      <c r="BX74" s="10">
        <f t="shared" si="150"/>
        <v>1.381716002114119</v>
      </c>
      <c r="BY74" s="10">
        <f t="shared" si="150"/>
        <v>0</v>
      </c>
      <c r="BZ74" s="10">
        <f t="shared" si="150"/>
        <v>0</v>
      </c>
      <c r="CA74" s="10">
        <f t="shared" si="150"/>
        <v>0</v>
      </c>
      <c r="CB74" s="10">
        <f t="shared" si="150"/>
        <v>0</v>
      </c>
      <c r="CC74" s="10">
        <f t="shared" si="150"/>
        <v>0</v>
      </c>
      <c r="CD74" s="10">
        <f t="shared" si="150"/>
        <v>0</v>
      </c>
      <c r="CE74" s="10">
        <f t="shared" si="150"/>
        <v>0</v>
      </c>
      <c r="CF74" s="10">
        <f t="shared" si="150"/>
        <v>0</v>
      </c>
      <c r="CG74" s="10">
        <f t="shared" si="150"/>
        <v>0</v>
      </c>
      <c r="CH74" s="10">
        <f t="array" aca="1" ref="CH74" ca="1">IF(MAX(D74:CG74),MAX(D74:CG74),INDIRECT(CI47))</f>
        <v>1.381716002114119</v>
      </c>
    </row>
    <row r="75" spans="2:86" ht="16.5" customHeight="1">
      <c r="B75" s="10" t="s">
        <v>831</v>
      </c>
      <c r="D75" s="10">
        <f t="shared" ref="D75:AI75" si="151">IF(AND(D$25&gt;D$24,IF(ISNA(D$29),TRUE(),D48&gt;=D$29),(D68-D48-(-D$25*(D48-C48)/(D$25-C$25)))/((D48-C48)/(D$25-C$25))&lt;=D$25,(D68-D48-(-D$25*(D48-C48)/(D$25-C$25)))/((D48-C48)/(D$25-C$25))&gt;C$25),(D68-D48-(-D$25*(D48-C48)/(D$25-C$25)))/((D48-C48)/(D$25-C$25)),0)</f>
        <v>0</v>
      </c>
      <c r="E75" s="10">
        <f t="shared" si="151"/>
        <v>0</v>
      </c>
      <c r="F75" s="10">
        <f t="shared" si="151"/>
        <v>0</v>
      </c>
      <c r="G75" s="10">
        <f t="shared" si="151"/>
        <v>0</v>
      </c>
      <c r="H75" s="10">
        <f t="shared" si="151"/>
        <v>0</v>
      </c>
      <c r="I75" s="10">
        <f t="shared" si="151"/>
        <v>0</v>
      </c>
      <c r="J75" s="10">
        <f t="shared" si="151"/>
        <v>0</v>
      </c>
      <c r="K75" s="10">
        <f t="shared" si="151"/>
        <v>0</v>
      </c>
      <c r="L75" s="10">
        <f t="shared" si="151"/>
        <v>0</v>
      </c>
      <c r="M75" s="10">
        <f t="shared" si="151"/>
        <v>0</v>
      </c>
      <c r="N75" s="10">
        <f t="shared" si="151"/>
        <v>0</v>
      </c>
      <c r="O75" s="10">
        <f t="shared" si="151"/>
        <v>0</v>
      </c>
      <c r="P75" s="10">
        <f t="shared" si="151"/>
        <v>0</v>
      </c>
      <c r="Q75" s="10">
        <f t="shared" si="151"/>
        <v>0</v>
      </c>
      <c r="R75" s="10">
        <f t="shared" si="151"/>
        <v>0</v>
      </c>
      <c r="S75" s="10">
        <f t="shared" si="151"/>
        <v>0</v>
      </c>
      <c r="T75" s="10">
        <f t="shared" si="151"/>
        <v>0</v>
      </c>
      <c r="U75" s="10">
        <f t="shared" si="151"/>
        <v>0</v>
      </c>
      <c r="V75" s="10">
        <f t="shared" si="151"/>
        <v>0</v>
      </c>
      <c r="W75" s="10">
        <f t="shared" si="151"/>
        <v>0</v>
      </c>
      <c r="X75" s="10">
        <f t="shared" si="151"/>
        <v>0</v>
      </c>
      <c r="Y75" s="10">
        <f t="shared" si="151"/>
        <v>0</v>
      </c>
      <c r="Z75" s="10">
        <f t="shared" si="151"/>
        <v>0</v>
      </c>
      <c r="AA75" s="10">
        <f t="shared" si="151"/>
        <v>0</v>
      </c>
      <c r="AB75" s="10">
        <f t="shared" si="151"/>
        <v>0</v>
      </c>
      <c r="AC75" s="10">
        <f t="shared" si="151"/>
        <v>0</v>
      </c>
      <c r="AD75" s="10">
        <f t="shared" si="151"/>
        <v>0</v>
      </c>
      <c r="AE75" s="10">
        <f t="shared" si="151"/>
        <v>0</v>
      </c>
      <c r="AF75" s="10">
        <f t="shared" si="151"/>
        <v>0</v>
      </c>
      <c r="AG75" s="10">
        <f t="shared" si="151"/>
        <v>0</v>
      </c>
      <c r="AH75" s="10">
        <f t="shared" si="151"/>
        <v>0</v>
      </c>
      <c r="AI75" s="10">
        <f t="shared" si="151"/>
        <v>0</v>
      </c>
      <c r="AJ75" s="10">
        <f t="shared" ref="AJ75:BO75" si="152">IF(AND(AJ$25&gt;AJ$24,IF(ISNA(AJ$29),TRUE(),AJ48&gt;=AJ$29),(AJ68-AJ48-(-AJ$25*(AJ48-AI48)/(AJ$25-AI$25)))/((AJ48-AI48)/(AJ$25-AI$25))&lt;=AJ$25,(AJ68-AJ48-(-AJ$25*(AJ48-AI48)/(AJ$25-AI$25)))/((AJ48-AI48)/(AJ$25-AI$25))&gt;AI$25),(AJ68-AJ48-(-AJ$25*(AJ48-AI48)/(AJ$25-AI$25)))/((AJ48-AI48)/(AJ$25-AI$25)),0)</f>
        <v>0</v>
      </c>
      <c r="AK75" s="10">
        <f t="shared" si="152"/>
        <v>0</v>
      </c>
      <c r="AL75" s="10">
        <f t="shared" si="152"/>
        <v>0</v>
      </c>
      <c r="AM75" s="10">
        <f t="shared" si="152"/>
        <v>0</v>
      </c>
      <c r="AN75" s="10">
        <f t="shared" si="152"/>
        <v>0</v>
      </c>
      <c r="AO75" s="10">
        <f t="shared" si="152"/>
        <v>0</v>
      </c>
      <c r="AP75" s="10">
        <f t="shared" si="152"/>
        <v>0</v>
      </c>
      <c r="AQ75" s="10">
        <f t="shared" si="152"/>
        <v>0</v>
      </c>
      <c r="AR75" s="10">
        <f t="shared" si="152"/>
        <v>0</v>
      </c>
      <c r="AS75" s="10">
        <f t="shared" si="152"/>
        <v>0</v>
      </c>
      <c r="AT75" s="10">
        <f t="shared" si="152"/>
        <v>0</v>
      </c>
      <c r="AU75" s="10">
        <f t="shared" si="152"/>
        <v>0</v>
      </c>
      <c r="AV75" s="10">
        <f t="shared" si="152"/>
        <v>0</v>
      </c>
      <c r="AW75" s="10">
        <f t="shared" si="152"/>
        <v>0</v>
      </c>
      <c r="AX75" s="10">
        <f t="shared" si="152"/>
        <v>0</v>
      </c>
      <c r="AY75" s="10">
        <f t="shared" si="152"/>
        <v>0</v>
      </c>
      <c r="AZ75" s="10">
        <f t="shared" si="152"/>
        <v>0</v>
      </c>
      <c r="BA75" s="10">
        <f t="shared" si="152"/>
        <v>0</v>
      </c>
      <c r="BB75" s="10">
        <f t="shared" si="152"/>
        <v>0</v>
      </c>
      <c r="BC75" s="10">
        <f t="shared" si="152"/>
        <v>0</v>
      </c>
      <c r="BD75" s="10">
        <f t="shared" si="152"/>
        <v>0</v>
      </c>
      <c r="BE75" s="10">
        <f t="shared" si="152"/>
        <v>0</v>
      </c>
      <c r="BF75" s="10">
        <f t="shared" si="152"/>
        <v>0</v>
      </c>
      <c r="BG75" s="10">
        <f t="shared" si="152"/>
        <v>0</v>
      </c>
      <c r="BH75" s="10">
        <f t="shared" si="152"/>
        <v>0</v>
      </c>
      <c r="BI75" s="10">
        <f t="shared" si="152"/>
        <v>0</v>
      </c>
      <c r="BJ75" s="10">
        <f t="shared" si="152"/>
        <v>0</v>
      </c>
      <c r="BK75" s="10">
        <f t="shared" si="152"/>
        <v>0</v>
      </c>
      <c r="BL75" s="10">
        <f t="shared" si="152"/>
        <v>0</v>
      </c>
      <c r="BM75" s="10">
        <f t="shared" si="152"/>
        <v>0</v>
      </c>
      <c r="BN75" s="10">
        <f t="shared" si="152"/>
        <v>0</v>
      </c>
      <c r="BO75" s="10">
        <f t="shared" si="152"/>
        <v>0</v>
      </c>
      <c r="BP75" s="10">
        <f t="shared" ref="BP75:CG75" si="153">IF(AND(BP$25&gt;BP$24,IF(ISNA(BP$29),TRUE(),BP48&gt;=BP$29),(BP68-BP48-(-BP$25*(BP48-BO48)/(BP$25-BO$25)))/((BP48-BO48)/(BP$25-BO$25))&lt;=BP$25,(BP68-BP48-(-BP$25*(BP48-BO48)/(BP$25-BO$25)))/((BP48-BO48)/(BP$25-BO$25))&gt;BO$25),(BP68-BP48-(-BP$25*(BP48-BO48)/(BP$25-BO$25)))/((BP48-BO48)/(BP$25-BO$25)),0)</f>
        <v>0</v>
      </c>
      <c r="BQ75" s="10">
        <f t="shared" si="153"/>
        <v>0</v>
      </c>
      <c r="BR75" s="10">
        <f t="shared" si="153"/>
        <v>0</v>
      </c>
      <c r="BS75" s="10">
        <f t="shared" si="153"/>
        <v>0</v>
      </c>
      <c r="BT75" s="10">
        <f t="shared" si="153"/>
        <v>0</v>
      </c>
      <c r="BU75" s="10">
        <f t="shared" si="153"/>
        <v>0</v>
      </c>
      <c r="BV75" s="10">
        <f t="shared" si="153"/>
        <v>0</v>
      </c>
      <c r="BW75" s="10">
        <f t="shared" si="153"/>
        <v>0</v>
      </c>
      <c r="BX75" s="10">
        <f t="shared" si="153"/>
        <v>1.3112439839026993</v>
      </c>
      <c r="BY75" s="10">
        <f t="shared" si="153"/>
        <v>0</v>
      </c>
      <c r="BZ75" s="10">
        <f t="shared" si="153"/>
        <v>0</v>
      </c>
      <c r="CA75" s="10">
        <f t="shared" si="153"/>
        <v>0</v>
      </c>
      <c r="CB75" s="10">
        <f t="shared" si="153"/>
        <v>0</v>
      </c>
      <c r="CC75" s="10">
        <f t="shared" si="153"/>
        <v>0</v>
      </c>
      <c r="CD75" s="10">
        <f t="shared" si="153"/>
        <v>0</v>
      </c>
      <c r="CE75" s="10">
        <f t="shared" si="153"/>
        <v>0</v>
      </c>
      <c r="CF75" s="10">
        <f t="shared" si="153"/>
        <v>0</v>
      </c>
      <c r="CG75" s="10">
        <f t="shared" si="153"/>
        <v>0</v>
      </c>
      <c r="CH75" s="10">
        <f t="array" aca="1" ref="CH75" ca="1">IF(MAX(D75:CG75),MAX(D75:CG75),INDIRECT(CI48))</f>
        <v>1.3112439839026993</v>
      </c>
    </row>
    <row r="76" spans="2:86" ht="16.5" customHeight="1">
      <c r="B76" s="10" t="s">
        <v>832</v>
      </c>
      <c r="D76" s="10">
        <f t="shared" ref="D76:AI76" si="154">IF(AND(D$25&gt;D$24,IF(ISNA(D$29),TRUE(),D49&gt;=D$29),(D69-D49-(-D$25*(D49-C49)/(D$25-C$25)))/((D49-C49)/(D$25-C$25))&lt;=D$25,(D69-D49-(-D$25*(D49-C49)/(D$25-C$25)))/((D49-C49)/(D$25-C$25))&gt;C$25),(D69-D49-(-D$25*(D49-C49)/(D$25-C$25)))/((D49-C49)/(D$25-C$25)),0)</f>
        <v>0</v>
      </c>
      <c r="E76" s="10">
        <f t="shared" si="154"/>
        <v>0</v>
      </c>
      <c r="F76" s="10">
        <f t="shared" si="154"/>
        <v>0</v>
      </c>
      <c r="G76" s="10">
        <f t="shared" si="154"/>
        <v>0</v>
      </c>
      <c r="H76" s="10">
        <f t="shared" si="154"/>
        <v>0</v>
      </c>
      <c r="I76" s="10">
        <f t="shared" si="154"/>
        <v>0</v>
      </c>
      <c r="J76" s="10">
        <f t="shared" si="154"/>
        <v>0</v>
      </c>
      <c r="K76" s="10">
        <f t="shared" si="154"/>
        <v>0</v>
      </c>
      <c r="L76" s="10">
        <f t="shared" si="154"/>
        <v>0</v>
      </c>
      <c r="M76" s="10">
        <f t="shared" si="154"/>
        <v>0</v>
      </c>
      <c r="N76" s="10">
        <f t="shared" si="154"/>
        <v>0</v>
      </c>
      <c r="O76" s="10">
        <f t="shared" si="154"/>
        <v>0</v>
      </c>
      <c r="P76" s="10">
        <f t="shared" si="154"/>
        <v>0</v>
      </c>
      <c r="Q76" s="10">
        <f t="shared" si="154"/>
        <v>0</v>
      </c>
      <c r="R76" s="10">
        <f t="shared" si="154"/>
        <v>0</v>
      </c>
      <c r="S76" s="10">
        <f t="shared" si="154"/>
        <v>0</v>
      </c>
      <c r="T76" s="10">
        <f t="shared" si="154"/>
        <v>0</v>
      </c>
      <c r="U76" s="10">
        <f t="shared" si="154"/>
        <v>0</v>
      </c>
      <c r="V76" s="10">
        <f t="shared" si="154"/>
        <v>0</v>
      </c>
      <c r="W76" s="10">
        <f t="shared" si="154"/>
        <v>0</v>
      </c>
      <c r="X76" s="10">
        <f t="shared" si="154"/>
        <v>0</v>
      </c>
      <c r="Y76" s="10">
        <f t="shared" si="154"/>
        <v>0</v>
      </c>
      <c r="Z76" s="10">
        <f t="shared" si="154"/>
        <v>0</v>
      </c>
      <c r="AA76" s="10">
        <f t="shared" si="154"/>
        <v>0</v>
      </c>
      <c r="AB76" s="10">
        <f t="shared" si="154"/>
        <v>0</v>
      </c>
      <c r="AC76" s="10">
        <f t="shared" si="154"/>
        <v>0</v>
      </c>
      <c r="AD76" s="10">
        <f t="shared" si="154"/>
        <v>0</v>
      </c>
      <c r="AE76" s="10">
        <f t="shared" si="154"/>
        <v>0</v>
      </c>
      <c r="AF76" s="10">
        <f t="shared" si="154"/>
        <v>0</v>
      </c>
      <c r="AG76" s="10">
        <f t="shared" si="154"/>
        <v>0</v>
      </c>
      <c r="AH76" s="10">
        <f t="shared" si="154"/>
        <v>0</v>
      </c>
      <c r="AI76" s="10">
        <f t="shared" si="154"/>
        <v>0</v>
      </c>
      <c r="AJ76" s="10">
        <f t="shared" ref="AJ76:BO76" si="155">IF(AND(AJ$25&gt;AJ$24,IF(ISNA(AJ$29),TRUE(),AJ49&gt;=AJ$29),(AJ69-AJ49-(-AJ$25*(AJ49-AI49)/(AJ$25-AI$25)))/((AJ49-AI49)/(AJ$25-AI$25))&lt;=AJ$25,(AJ69-AJ49-(-AJ$25*(AJ49-AI49)/(AJ$25-AI$25)))/((AJ49-AI49)/(AJ$25-AI$25))&gt;AI$25),(AJ69-AJ49-(-AJ$25*(AJ49-AI49)/(AJ$25-AI$25)))/((AJ49-AI49)/(AJ$25-AI$25)),0)</f>
        <v>0</v>
      </c>
      <c r="AK76" s="10">
        <f t="shared" si="155"/>
        <v>0</v>
      </c>
      <c r="AL76" s="10">
        <f t="shared" si="155"/>
        <v>0</v>
      </c>
      <c r="AM76" s="10">
        <f t="shared" si="155"/>
        <v>0</v>
      </c>
      <c r="AN76" s="10">
        <f t="shared" si="155"/>
        <v>0</v>
      </c>
      <c r="AO76" s="10">
        <f t="shared" si="155"/>
        <v>0</v>
      </c>
      <c r="AP76" s="10">
        <f t="shared" si="155"/>
        <v>0</v>
      </c>
      <c r="AQ76" s="10">
        <f t="shared" si="155"/>
        <v>0</v>
      </c>
      <c r="AR76" s="10">
        <f t="shared" si="155"/>
        <v>0</v>
      </c>
      <c r="AS76" s="10">
        <f t="shared" si="155"/>
        <v>0</v>
      </c>
      <c r="AT76" s="10">
        <f t="shared" si="155"/>
        <v>0</v>
      </c>
      <c r="AU76" s="10">
        <f t="shared" si="155"/>
        <v>0</v>
      </c>
      <c r="AV76" s="10">
        <f t="shared" si="155"/>
        <v>0</v>
      </c>
      <c r="AW76" s="10">
        <f t="shared" si="155"/>
        <v>0</v>
      </c>
      <c r="AX76" s="10">
        <f t="shared" si="155"/>
        <v>0</v>
      </c>
      <c r="AY76" s="10">
        <f t="shared" si="155"/>
        <v>0</v>
      </c>
      <c r="AZ76" s="10">
        <f t="shared" si="155"/>
        <v>0</v>
      </c>
      <c r="BA76" s="10">
        <f t="shared" si="155"/>
        <v>0</v>
      </c>
      <c r="BB76" s="10">
        <f t="shared" si="155"/>
        <v>0</v>
      </c>
      <c r="BC76" s="10">
        <f t="shared" si="155"/>
        <v>0</v>
      </c>
      <c r="BD76" s="10">
        <f t="shared" si="155"/>
        <v>0</v>
      </c>
      <c r="BE76" s="10">
        <f t="shared" si="155"/>
        <v>0</v>
      </c>
      <c r="BF76" s="10">
        <f t="shared" si="155"/>
        <v>0</v>
      </c>
      <c r="BG76" s="10">
        <f t="shared" si="155"/>
        <v>0</v>
      </c>
      <c r="BH76" s="10">
        <f t="shared" si="155"/>
        <v>0</v>
      </c>
      <c r="BI76" s="10">
        <f t="shared" si="155"/>
        <v>0</v>
      </c>
      <c r="BJ76" s="10">
        <f t="shared" si="155"/>
        <v>0</v>
      </c>
      <c r="BK76" s="10">
        <f t="shared" si="155"/>
        <v>0</v>
      </c>
      <c r="BL76" s="10">
        <f t="shared" si="155"/>
        <v>0</v>
      </c>
      <c r="BM76" s="10">
        <f t="shared" si="155"/>
        <v>0</v>
      </c>
      <c r="BN76" s="10">
        <f t="shared" si="155"/>
        <v>0</v>
      </c>
      <c r="BO76" s="10">
        <f t="shared" si="155"/>
        <v>0</v>
      </c>
      <c r="BP76" s="10">
        <f t="shared" ref="BP76:CG76" si="156">IF(AND(BP$25&gt;BP$24,IF(ISNA(BP$29),TRUE(),BP49&gt;=BP$29),(BP69-BP49-(-BP$25*(BP49-BO49)/(BP$25-BO$25)))/((BP49-BO49)/(BP$25-BO$25))&lt;=BP$25,(BP69-BP49-(-BP$25*(BP49-BO49)/(BP$25-BO$25)))/((BP49-BO49)/(BP$25-BO$25))&gt;BO$25),(BP69-BP49-(-BP$25*(BP49-BO49)/(BP$25-BO$25)))/((BP49-BO49)/(BP$25-BO$25)),0)</f>
        <v>0</v>
      </c>
      <c r="BQ76" s="10">
        <f t="shared" si="156"/>
        <v>0</v>
      </c>
      <c r="BR76" s="10">
        <f t="shared" si="156"/>
        <v>0</v>
      </c>
      <c r="BS76" s="10">
        <f t="shared" si="156"/>
        <v>0</v>
      </c>
      <c r="BT76" s="10">
        <f t="shared" si="156"/>
        <v>0</v>
      </c>
      <c r="BU76" s="10">
        <f t="shared" si="156"/>
        <v>0</v>
      </c>
      <c r="BV76" s="10">
        <f t="shared" si="156"/>
        <v>1.1165371819650589</v>
      </c>
      <c r="BW76" s="10">
        <f t="shared" si="156"/>
        <v>0</v>
      </c>
      <c r="BX76" s="10">
        <f t="shared" si="156"/>
        <v>0</v>
      </c>
      <c r="BY76" s="10">
        <f t="shared" si="156"/>
        <v>0</v>
      </c>
      <c r="BZ76" s="10">
        <f t="shared" si="156"/>
        <v>0</v>
      </c>
      <c r="CA76" s="10">
        <f t="shared" si="156"/>
        <v>0</v>
      </c>
      <c r="CB76" s="10">
        <f t="shared" si="156"/>
        <v>0</v>
      </c>
      <c r="CC76" s="10">
        <f t="shared" si="156"/>
        <v>0</v>
      </c>
      <c r="CD76" s="10">
        <f t="shared" si="156"/>
        <v>0</v>
      </c>
      <c r="CE76" s="10">
        <f t="shared" si="156"/>
        <v>0</v>
      </c>
      <c r="CF76" s="10">
        <f t="shared" si="156"/>
        <v>0</v>
      </c>
      <c r="CG76" s="10">
        <f t="shared" si="156"/>
        <v>0</v>
      </c>
      <c r="CH76" s="10">
        <f t="array" aca="1" ref="CH76" ca="1">IF(MAX(D76:CG76),MAX(D76:CG76),INDIRECT(CI49))</f>
        <v>1.1165371819650589</v>
      </c>
    </row>
    <row r="77" spans="2:86" ht="16.5" customHeight="1">
      <c r="B77" s="10" t="s">
        <v>833</v>
      </c>
      <c r="D77" s="10">
        <f t="shared" ref="D77:AI77" si="157">IF(AND(D$25&gt;D$24,IF(ISNA(D$29),TRUE(),D50&gt;=D$29),(D70-D50-(-D$25*(D50-C50)/(D$25-C$25)))/((D50-C50)/(D$25-C$25))&lt;=D$25,(D70-D50-(-D$25*(D50-C50)/(D$25-C$25)))/((D50-C50)/(D$25-C$25))&gt;C$25),(D70-D50-(-D$25*(D50-C50)/(D$25-C$25)))/((D50-C50)/(D$25-C$25)),0)</f>
        <v>0</v>
      </c>
      <c r="E77" s="10">
        <f t="shared" si="157"/>
        <v>0</v>
      </c>
      <c r="F77" s="10">
        <f t="shared" si="157"/>
        <v>0</v>
      </c>
      <c r="G77" s="10">
        <f t="shared" si="157"/>
        <v>0</v>
      </c>
      <c r="H77" s="10">
        <f t="shared" si="157"/>
        <v>0</v>
      </c>
      <c r="I77" s="10">
        <f t="shared" si="157"/>
        <v>0</v>
      </c>
      <c r="J77" s="10">
        <f t="shared" si="157"/>
        <v>0</v>
      </c>
      <c r="K77" s="10">
        <f t="shared" si="157"/>
        <v>0</v>
      </c>
      <c r="L77" s="10">
        <f t="shared" si="157"/>
        <v>0</v>
      </c>
      <c r="M77" s="10">
        <f t="shared" si="157"/>
        <v>0</v>
      </c>
      <c r="N77" s="10">
        <f t="shared" si="157"/>
        <v>0</v>
      </c>
      <c r="O77" s="10">
        <f t="shared" si="157"/>
        <v>0</v>
      </c>
      <c r="P77" s="10">
        <f t="shared" si="157"/>
        <v>0</v>
      </c>
      <c r="Q77" s="10">
        <f t="shared" si="157"/>
        <v>0</v>
      </c>
      <c r="R77" s="10">
        <f t="shared" si="157"/>
        <v>0</v>
      </c>
      <c r="S77" s="10">
        <f t="shared" si="157"/>
        <v>0</v>
      </c>
      <c r="T77" s="10">
        <f t="shared" si="157"/>
        <v>0</v>
      </c>
      <c r="U77" s="10">
        <f t="shared" si="157"/>
        <v>0</v>
      </c>
      <c r="V77" s="10">
        <f t="shared" si="157"/>
        <v>0</v>
      </c>
      <c r="W77" s="10">
        <f t="shared" si="157"/>
        <v>0</v>
      </c>
      <c r="X77" s="10">
        <f t="shared" si="157"/>
        <v>0</v>
      </c>
      <c r="Y77" s="10">
        <f t="shared" si="157"/>
        <v>0</v>
      </c>
      <c r="Z77" s="10">
        <f t="shared" si="157"/>
        <v>0</v>
      </c>
      <c r="AA77" s="10">
        <f t="shared" si="157"/>
        <v>0</v>
      </c>
      <c r="AB77" s="10">
        <f t="shared" si="157"/>
        <v>0</v>
      </c>
      <c r="AC77" s="10">
        <f t="shared" si="157"/>
        <v>0</v>
      </c>
      <c r="AD77" s="10">
        <f t="shared" si="157"/>
        <v>0</v>
      </c>
      <c r="AE77" s="10">
        <f t="shared" si="157"/>
        <v>0</v>
      </c>
      <c r="AF77" s="10">
        <f t="shared" si="157"/>
        <v>0</v>
      </c>
      <c r="AG77" s="10">
        <f t="shared" si="157"/>
        <v>0</v>
      </c>
      <c r="AH77" s="10">
        <f t="shared" si="157"/>
        <v>0</v>
      </c>
      <c r="AI77" s="10">
        <f t="shared" si="157"/>
        <v>0</v>
      </c>
      <c r="AJ77" s="10">
        <f t="shared" ref="AJ77:BO77" si="158">IF(AND(AJ$25&gt;AJ$24,IF(ISNA(AJ$29),TRUE(),AJ50&gt;=AJ$29),(AJ70-AJ50-(-AJ$25*(AJ50-AI50)/(AJ$25-AI$25)))/((AJ50-AI50)/(AJ$25-AI$25))&lt;=AJ$25,(AJ70-AJ50-(-AJ$25*(AJ50-AI50)/(AJ$25-AI$25)))/((AJ50-AI50)/(AJ$25-AI$25))&gt;AI$25),(AJ70-AJ50-(-AJ$25*(AJ50-AI50)/(AJ$25-AI$25)))/((AJ50-AI50)/(AJ$25-AI$25)),0)</f>
        <v>0</v>
      </c>
      <c r="AK77" s="10">
        <f t="shared" si="158"/>
        <v>0</v>
      </c>
      <c r="AL77" s="10">
        <f t="shared" si="158"/>
        <v>0</v>
      </c>
      <c r="AM77" s="10">
        <f t="shared" si="158"/>
        <v>0</v>
      </c>
      <c r="AN77" s="10">
        <f t="shared" si="158"/>
        <v>0</v>
      </c>
      <c r="AO77" s="10">
        <f t="shared" si="158"/>
        <v>0</v>
      </c>
      <c r="AP77" s="10">
        <f t="shared" si="158"/>
        <v>0</v>
      </c>
      <c r="AQ77" s="10">
        <f t="shared" si="158"/>
        <v>0</v>
      </c>
      <c r="AR77" s="10">
        <f t="shared" si="158"/>
        <v>0</v>
      </c>
      <c r="AS77" s="10">
        <f t="shared" si="158"/>
        <v>0</v>
      </c>
      <c r="AT77" s="10">
        <f t="shared" si="158"/>
        <v>0</v>
      </c>
      <c r="AU77" s="10">
        <f t="shared" si="158"/>
        <v>0</v>
      </c>
      <c r="AV77" s="10">
        <f t="shared" si="158"/>
        <v>0</v>
      </c>
      <c r="AW77" s="10">
        <f t="shared" si="158"/>
        <v>0</v>
      </c>
      <c r="AX77" s="10">
        <f t="shared" si="158"/>
        <v>0</v>
      </c>
      <c r="AY77" s="10">
        <f t="shared" si="158"/>
        <v>0</v>
      </c>
      <c r="AZ77" s="10">
        <f t="shared" si="158"/>
        <v>0</v>
      </c>
      <c r="BA77" s="10">
        <f t="shared" si="158"/>
        <v>0</v>
      </c>
      <c r="BB77" s="10">
        <f t="shared" si="158"/>
        <v>0</v>
      </c>
      <c r="BC77" s="10">
        <f t="shared" si="158"/>
        <v>0</v>
      </c>
      <c r="BD77" s="10">
        <f t="shared" si="158"/>
        <v>0</v>
      </c>
      <c r="BE77" s="10">
        <f t="shared" si="158"/>
        <v>0</v>
      </c>
      <c r="BF77" s="10">
        <f t="shared" si="158"/>
        <v>0</v>
      </c>
      <c r="BG77" s="10">
        <f t="shared" si="158"/>
        <v>0</v>
      </c>
      <c r="BH77" s="10">
        <f t="shared" si="158"/>
        <v>0</v>
      </c>
      <c r="BI77" s="10">
        <f t="shared" si="158"/>
        <v>0</v>
      </c>
      <c r="BJ77" s="10">
        <f t="shared" si="158"/>
        <v>0</v>
      </c>
      <c r="BK77" s="10">
        <f t="shared" si="158"/>
        <v>0</v>
      </c>
      <c r="BL77" s="10">
        <f t="shared" si="158"/>
        <v>0</v>
      </c>
      <c r="BM77" s="10">
        <f t="shared" si="158"/>
        <v>0.89823107550759029</v>
      </c>
      <c r="BN77" s="10">
        <f t="shared" si="158"/>
        <v>0</v>
      </c>
      <c r="BO77" s="10">
        <f t="shared" si="158"/>
        <v>0</v>
      </c>
      <c r="BP77" s="10">
        <f t="shared" ref="BP77:CG77" si="159">IF(AND(BP$25&gt;BP$24,IF(ISNA(BP$29),TRUE(),BP50&gt;=BP$29),(BP70-BP50-(-BP$25*(BP50-BO50)/(BP$25-BO$25)))/((BP50-BO50)/(BP$25-BO$25))&lt;=BP$25,(BP70-BP50-(-BP$25*(BP50-BO50)/(BP$25-BO$25)))/((BP50-BO50)/(BP$25-BO$25))&gt;BO$25),(BP70-BP50-(-BP$25*(BP50-BO50)/(BP$25-BO$25)))/((BP50-BO50)/(BP$25-BO$25)),0)</f>
        <v>0</v>
      </c>
      <c r="BQ77" s="10">
        <f t="shared" si="159"/>
        <v>0</v>
      </c>
      <c r="BR77" s="10">
        <f t="shared" si="159"/>
        <v>0</v>
      </c>
      <c r="BS77" s="10">
        <f t="shared" si="159"/>
        <v>0</v>
      </c>
      <c r="BT77" s="10">
        <f t="shared" si="159"/>
        <v>0</v>
      </c>
      <c r="BU77" s="10">
        <f t="shared" si="159"/>
        <v>0</v>
      </c>
      <c r="BV77" s="10">
        <f t="shared" si="159"/>
        <v>0</v>
      </c>
      <c r="BW77" s="10">
        <f t="shared" si="159"/>
        <v>0</v>
      </c>
      <c r="BX77" s="10">
        <f t="shared" si="159"/>
        <v>0</v>
      </c>
      <c r="BY77" s="10">
        <f t="shared" si="159"/>
        <v>0</v>
      </c>
      <c r="BZ77" s="10">
        <f t="shared" si="159"/>
        <v>0</v>
      </c>
      <c r="CA77" s="10">
        <f t="shared" si="159"/>
        <v>0</v>
      </c>
      <c r="CB77" s="10">
        <f t="shared" si="159"/>
        <v>0</v>
      </c>
      <c r="CC77" s="10">
        <f t="shared" si="159"/>
        <v>0</v>
      </c>
      <c r="CD77" s="10">
        <f t="shared" si="159"/>
        <v>0</v>
      </c>
      <c r="CE77" s="10">
        <f t="shared" si="159"/>
        <v>0</v>
      </c>
      <c r="CF77" s="10">
        <f t="shared" si="159"/>
        <v>0</v>
      </c>
      <c r="CG77" s="10">
        <f t="shared" si="159"/>
        <v>0</v>
      </c>
      <c r="CH77" s="10">
        <f t="array" aca="1" ref="CH77" ca="1">IF(MAX(D77:CG77),MAX(D77:CG77),INDIRECT(CI50))</f>
        <v>0.89823107550759029</v>
      </c>
    </row>
    <row r="78" spans="2:86" ht="16.5" customHeight="1">
      <c r="B78" s="10" t="s">
        <v>834</v>
      </c>
      <c r="D78" s="10">
        <f t="shared" ref="D78:AI78" si="160">IF(AND(D$25&gt;D$24,IF(ISNA(D$29),TRUE(),D51&gt;=D$29),(D71-D51-(-D$25*(D51-C51)/(D$25-C$25)))/((D51-C51)/(D$25-C$25))&lt;=D$25,(D71-D51-(-D$25*(D51-C51)/(D$25-C$25)))/((D51-C51)/(D$25-C$25))&gt;C$25),(D71-D51-(-D$25*(D51-C51)/(D$25-C$25)))/((D51-C51)/(D$25-C$25)),0)</f>
        <v>0</v>
      </c>
      <c r="E78" s="10">
        <f t="shared" si="160"/>
        <v>0</v>
      </c>
      <c r="F78" s="10">
        <f t="shared" si="160"/>
        <v>0</v>
      </c>
      <c r="G78" s="10">
        <f t="shared" si="160"/>
        <v>0</v>
      </c>
      <c r="H78" s="10">
        <f t="shared" si="160"/>
        <v>0</v>
      </c>
      <c r="I78" s="10">
        <f t="shared" si="160"/>
        <v>0</v>
      </c>
      <c r="J78" s="10">
        <f t="shared" si="160"/>
        <v>0</v>
      </c>
      <c r="K78" s="10">
        <f t="shared" si="160"/>
        <v>0</v>
      </c>
      <c r="L78" s="10">
        <f t="shared" si="160"/>
        <v>0</v>
      </c>
      <c r="M78" s="10">
        <f t="shared" si="160"/>
        <v>0</v>
      </c>
      <c r="N78" s="10">
        <f t="shared" si="160"/>
        <v>0</v>
      </c>
      <c r="O78" s="10">
        <f t="shared" si="160"/>
        <v>0</v>
      </c>
      <c r="P78" s="10">
        <f t="shared" si="160"/>
        <v>0</v>
      </c>
      <c r="Q78" s="10">
        <f t="shared" si="160"/>
        <v>0</v>
      </c>
      <c r="R78" s="10">
        <f t="shared" si="160"/>
        <v>0</v>
      </c>
      <c r="S78" s="10">
        <f t="shared" si="160"/>
        <v>0</v>
      </c>
      <c r="T78" s="10">
        <f t="shared" si="160"/>
        <v>0</v>
      </c>
      <c r="U78" s="10">
        <f t="shared" si="160"/>
        <v>0</v>
      </c>
      <c r="V78" s="10">
        <f t="shared" si="160"/>
        <v>0</v>
      </c>
      <c r="W78" s="10">
        <f t="shared" si="160"/>
        <v>0</v>
      </c>
      <c r="X78" s="10">
        <f t="shared" si="160"/>
        <v>0</v>
      </c>
      <c r="Y78" s="10">
        <f t="shared" si="160"/>
        <v>0</v>
      </c>
      <c r="Z78" s="10">
        <f t="shared" si="160"/>
        <v>0</v>
      </c>
      <c r="AA78" s="10">
        <f t="shared" si="160"/>
        <v>0</v>
      </c>
      <c r="AB78" s="10">
        <f t="shared" si="160"/>
        <v>0</v>
      </c>
      <c r="AC78" s="10">
        <f t="shared" si="160"/>
        <v>0</v>
      </c>
      <c r="AD78" s="10">
        <f t="shared" si="160"/>
        <v>0</v>
      </c>
      <c r="AE78" s="10">
        <f t="shared" si="160"/>
        <v>0</v>
      </c>
      <c r="AF78" s="10">
        <f t="shared" si="160"/>
        <v>0</v>
      </c>
      <c r="AG78" s="10">
        <f t="shared" si="160"/>
        <v>0</v>
      </c>
      <c r="AH78" s="10">
        <f t="shared" si="160"/>
        <v>0</v>
      </c>
      <c r="AI78" s="10">
        <f t="shared" si="160"/>
        <v>0</v>
      </c>
      <c r="AJ78" s="10">
        <f t="shared" ref="AJ78:BO78" si="161">IF(AND(AJ$25&gt;AJ$24,IF(ISNA(AJ$29),TRUE(),AJ51&gt;=AJ$29),(AJ71-AJ51-(-AJ$25*(AJ51-AI51)/(AJ$25-AI$25)))/((AJ51-AI51)/(AJ$25-AI$25))&lt;=AJ$25,(AJ71-AJ51-(-AJ$25*(AJ51-AI51)/(AJ$25-AI$25)))/((AJ51-AI51)/(AJ$25-AI$25))&gt;AI$25),(AJ71-AJ51-(-AJ$25*(AJ51-AI51)/(AJ$25-AI$25)))/((AJ51-AI51)/(AJ$25-AI$25)),0)</f>
        <v>0</v>
      </c>
      <c r="AK78" s="10">
        <f t="shared" si="161"/>
        <v>0</v>
      </c>
      <c r="AL78" s="10">
        <f t="shared" si="161"/>
        <v>0</v>
      </c>
      <c r="AM78" s="10">
        <f t="shared" si="161"/>
        <v>0</v>
      </c>
      <c r="AN78" s="10">
        <f t="shared" si="161"/>
        <v>0</v>
      </c>
      <c r="AO78" s="10">
        <f t="shared" si="161"/>
        <v>0</v>
      </c>
      <c r="AP78" s="10">
        <f t="shared" si="161"/>
        <v>0</v>
      </c>
      <c r="AQ78" s="10">
        <f t="shared" si="161"/>
        <v>0</v>
      </c>
      <c r="AR78" s="10">
        <f t="shared" si="161"/>
        <v>0</v>
      </c>
      <c r="AS78" s="10">
        <f t="shared" si="161"/>
        <v>0</v>
      </c>
      <c r="AT78" s="10">
        <f t="shared" si="161"/>
        <v>0</v>
      </c>
      <c r="AU78" s="10">
        <f t="shared" si="161"/>
        <v>0</v>
      </c>
      <c r="AV78" s="10">
        <f t="shared" si="161"/>
        <v>0</v>
      </c>
      <c r="AW78" s="10">
        <f t="shared" si="161"/>
        <v>0</v>
      </c>
      <c r="AX78" s="10">
        <f t="shared" si="161"/>
        <v>0</v>
      </c>
      <c r="AY78" s="10">
        <f t="shared" si="161"/>
        <v>0</v>
      </c>
      <c r="AZ78" s="10">
        <f t="shared" si="161"/>
        <v>0</v>
      </c>
      <c r="BA78" s="10">
        <f t="shared" si="161"/>
        <v>0</v>
      </c>
      <c r="BB78" s="10">
        <f t="shared" si="161"/>
        <v>0</v>
      </c>
      <c r="BC78" s="10">
        <f t="shared" si="161"/>
        <v>0.74228676439106678</v>
      </c>
      <c r="BD78" s="10">
        <f t="shared" si="161"/>
        <v>0</v>
      </c>
      <c r="BE78" s="10">
        <f t="shared" si="161"/>
        <v>0</v>
      </c>
      <c r="BF78" s="10">
        <f t="shared" si="161"/>
        <v>0</v>
      </c>
      <c r="BG78" s="10">
        <f t="shared" si="161"/>
        <v>0</v>
      </c>
      <c r="BH78" s="10">
        <f t="shared" si="161"/>
        <v>0</v>
      </c>
      <c r="BI78" s="10">
        <f t="shared" si="161"/>
        <v>0</v>
      </c>
      <c r="BJ78" s="10">
        <f t="shared" si="161"/>
        <v>0</v>
      </c>
      <c r="BK78" s="10">
        <f t="shared" si="161"/>
        <v>0</v>
      </c>
      <c r="BL78" s="10">
        <f t="shared" si="161"/>
        <v>0</v>
      </c>
      <c r="BM78" s="10">
        <f t="shared" si="161"/>
        <v>0</v>
      </c>
      <c r="BN78" s="10">
        <f t="shared" si="161"/>
        <v>0</v>
      </c>
      <c r="BO78" s="10">
        <f t="shared" si="161"/>
        <v>0</v>
      </c>
      <c r="BP78" s="10">
        <f t="shared" ref="BP78:CG78" si="162">IF(AND(BP$25&gt;BP$24,IF(ISNA(BP$29),TRUE(),BP51&gt;=BP$29),(BP71-BP51-(-BP$25*(BP51-BO51)/(BP$25-BO$25)))/((BP51-BO51)/(BP$25-BO$25))&lt;=BP$25,(BP71-BP51-(-BP$25*(BP51-BO51)/(BP$25-BO$25)))/((BP51-BO51)/(BP$25-BO$25))&gt;BO$25),(BP71-BP51-(-BP$25*(BP51-BO51)/(BP$25-BO$25)))/((BP51-BO51)/(BP$25-BO$25)),0)</f>
        <v>0</v>
      </c>
      <c r="BQ78" s="10">
        <f t="shared" si="162"/>
        <v>0</v>
      </c>
      <c r="BR78" s="10">
        <f t="shared" si="162"/>
        <v>0</v>
      </c>
      <c r="BS78" s="10">
        <f t="shared" si="162"/>
        <v>0</v>
      </c>
      <c r="BT78" s="10">
        <f t="shared" si="162"/>
        <v>0</v>
      </c>
      <c r="BU78" s="10">
        <f t="shared" si="162"/>
        <v>0</v>
      </c>
      <c r="BV78" s="10">
        <f t="shared" si="162"/>
        <v>0</v>
      </c>
      <c r="BW78" s="10">
        <f t="shared" si="162"/>
        <v>0</v>
      </c>
      <c r="BX78" s="10">
        <f t="shared" si="162"/>
        <v>0</v>
      </c>
      <c r="BY78" s="10">
        <f t="shared" si="162"/>
        <v>0</v>
      </c>
      <c r="BZ78" s="10">
        <f t="shared" si="162"/>
        <v>0</v>
      </c>
      <c r="CA78" s="10">
        <f t="shared" si="162"/>
        <v>0</v>
      </c>
      <c r="CB78" s="10">
        <f t="shared" si="162"/>
        <v>0</v>
      </c>
      <c r="CC78" s="10">
        <f t="shared" si="162"/>
        <v>0</v>
      </c>
      <c r="CD78" s="10">
        <f t="shared" si="162"/>
        <v>0</v>
      </c>
      <c r="CE78" s="10">
        <f t="shared" si="162"/>
        <v>0</v>
      </c>
      <c r="CF78" s="10">
        <f t="shared" si="162"/>
        <v>0</v>
      </c>
      <c r="CG78" s="10">
        <f t="shared" si="162"/>
        <v>0</v>
      </c>
      <c r="CH78" s="10">
        <f t="array" aca="1" ref="CH78" ca="1">IF(MAX(D78:CG78),MAX(D78:CG78),INDIRECT(CI51))</f>
        <v>0.74228676439106678</v>
      </c>
    </row>
    <row r="79" spans="2:86" ht="16.5" customHeight="1">
      <c r="B79" s="10" t="s">
        <v>835</v>
      </c>
      <c r="D79" s="10">
        <f t="shared" ref="D79:AI79" si="163">IF(AND(D$25&gt;D$24,IF(ISNA(D$29),TRUE(),D52&gt;=D$29),(D72-D52-(-D$25*(D52-C52)/(D$25-C$25)))/((D52-C52)/(D$25-C$25))&lt;=D$25,(D72-D52-(-D$25*(D52-C52)/(D$25-C$25)))/((D52-C52)/(D$25-C$25))&gt;C$25),(D72-D52-(-D$25*(D52-C52)/(D$25-C$25)))/((D52-C52)/(D$25-C$25)),0)</f>
        <v>0</v>
      </c>
      <c r="E79" s="10">
        <f t="shared" si="163"/>
        <v>0</v>
      </c>
      <c r="F79" s="10">
        <f t="shared" si="163"/>
        <v>0</v>
      </c>
      <c r="G79" s="10">
        <f t="shared" si="163"/>
        <v>0</v>
      </c>
      <c r="H79" s="10">
        <f t="shared" si="163"/>
        <v>0</v>
      </c>
      <c r="I79" s="10">
        <f t="shared" si="163"/>
        <v>0</v>
      </c>
      <c r="J79" s="10">
        <f t="shared" si="163"/>
        <v>0</v>
      </c>
      <c r="K79" s="10">
        <f t="shared" si="163"/>
        <v>0</v>
      </c>
      <c r="L79" s="10">
        <f t="shared" si="163"/>
        <v>0</v>
      </c>
      <c r="M79" s="10">
        <f t="shared" si="163"/>
        <v>0</v>
      </c>
      <c r="N79" s="10">
        <f t="shared" si="163"/>
        <v>0</v>
      </c>
      <c r="O79" s="10">
        <f t="shared" si="163"/>
        <v>0</v>
      </c>
      <c r="P79" s="10">
        <f t="shared" si="163"/>
        <v>0</v>
      </c>
      <c r="Q79" s="10">
        <f t="shared" si="163"/>
        <v>0</v>
      </c>
      <c r="R79" s="10">
        <f t="shared" si="163"/>
        <v>0</v>
      </c>
      <c r="S79" s="10">
        <f t="shared" si="163"/>
        <v>0</v>
      </c>
      <c r="T79" s="10">
        <f t="shared" si="163"/>
        <v>0</v>
      </c>
      <c r="U79" s="10">
        <f t="shared" si="163"/>
        <v>0</v>
      </c>
      <c r="V79" s="10">
        <f t="shared" si="163"/>
        <v>0</v>
      </c>
      <c r="W79" s="10">
        <f t="shared" si="163"/>
        <v>0</v>
      </c>
      <c r="X79" s="10">
        <f t="shared" si="163"/>
        <v>0</v>
      </c>
      <c r="Y79" s="10">
        <f t="shared" si="163"/>
        <v>0</v>
      </c>
      <c r="Z79" s="10">
        <f t="shared" si="163"/>
        <v>0</v>
      </c>
      <c r="AA79" s="10">
        <f t="shared" si="163"/>
        <v>0</v>
      </c>
      <c r="AB79" s="10">
        <f t="shared" si="163"/>
        <v>0</v>
      </c>
      <c r="AC79" s="10">
        <f t="shared" si="163"/>
        <v>0</v>
      </c>
      <c r="AD79" s="10">
        <f t="shared" si="163"/>
        <v>0</v>
      </c>
      <c r="AE79" s="10">
        <f t="shared" si="163"/>
        <v>0</v>
      </c>
      <c r="AF79" s="10">
        <f t="shared" si="163"/>
        <v>0</v>
      </c>
      <c r="AG79" s="10">
        <f t="shared" si="163"/>
        <v>0</v>
      </c>
      <c r="AH79" s="10">
        <f t="shared" si="163"/>
        <v>0</v>
      </c>
      <c r="AI79" s="10">
        <f t="shared" si="163"/>
        <v>0</v>
      </c>
      <c r="AJ79" s="10">
        <f t="shared" ref="AJ79:BO79" si="164">IF(AND(AJ$25&gt;AJ$24,IF(ISNA(AJ$29),TRUE(),AJ52&gt;=AJ$29),(AJ72-AJ52-(-AJ$25*(AJ52-AI52)/(AJ$25-AI$25)))/((AJ52-AI52)/(AJ$25-AI$25))&lt;=AJ$25,(AJ72-AJ52-(-AJ$25*(AJ52-AI52)/(AJ$25-AI$25)))/((AJ52-AI52)/(AJ$25-AI$25))&gt;AI$25),(AJ72-AJ52-(-AJ$25*(AJ52-AI52)/(AJ$25-AI$25)))/((AJ52-AI52)/(AJ$25-AI$25)),0)</f>
        <v>0</v>
      </c>
      <c r="AK79" s="10">
        <f t="shared" si="164"/>
        <v>0</v>
      </c>
      <c r="AL79" s="10">
        <f t="shared" si="164"/>
        <v>0</v>
      </c>
      <c r="AM79" s="10">
        <f t="shared" si="164"/>
        <v>0</v>
      </c>
      <c r="AN79" s="10">
        <f t="shared" si="164"/>
        <v>0</v>
      </c>
      <c r="AO79" s="10">
        <f t="shared" si="164"/>
        <v>0</v>
      </c>
      <c r="AP79" s="10">
        <f t="shared" si="164"/>
        <v>0</v>
      </c>
      <c r="AQ79" s="10">
        <f t="shared" si="164"/>
        <v>0</v>
      </c>
      <c r="AR79" s="10">
        <f t="shared" si="164"/>
        <v>0</v>
      </c>
      <c r="AS79" s="10">
        <f t="shared" si="164"/>
        <v>0</v>
      </c>
      <c r="AT79" s="10">
        <f t="shared" si="164"/>
        <v>0</v>
      </c>
      <c r="AU79" s="10">
        <f t="shared" si="164"/>
        <v>0.63620926824287627</v>
      </c>
      <c r="AV79" s="10">
        <f t="shared" si="164"/>
        <v>0</v>
      </c>
      <c r="AW79" s="10">
        <f t="shared" si="164"/>
        <v>0</v>
      </c>
      <c r="AX79" s="10">
        <f t="shared" si="164"/>
        <v>0</v>
      </c>
      <c r="AY79" s="10">
        <f t="shared" si="164"/>
        <v>0</v>
      </c>
      <c r="AZ79" s="10">
        <f t="shared" si="164"/>
        <v>0</v>
      </c>
      <c r="BA79" s="10">
        <f t="shared" si="164"/>
        <v>0</v>
      </c>
      <c r="BB79" s="10">
        <f t="shared" si="164"/>
        <v>0</v>
      </c>
      <c r="BC79" s="10">
        <f t="shared" si="164"/>
        <v>0</v>
      </c>
      <c r="BD79" s="10">
        <f t="shared" si="164"/>
        <v>0</v>
      </c>
      <c r="BE79" s="10">
        <f t="shared" si="164"/>
        <v>0</v>
      </c>
      <c r="BF79" s="10">
        <f t="shared" si="164"/>
        <v>0</v>
      </c>
      <c r="BG79" s="10">
        <f t="shared" si="164"/>
        <v>0</v>
      </c>
      <c r="BH79" s="10">
        <f t="shared" si="164"/>
        <v>0</v>
      </c>
      <c r="BI79" s="10">
        <f t="shared" si="164"/>
        <v>0</v>
      </c>
      <c r="BJ79" s="10">
        <f t="shared" si="164"/>
        <v>0</v>
      </c>
      <c r="BK79" s="10">
        <f t="shared" si="164"/>
        <v>0</v>
      </c>
      <c r="BL79" s="10">
        <f t="shared" si="164"/>
        <v>0</v>
      </c>
      <c r="BM79" s="10">
        <f t="shared" si="164"/>
        <v>0</v>
      </c>
      <c r="BN79" s="10">
        <f t="shared" si="164"/>
        <v>0</v>
      </c>
      <c r="BO79" s="10">
        <f t="shared" si="164"/>
        <v>0</v>
      </c>
      <c r="BP79" s="10">
        <f t="shared" ref="BP79:CG79" si="165">IF(AND(BP$25&gt;BP$24,IF(ISNA(BP$29),TRUE(),BP52&gt;=BP$29),(BP72-BP52-(-BP$25*(BP52-BO52)/(BP$25-BO$25)))/((BP52-BO52)/(BP$25-BO$25))&lt;=BP$25,(BP72-BP52-(-BP$25*(BP52-BO52)/(BP$25-BO$25)))/((BP52-BO52)/(BP$25-BO$25))&gt;BO$25),(BP72-BP52-(-BP$25*(BP52-BO52)/(BP$25-BO$25)))/((BP52-BO52)/(BP$25-BO$25)),0)</f>
        <v>0</v>
      </c>
      <c r="BQ79" s="10">
        <f t="shared" si="165"/>
        <v>0</v>
      </c>
      <c r="BR79" s="10">
        <f t="shared" si="165"/>
        <v>0</v>
      </c>
      <c r="BS79" s="10">
        <f t="shared" si="165"/>
        <v>0</v>
      </c>
      <c r="BT79" s="10">
        <f t="shared" si="165"/>
        <v>0</v>
      </c>
      <c r="BU79" s="10">
        <f t="shared" si="165"/>
        <v>0</v>
      </c>
      <c r="BV79" s="10">
        <f t="shared" si="165"/>
        <v>0</v>
      </c>
      <c r="BW79" s="10">
        <f t="shared" si="165"/>
        <v>0</v>
      </c>
      <c r="BX79" s="10">
        <f t="shared" si="165"/>
        <v>0</v>
      </c>
      <c r="BY79" s="10">
        <f t="shared" si="165"/>
        <v>0</v>
      </c>
      <c r="BZ79" s="10">
        <f t="shared" si="165"/>
        <v>0</v>
      </c>
      <c r="CA79" s="10">
        <f t="shared" si="165"/>
        <v>0</v>
      </c>
      <c r="CB79" s="10">
        <f t="shared" si="165"/>
        <v>0</v>
      </c>
      <c r="CC79" s="10">
        <f t="shared" si="165"/>
        <v>0</v>
      </c>
      <c r="CD79" s="10">
        <f t="shared" si="165"/>
        <v>0</v>
      </c>
      <c r="CE79" s="10">
        <f t="shared" si="165"/>
        <v>0</v>
      </c>
      <c r="CF79" s="10">
        <f t="shared" si="165"/>
        <v>0</v>
      </c>
      <c r="CG79" s="10">
        <f t="shared" si="165"/>
        <v>0</v>
      </c>
      <c r="CH79" s="10">
        <f t="array" aca="1" ref="CH79" ca="1">IF(MAX(D79:CG79),MAX(D79:CG79),INDIRECT(CI52))</f>
        <v>0.63620926824287627</v>
      </c>
    </row>
    <row r="81" spans="2:86" ht="16.5" customHeight="1">
      <c r="B81" s="10" t="s">
        <v>836</v>
      </c>
      <c r="C81" s="10">
        <f t="shared" ref="C81:AH81" si="166">2*C$10*(C$5+C$11*C$6)/(SQRT(2)*C$8*SIN(C33))</f>
        <v>1.1710788240331071</v>
      </c>
      <c r="D81" s="10">
        <f t="shared" si="166"/>
        <v>1.1710788240331071</v>
      </c>
      <c r="E81" s="10">
        <f t="shared" si="166"/>
        <v>1.1710788240331071</v>
      </c>
      <c r="F81" s="10">
        <f t="shared" si="166"/>
        <v>1.1710788240331071</v>
      </c>
      <c r="G81" s="10">
        <f t="shared" si="166"/>
        <v>1.1710788240331071</v>
      </c>
      <c r="H81" s="10">
        <f t="shared" si="166"/>
        <v>1.1710788240331071</v>
      </c>
      <c r="I81" s="10">
        <f t="shared" si="166"/>
        <v>1.1710788240331071</v>
      </c>
      <c r="J81" s="10">
        <f t="shared" si="166"/>
        <v>1.1710788240331071</v>
      </c>
      <c r="K81" s="10">
        <f t="shared" si="166"/>
        <v>1.1710788240331071</v>
      </c>
      <c r="L81" s="10">
        <f t="shared" si="166"/>
        <v>1.1710788240331071</v>
      </c>
      <c r="M81" s="10">
        <f t="shared" si="166"/>
        <v>1.1710788240331071</v>
      </c>
      <c r="N81" s="10">
        <f t="shared" si="166"/>
        <v>1.1710788240331071</v>
      </c>
      <c r="O81" s="10">
        <f t="shared" si="166"/>
        <v>1.1710788240331071</v>
      </c>
      <c r="P81" s="10">
        <f t="shared" si="166"/>
        <v>1.1710788240331071</v>
      </c>
      <c r="Q81" s="10">
        <f t="shared" si="166"/>
        <v>1.1710788240331071</v>
      </c>
      <c r="R81" s="10">
        <f t="shared" si="166"/>
        <v>1.1710788240331071</v>
      </c>
      <c r="S81" s="10">
        <f t="shared" si="166"/>
        <v>1.1710788240331071</v>
      </c>
      <c r="T81" s="10">
        <f t="shared" si="166"/>
        <v>1.1710788240331071</v>
      </c>
      <c r="U81" s="10">
        <f t="shared" si="166"/>
        <v>1.1710788240331071</v>
      </c>
      <c r="V81" s="10">
        <f t="shared" si="166"/>
        <v>1.1710788240331071</v>
      </c>
      <c r="W81" s="10">
        <f t="shared" si="166"/>
        <v>1.1710788240331071</v>
      </c>
      <c r="X81" s="10">
        <f t="shared" si="166"/>
        <v>1.1710788240331071</v>
      </c>
      <c r="Y81" s="10">
        <f t="shared" si="166"/>
        <v>1.1710788240331071</v>
      </c>
      <c r="Z81" s="10">
        <f t="shared" si="166"/>
        <v>1.1710788240331071</v>
      </c>
      <c r="AA81" s="10">
        <f t="shared" si="166"/>
        <v>1.1710788240331071</v>
      </c>
      <c r="AB81" s="10">
        <f t="shared" si="166"/>
        <v>1.1710788240331071</v>
      </c>
      <c r="AC81" s="10">
        <f t="shared" si="166"/>
        <v>1.1710788240331071</v>
      </c>
      <c r="AD81" s="10">
        <f t="shared" si="166"/>
        <v>1.1710788240331071</v>
      </c>
      <c r="AE81" s="10">
        <f t="shared" si="166"/>
        <v>1.1710788240331071</v>
      </c>
      <c r="AF81" s="10">
        <f t="shared" si="166"/>
        <v>1.1710788240331071</v>
      </c>
      <c r="AG81" s="10">
        <f t="shared" si="166"/>
        <v>1.1710788240331071</v>
      </c>
      <c r="AH81" s="10">
        <f t="shared" si="166"/>
        <v>1.1710788240331071</v>
      </c>
      <c r="AI81" s="10">
        <f t="shared" ref="AI81:BN81" si="167">2*AI$10*(AI$5+AI$11*AI$6)/(SQRT(2)*AI$8*SIN(AI33))</f>
        <v>1.1710788240331071</v>
      </c>
      <c r="AJ81" s="10">
        <f t="shared" si="167"/>
        <v>1.1710788240331071</v>
      </c>
      <c r="AK81" s="10">
        <f t="shared" si="167"/>
        <v>1.1710788240331071</v>
      </c>
      <c r="AL81" s="10">
        <f t="shared" si="167"/>
        <v>1.1710788240331071</v>
      </c>
      <c r="AM81" s="10">
        <f t="shared" si="167"/>
        <v>1.1710788240331071</v>
      </c>
      <c r="AN81" s="10">
        <f t="shared" si="167"/>
        <v>1.1710788240331071</v>
      </c>
      <c r="AO81" s="10">
        <f t="shared" si="167"/>
        <v>1.1710788240331071</v>
      </c>
      <c r="AP81" s="10">
        <f t="shared" si="167"/>
        <v>1.1710788240331071</v>
      </c>
      <c r="AQ81" s="10">
        <f t="shared" si="167"/>
        <v>1.1710788240331071</v>
      </c>
      <c r="AR81" s="10">
        <f t="shared" si="167"/>
        <v>1.1710788240331071</v>
      </c>
      <c r="AS81" s="10">
        <f t="shared" si="167"/>
        <v>1.1710788240331071</v>
      </c>
      <c r="AT81" s="10">
        <f t="shared" si="167"/>
        <v>1.1710788240331071</v>
      </c>
      <c r="AU81" s="10">
        <f t="shared" si="167"/>
        <v>1.1710788240331071</v>
      </c>
      <c r="AV81" s="10">
        <f t="shared" si="167"/>
        <v>1.1710788240331071</v>
      </c>
      <c r="AW81" s="10">
        <f t="shared" si="167"/>
        <v>1.1710788240331071</v>
      </c>
      <c r="AX81" s="10">
        <f t="shared" si="167"/>
        <v>1.1710788240331071</v>
      </c>
      <c r="AY81" s="10">
        <f t="shared" si="167"/>
        <v>1.1710788240331071</v>
      </c>
      <c r="AZ81" s="10">
        <f t="shared" si="167"/>
        <v>1.1710788240331071</v>
      </c>
      <c r="BA81" s="10">
        <f t="shared" si="167"/>
        <v>1.1710788240331071</v>
      </c>
      <c r="BB81" s="10">
        <f t="shared" si="167"/>
        <v>1.1710788240331071</v>
      </c>
      <c r="BC81" s="10">
        <f t="shared" si="167"/>
        <v>1.1710788240331071</v>
      </c>
      <c r="BD81" s="10">
        <f t="shared" si="167"/>
        <v>1.1710788240331071</v>
      </c>
      <c r="BE81" s="10">
        <f t="shared" si="167"/>
        <v>1.1710788240331071</v>
      </c>
      <c r="BF81" s="10">
        <f t="shared" si="167"/>
        <v>1.1710788240331071</v>
      </c>
      <c r="BG81" s="10">
        <f t="shared" si="167"/>
        <v>1.1710788240331071</v>
      </c>
      <c r="BH81" s="10">
        <f t="shared" si="167"/>
        <v>1.1710788240331071</v>
      </c>
      <c r="BI81" s="10">
        <f t="shared" si="167"/>
        <v>1.1710788240331071</v>
      </c>
      <c r="BJ81" s="10">
        <f t="shared" si="167"/>
        <v>1.1710788240331071</v>
      </c>
      <c r="BK81" s="10">
        <f t="shared" si="167"/>
        <v>1.1710788240331071</v>
      </c>
      <c r="BL81" s="10">
        <f t="shared" si="167"/>
        <v>1.1710788240331071</v>
      </c>
      <c r="BM81" s="10">
        <f t="shared" si="167"/>
        <v>1.1710788240331071</v>
      </c>
      <c r="BN81" s="10">
        <f t="shared" si="167"/>
        <v>1.1710788240331071</v>
      </c>
      <c r="BO81" s="10">
        <f t="shared" ref="BO81:CG81" si="168">2*BO$10*(BO$5+BO$11*BO$6)/(SQRT(2)*BO$8*SIN(BO33))</f>
        <v>1.1710788240331071</v>
      </c>
      <c r="BP81" s="10">
        <f t="shared" si="168"/>
        <v>1.1710788240331071</v>
      </c>
      <c r="BQ81" s="10">
        <f t="shared" si="168"/>
        <v>1.1710788240331071</v>
      </c>
      <c r="BR81" s="10">
        <f t="shared" si="168"/>
        <v>1.1710788240331071</v>
      </c>
      <c r="BS81" s="10">
        <f t="shared" si="168"/>
        <v>1.1710788240331071</v>
      </c>
      <c r="BT81" s="10">
        <f t="shared" si="168"/>
        <v>1.1710788240331071</v>
      </c>
      <c r="BU81" s="10">
        <f t="shared" si="168"/>
        <v>1.1710788240331071</v>
      </c>
      <c r="BV81" s="10">
        <f t="shared" si="168"/>
        <v>1.1710788240331071</v>
      </c>
      <c r="BW81" s="10">
        <f t="shared" si="168"/>
        <v>1.1710788240331071</v>
      </c>
      <c r="BX81" s="10">
        <f t="shared" si="168"/>
        <v>1.1710788240331071</v>
      </c>
      <c r="BY81" s="10">
        <f t="shared" si="168"/>
        <v>1.1710788240331071</v>
      </c>
      <c r="BZ81" s="10">
        <f t="shared" si="168"/>
        <v>1.1710788240331071</v>
      </c>
      <c r="CA81" s="10">
        <f t="shared" si="168"/>
        <v>1.1710788240331071</v>
      </c>
      <c r="CB81" s="10">
        <f t="shared" si="168"/>
        <v>1.1710788240331071</v>
      </c>
      <c r="CC81" s="10">
        <f t="shared" si="168"/>
        <v>1.1710788240331071</v>
      </c>
      <c r="CD81" s="10">
        <f t="shared" si="168"/>
        <v>1.1710788240331071</v>
      </c>
      <c r="CE81" s="10">
        <f t="shared" si="168"/>
        <v>1.1710788240331071</v>
      </c>
      <c r="CF81" s="10">
        <f t="shared" si="168"/>
        <v>1.1710788240331071</v>
      </c>
      <c r="CG81" s="10">
        <f t="shared" si="168"/>
        <v>1.1710788240331071</v>
      </c>
    </row>
    <row r="82" spans="2:86" ht="16.5" customHeight="1">
      <c r="B82" s="10" t="s">
        <v>837</v>
      </c>
      <c r="C82" s="10">
        <f t="shared" ref="C82:AH82" si="169">2*C$10*(C$5+C$11*C$6)/(SQRT(2)*C$8*SIN(C34))</f>
        <v>1.2123900119041271</v>
      </c>
      <c r="D82" s="10">
        <f t="shared" si="169"/>
        <v>1.2123900119041271</v>
      </c>
      <c r="E82" s="10">
        <f t="shared" si="169"/>
        <v>1.2123900119041271</v>
      </c>
      <c r="F82" s="10">
        <f t="shared" si="169"/>
        <v>1.2123900119041271</v>
      </c>
      <c r="G82" s="10">
        <f t="shared" si="169"/>
        <v>1.2123900119041271</v>
      </c>
      <c r="H82" s="10">
        <f t="shared" si="169"/>
        <v>1.2123900119041271</v>
      </c>
      <c r="I82" s="10">
        <f t="shared" si="169"/>
        <v>1.2123900119041271</v>
      </c>
      <c r="J82" s="10">
        <f t="shared" si="169"/>
        <v>1.2123900119041271</v>
      </c>
      <c r="K82" s="10">
        <f t="shared" si="169"/>
        <v>1.2123900119041271</v>
      </c>
      <c r="L82" s="10">
        <f t="shared" si="169"/>
        <v>1.2123900119041271</v>
      </c>
      <c r="M82" s="10">
        <f t="shared" si="169"/>
        <v>1.2123900119041271</v>
      </c>
      <c r="N82" s="10">
        <f t="shared" si="169"/>
        <v>1.2123900119041271</v>
      </c>
      <c r="O82" s="10">
        <f t="shared" si="169"/>
        <v>1.2123900119041271</v>
      </c>
      <c r="P82" s="10">
        <f t="shared" si="169"/>
        <v>1.2123900119041271</v>
      </c>
      <c r="Q82" s="10">
        <f t="shared" si="169"/>
        <v>1.2123900119041271</v>
      </c>
      <c r="R82" s="10">
        <f t="shared" si="169"/>
        <v>1.2123900119041271</v>
      </c>
      <c r="S82" s="10">
        <f t="shared" si="169"/>
        <v>1.2123900119041271</v>
      </c>
      <c r="T82" s="10">
        <f t="shared" si="169"/>
        <v>1.2123900119041271</v>
      </c>
      <c r="U82" s="10">
        <f t="shared" si="169"/>
        <v>1.2123900119041271</v>
      </c>
      <c r="V82" s="10">
        <f t="shared" si="169"/>
        <v>1.2123900119041271</v>
      </c>
      <c r="W82" s="10">
        <f t="shared" si="169"/>
        <v>1.2123900119041271</v>
      </c>
      <c r="X82" s="10">
        <f t="shared" si="169"/>
        <v>1.2123900119041271</v>
      </c>
      <c r="Y82" s="10">
        <f t="shared" si="169"/>
        <v>1.2123900119041271</v>
      </c>
      <c r="Z82" s="10">
        <f t="shared" si="169"/>
        <v>1.2123900119041271</v>
      </c>
      <c r="AA82" s="10">
        <f t="shared" si="169"/>
        <v>1.2123900119041271</v>
      </c>
      <c r="AB82" s="10">
        <f t="shared" si="169"/>
        <v>1.2123900119041271</v>
      </c>
      <c r="AC82" s="10">
        <f t="shared" si="169"/>
        <v>1.2123900119041271</v>
      </c>
      <c r="AD82" s="10">
        <f t="shared" si="169"/>
        <v>1.2123900119041271</v>
      </c>
      <c r="AE82" s="10">
        <f t="shared" si="169"/>
        <v>1.2123900119041271</v>
      </c>
      <c r="AF82" s="10">
        <f t="shared" si="169"/>
        <v>1.2123900119041271</v>
      </c>
      <c r="AG82" s="10">
        <f t="shared" si="169"/>
        <v>1.2123900119041271</v>
      </c>
      <c r="AH82" s="10">
        <f t="shared" si="169"/>
        <v>1.2123900119041271</v>
      </c>
      <c r="AI82" s="10">
        <f t="shared" ref="AI82:BN82" si="170">2*AI$10*(AI$5+AI$11*AI$6)/(SQRT(2)*AI$8*SIN(AI34))</f>
        <v>1.2123900119041271</v>
      </c>
      <c r="AJ82" s="10">
        <f t="shared" si="170"/>
        <v>1.2123900119041271</v>
      </c>
      <c r="AK82" s="10">
        <f t="shared" si="170"/>
        <v>1.2123900119041271</v>
      </c>
      <c r="AL82" s="10">
        <f t="shared" si="170"/>
        <v>1.2123900119041271</v>
      </c>
      <c r="AM82" s="10">
        <f t="shared" si="170"/>
        <v>1.2123900119041271</v>
      </c>
      <c r="AN82" s="10">
        <f t="shared" si="170"/>
        <v>1.2123900119041271</v>
      </c>
      <c r="AO82" s="10">
        <f t="shared" si="170"/>
        <v>1.2123900119041271</v>
      </c>
      <c r="AP82" s="10">
        <f t="shared" si="170"/>
        <v>1.2123900119041271</v>
      </c>
      <c r="AQ82" s="10">
        <f t="shared" si="170"/>
        <v>1.2123900119041271</v>
      </c>
      <c r="AR82" s="10">
        <f t="shared" si="170"/>
        <v>1.2123900119041271</v>
      </c>
      <c r="AS82" s="10">
        <f t="shared" si="170"/>
        <v>1.2123900119041271</v>
      </c>
      <c r="AT82" s="10">
        <f t="shared" si="170"/>
        <v>1.2123900119041271</v>
      </c>
      <c r="AU82" s="10">
        <f t="shared" si="170"/>
        <v>1.2123900119041271</v>
      </c>
      <c r="AV82" s="10">
        <f t="shared" si="170"/>
        <v>1.2123900119041271</v>
      </c>
      <c r="AW82" s="10">
        <f t="shared" si="170"/>
        <v>1.2123900119041271</v>
      </c>
      <c r="AX82" s="10">
        <f t="shared" si="170"/>
        <v>1.2123900119041271</v>
      </c>
      <c r="AY82" s="10">
        <f t="shared" si="170"/>
        <v>1.2123900119041271</v>
      </c>
      <c r="AZ82" s="10">
        <f t="shared" si="170"/>
        <v>1.2123900119041271</v>
      </c>
      <c r="BA82" s="10">
        <f t="shared" si="170"/>
        <v>1.2123900119041271</v>
      </c>
      <c r="BB82" s="10">
        <f t="shared" si="170"/>
        <v>1.2123900119041271</v>
      </c>
      <c r="BC82" s="10">
        <f t="shared" si="170"/>
        <v>1.2123900119041271</v>
      </c>
      <c r="BD82" s="10">
        <f t="shared" si="170"/>
        <v>1.2123900119041271</v>
      </c>
      <c r="BE82" s="10">
        <f t="shared" si="170"/>
        <v>1.2123900119041271</v>
      </c>
      <c r="BF82" s="10">
        <f t="shared" si="170"/>
        <v>1.2123900119041271</v>
      </c>
      <c r="BG82" s="10">
        <f t="shared" si="170"/>
        <v>1.2123900119041271</v>
      </c>
      <c r="BH82" s="10">
        <f t="shared" si="170"/>
        <v>1.2123900119041271</v>
      </c>
      <c r="BI82" s="10">
        <f t="shared" si="170"/>
        <v>1.2123900119041271</v>
      </c>
      <c r="BJ82" s="10">
        <f t="shared" si="170"/>
        <v>1.2123900119041271</v>
      </c>
      <c r="BK82" s="10">
        <f t="shared" si="170"/>
        <v>1.2123900119041271</v>
      </c>
      <c r="BL82" s="10">
        <f t="shared" si="170"/>
        <v>1.2123900119041271</v>
      </c>
      <c r="BM82" s="10">
        <f t="shared" si="170"/>
        <v>1.2123900119041271</v>
      </c>
      <c r="BN82" s="10">
        <f t="shared" si="170"/>
        <v>1.2123900119041271</v>
      </c>
      <c r="BO82" s="10">
        <f t="shared" ref="BO82:CG82" si="171">2*BO$10*(BO$5+BO$11*BO$6)/(SQRT(2)*BO$8*SIN(BO34))</f>
        <v>1.2123900119041271</v>
      </c>
      <c r="BP82" s="10">
        <f t="shared" si="171"/>
        <v>1.2123900119041271</v>
      </c>
      <c r="BQ82" s="10">
        <f t="shared" si="171"/>
        <v>1.2123900119041271</v>
      </c>
      <c r="BR82" s="10">
        <f t="shared" si="171"/>
        <v>1.2123900119041271</v>
      </c>
      <c r="BS82" s="10">
        <f t="shared" si="171"/>
        <v>1.2123900119041271</v>
      </c>
      <c r="BT82" s="10">
        <f t="shared" si="171"/>
        <v>1.2123900119041271</v>
      </c>
      <c r="BU82" s="10">
        <f t="shared" si="171"/>
        <v>1.2123900119041271</v>
      </c>
      <c r="BV82" s="10">
        <f t="shared" si="171"/>
        <v>1.2123900119041271</v>
      </c>
      <c r="BW82" s="10">
        <f t="shared" si="171"/>
        <v>1.2123900119041271</v>
      </c>
      <c r="BX82" s="10">
        <f t="shared" si="171"/>
        <v>1.2123900119041271</v>
      </c>
      <c r="BY82" s="10">
        <f t="shared" si="171"/>
        <v>1.2123900119041271</v>
      </c>
      <c r="BZ82" s="10">
        <f t="shared" si="171"/>
        <v>1.2123900119041271</v>
      </c>
      <c r="CA82" s="10">
        <f t="shared" si="171"/>
        <v>1.2123900119041271</v>
      </c>
      <c r="CB82" s="10">
        <f t="shared" si="171"/>
        <v>1.2123900119041271</v>
      </c>
      <c r="CC82" s="10">
        <f t="shared" si="171"/>
        <v>1.2123900119041271</v>
      </c>
      <c r="CD82" s="10">
        <f t="shared" si="171"/>
        <v>1.2123900119041271</v>
      </c>
      <c r="CE82" s="10">
        <f t="shared" si="171"/>
        <v>1.2123900119041271</v>
      </c>
      <c r="CF82" s="10">
        <f t="shared" si="171"/>
        <v>1.2123900119041271</v>
      </c>
      <c r="CG82" s="10">
        <f t="shared" si="171"/>
        <v>1.2123900119041271</v>
      </c>
    </row>
    <row r="83" spans="2:86" ht="16.5" customHeight="1">
      <c r="B83" s="10" t="s">
        <v>838</v>
      </c>
      <c r="C83" s="10">
        <f t="shared" ref="C83:AH83" si="172">2*C$10*(C$5+C$11*C$6)/(SQRT(2)*C$8*SIN(C35))</f>
        <v>1.3522453485955697</v>
      </c>
      <c r="D83" s="10">
        <f t="shared" si="172"/>
        <v>1.3522453485955697</v>
      </c>
      <c r="E83" s="10">
        <f t="shared" si="172"/>
        <v>1.3522453485955697</v>
      </c>
      <c r="F83" s="10">
        <f t="shared" si="172"/>
        <v>1.3522453485955697</v>
      </c>
      <c r="G83" s="10">
        <f t="shared" si="172"/>
        <v>1.3522453485955697</v>
      </c>
      <c r="H83" s="10">
        <f t="shared" si="172"/>
        <v>1.3522453485955697</v>
      </c>
      <c r="I83" s="10">
        <f t="shared" si="172"/>
        <v>1.3522453485955697</v>
      </c>
      <c r="J83" s="10">
        <f t="shared" si="172"/>
        <v>1.3522453485955697</v>
      </c>
      <c r="K83" s="10">
        <f t="shared" si="172"/>
        <v>1.3522453485955697</v>
      </c>
      <c r="L83" s="10">
        <f t="shared" si="172"/>
        <v>1.3522453485955697</v>
      </c>
      <c r="M83" s="10">
        <f t="shared" si="172"/>
        <v>1.3522453485955697</v>
      </c>
      <c r="N83" s="10">
        <f t="shared" si="172"/>
        <v>1.3522453485955697</v>
      </c>
      <c r="O83" s="10">
        <f t="shared" si="172"/>
        <v>1.3522453485955697</v>
      </c>
      <c r="P83" s="10">
        <f t="shared" si="172"/>
        <v>1.3522453485955697</v>
      </c>
      <c r="Q83" s="10">
        <f t="shared" si="172"/>
        <v>1.3522453485955697</v>
      </c>
      <c r="R83" s="10">
        <f t="shared" si="172"/>
        <v>1.3522453485955697</v>
      </c>
      <c r="S83" s="10">
        <f t="shared" si="172"/>
        <v>1.3522453485955697</v>
      </c>
      <c r="T83" s="10">
        <f t="shared" si="172"/>
        <v>1.3522453485955697</v>
      </c>
      <c r="U83" s="10">
        <f t="shared" si="172"/>
        <v>1.3522453485955697</v>
      </c>
      <c r="V83" s="10">
        <f t="shared" si="172"/>
        <v>1.3522453485955697</v>
      </c>
      <c r="W83" s="10">
        <f t="shared" si="172"/>
        <v>1.3522453485955697</v>
      </c>
      <c r="X83" s="10">
        <f t="shared" si="172"/>
        <v>1.3522453485955697</v>
      </c>
      <c r="Y83" s="10">
        <f t="shared" si="172"/>
        <v>1.3522453485955697</v>
      </c>
      <c r="Z83" s="10">
        <f t="shared" si="172"/>
        <v>1.3522453485955697</v>
      </c>
      <c r="AA83" s="10">
        <f t="shared" si="172"/>
        <v>1.3522453485955697</v>
      </c>
      <c r="AB83" s="10">
        <f t="shared" si="172"/>
        <v>1.3522453485955697</v>
      </c>
      <c r="AC83" s="10">
        <f t="shared" si="172"/>
        <v>1.3522453485955697</v>
      </c>
      <c r="AD83" s="10">
        <f t="shared" si="172"/>
        <v>1.3522453485955697</v>
      </c>
      <c r="AE83" s="10">
        <f t="shared" si="172"/>
        <v>1.3522453485955697</v>
      </c>
      <c r="AF83" s="10">
        <f t="shared" si="172"/>
        <v>1.3522453485955697</v>
      </c>
      <c r="AG83" s="10">
        <f t="shared" si="172"/>
        <v>1.3522453485955697</v>
      </c>
      <c r="AH83" s="10">
        <f t="shared" si="172"/>
        <v>1.3522453485955697</v>
      </c>
      <c r="AI83" s="10">
        <f t="shared" ref="AI83:BN83" si="173">2*AI$10*(AI$5+AI$11*AI$6)/(SQRT(2)*AI$8*SIN(AI35))</f>
        <v>1.3522453485955697</v>
      </c>
      <c r="AJ83" s="10">
        <f t="shared" si="173"/>
        <v>1.3522453485955697</v>
      </c>
      <c r="AK83" s="10">
        <f t="shared" si="173"/>
        <v>1.3522453485955697</v>
      </c>
      <c r="AL83" s="10">
        <f t="shared" si="173"/>
        <v>1.3522453485955697</v>
      </c>
      <c r="AM83" s="10">
        <f t="shared" si="173"/>
        <v>1.3522453485955697</v>
      </c>
      <c r="AN83" s="10">
        <f t="shared" si="173"/>
        <v>1.3522453485955697</v>
      </c>
      <c r="AO83" s="10">
        <f t="shared" si="173"/>
        <v>1.3522453485955697</v>
      </c>
      <c r="AP83" s="10">
        <f t="shared" si="173"/>
        <v>1.3522453485955697</v>
      </c>
      <c r="AQ83" s="10">
        <f t="shared" si="173"/>
        <v>1.3522453485955697</v>
      </c>
      <c r="AR83" s="10">
        <f t="shared" si="173"/>
        <v>1.3522453485955697</v>
      </c>
      <c r="AS83" s="10">
        <f t="shared" si="173"/>
        <v>1.3522453485955697</v>
      </c>
      <c r="AT83" s="10">
        <f t="shared" si="173"/>
        <v>1.3522453485955697</v>
      </c>
      <c r="AU83" s="10">
        <f t="shared" si="173"/>
        <v>1.3522453485955697</v>
      </c>
      <c r="AV83" s="10">
        <f t="shared" si="173"/>
        <v>1.3522453485955697</v>
      </c>
      <c r="AW83" s="10">
        <f t="shared" si="173"/>
        <v>1.3522453485955697</v>
      </c>
      <c r="AX83" s="10">
        <f t="shared" si="173"/>
        <v>1.3522453485955697</v>
      </c>
      <c r="AY83" s="10">
        <f t="shared" si="173"/>
        <v>1.3522453485955697</v>
      </c>
      <c r="AZ83" s="10">
        <f t="shared" si="173"/>
        <v>1.3522453485955697</v>
      </c>
      <c r="BA83" s="10">
        <f t="shared" si="173"/>
        <v>1.3522453485955697</v>
      </c>
      <c r="BB83" s="10">
        <f t="shared" si="173"/>
        <v>1.3522453485955697</v>
      </c>
      <c r="BC83" s="10">
        <f t="shared" si="173"/>
        <v>1.3522453485955697</v>
      </c>
      <c r="BD83" s="10">
        <f t="shared" si="173"/>
        <v>1.3522453485955697</v>
      </c>
      <c r="BE83" s="10">
        <f t="shared" si="173"/>
        <v>1.3522453485955697</v>
      </c>
      <c r="BF83" s="10">
        <f t="shared" si="173"/>
        <v>1.3522453485955697</v>
      </c>
      <c r="BG83" s="10">
        <f t="shared" si="173"/>
        <v>1.3522453485955697</v>
      </c>
      <c r="BH83" s="10">
        <f t="shared" si="173"/>
        <v>1.3522453485955697</v>
      </c>
      <c r="BI83" s="10">
        <f t="shared" si="173"/>
        <v>1.3522453485955697</v>
      </c>
      <c r="BJ83" s="10">
        <f t="shared" si="173"/>
        <v>1.3522453485955697</v>
      </c>
      <c r="BK83" s="10">
        <f t="shared" si="173"/>
        <v>1.3522453485955697</v>
      </c>
      <c r="BL83" s="10">
        <f t="shared" si="173"/>
        <v>1.3522453485955697</v>
      </c>
      <c r="BM83" s="10">
        <f t="shared" si="173"/>
        <v>1.3522453485955697</v>
      </c>
      <c r="BN83" s="10">
        <f t="shared" si="173"/>
        <v>1.3522453485955697</v>
      </c>
      <c r="BO83" s="10">
        <f t="shared" ref="BO83:CG83" si="174">2*BO$10*(BO$5+BO$11*BO$6)/(SQRT(2)*BO$8*SIN(BO35))</f>
        <v>1.3522453485955697</v>
      </c>
      <c r="BP83" s="10">
        <f t="shared" si="174"/>
        <v>1.3522453485955697</v>
      </c>
      <c r="BQ83" s="10">
        <f t="shared" si="174"/>
        <v>1.3522453485955697</v>
      </c>
      <c r="BR83" s="10">
        <f t="shared" si="174"/>
        <v>1.3522453485955697</v>
      </c>
      <c r="BS83" s="10">
        <f t="shared" si="174"/>
        <v>1.3522453485955697</v>
      </c>
      <c r="BT83" s="10">
        <f t="shared" si="174"/>
        <v>1.3522453485955697</v>
      </c>
      <c r="BU83" s="10">
        <f t="shared" si="174"/>
        <v>1.3522453485955697</v>
      </c>
      <c r="BV83" s="10">
        <f t="shared" si="174"/>
        <v>1.3522453485955697</v>
      </c>
      <c r="BW83" s="10">
        <f t="shared" si="174"/>
        <v>1.3522453485955697</v>
      </c>
      <c r="BX83" s="10">
        <f t="shared" si="174"/>
        <v>1.3522453485955697</v>
      </c>
      <c r="BY83" s="10">
        <f t="shared" si="174"/>
        <v>1.3522453485955697</v>
      </c>
      <c r="BZ83" s="10">
        <f t="shared" si="174"/>
        <v>1.3522453485955697</v>
      </c>
      <c r="CA83" s="10">
        <f t="shared" si="174"/>
        <v>1.3522453485955697</v>
      </c>
      <c r="CB83" s="10">
        <f t="shared" si="174"/>
        <v>1.3522453485955697</v>
      </c>
      <c r="CC83" s="10">
        <f t="shared" si="174"/>
        <v>1.3522453485955697</v>
      </c>
      <c r="CD83" s="10">
        <f t="shared" si="174"/>
        <v>1.3522453485955697</v>
      </c>
      <c r="CE83" s="10">
        <f t="shared" si="174"/>
        <v>1.3522453485955697</v>
      </c>
      <c r="CF83" s="10">
        <f t="shared" si="174"/>
        <v>1.3522453485955697</v>
      </c>
      <c r="CG83" s="10">
        <f t="shared" si="174"/>
        <v>1.3522453485955697</v>
      </c>
    </row>
    <row r="84" spans="2:86" ht="16.5" customHeight="1">
      <c r="B84" s="10" t="s">
        <v>839</v>
      </c>
      <c r="C84" s="10">
        <f t="shared" ref="C84:AH84" si="175">2*C$10*(C$5+C$11*C$6)/(SQRT(2)*C$8*SIN(C36))</f>
        <v>1.6561555555555556</v>
      </c>
      <c r="D84" s="10">
        <f t="shared" si="175"/>
        <v>1.6561555555555556</v>
      </c>
      <c r="E84" s="10">
        <f t="shared" si="175"/>
        <v>1.6561555555555556</v>
      </c>
      <c r="F84" s="10">
        <f t="shared" si="175"/>
        <v>1.6561555555555556</v>
      </c>
      <c r="G84" s="10">
        <f t="shared" si="175"/>
        <v>1.6561555555555556</v>
      </c>
      <c r="H84" s="10">
        <f t="shared" si="175"/>
        <v>1.6561555555555556</v>
      </c>
      <c r="I84" s="10">
        <f t="shared" si="175"/>
        <v>1.6561555555555556</v>
      </c>
      <c r="J84" s="10">
        <f t="shared" si="175"/>
        <v>1.6561555555555556</v>
      </c>
      <c r="K84" s="10">
        <f t="shared" si="175"/>
        <v>1.6561555555555556</v>
      </c>
      <c r="L84" s="10">
        <f t="shared" si="175"/>
        <v>1.6561555555555556</v>
      </c>
      <c r="M84" s="10">
        <f t="shared" si="175"/>
        <v>1.6561555555555556</v>
      </c>
      <c r="N84" s="10">
        <f t="shared" si="175"/>
        <v>1.6561555555555556</v>
      </c>
      <c r="O84" s="10">
        <f t="shared" si="175"/>
        <v>1.6561555555555556</v>
      </c>
      <c r="P84" s="10">
        <f t="shared" si="175"/>
        <v>1.6561555555555556</v>
      </c>
      <c r="Q84" s="10">
        <f t="shared" si="175"/>
        <v>1.6561555555555556</v>
      </c>
      <c r="R84" s="10">
        <f t="shared" si="175"/>
        <v>1.6561555555555556</v>
      </c>
      <c r="S84" s="10">
        <f t="shared" si="175"/>
        <v>1.6561555555555556</v>
      </c>
      <c r="T84" s="10">
        <f t="shared" si="175"/>
        <v>1.6561555555555556</v>
      </c>
      <c r="U84" s="10">
        <f t="shared" si="175"/>
        <v>1.6561555555555556</v>
      </c>
      <c r="V84" s="10">
        <f t="shared" si="175"/>
        <v>1.6561555555555556</v>
      </c>
      <c r="W84" s="10">
        <f t="shared" si="175"/>
        <v>1.6561555555555556</v>
      </c>
      <c r="X84" s="10">
        <f t="shared" si="175"/>
        <v>1.6561555555555556</v>
      </c>
      <c r="Y84" s="10">
        <f t="shared" si="175"/>
        <v>1.6561555555555556</v>
      </c>
      <c r="Z84" s="10">
        <f t="shared" si="175"/>
        <v>1.6561555555555556</v>
      </c>
      <c r="AA84" s="10">
        <f t="shared" si="175"/>
        <v>1.6561555555555556</v>
      </c>
      <c r="AB84" s="10">
        <f t="shared" si="175"/>
        <v>1.6561555555555556</v>
      </c>
      <c r="AC84" s="10">
        <f t="shared" si="175"/>
        <v>1.6561555555555556</v>
      </c>
      <c r="AD84" s="10">
        <f t="shared" si="175"/>
        <v>1.6561555555555556</v>
      </c>
      <c r="AE84" s="10">
        <f t="shared" si="175"/>
        <v>1.6561555555555556</v>
      </c>
      <c r="AF84" s="10">
        <f t="shared" si="175"/>
        <v>1.6561555555555556</v>
      </c>
      <c r="AG84" s="10">
        <f t="shared" si="175"/>
        <v>1.6561555555555556</v>
      </c>
      <c r="AH84" s="10">
        <f t="shared" si="175"/>
        <v>1.6561555555555556</v>
      </c>
      <c r="AI84" s="10">
        <f t="shared" ref="AI84:BN84" si="176">2*AI$10*(AI$5+AI$11*AI$6)/(SQRT(2)*AI$8*SIN(AI36))</f>
        <v>1.6561555555555556</v>
      </c>
      <c r="AJ84" s="10">
        <f t="shared" si="176"/>
        <v>1.6561555555555556</v>
      </c>
      <c r="AK84" s="10">
        <f t="shared" si="176"/>
        <v>1.6561555555555556</v>
      </c>
      <c r="AL84" s="10">
        <f t="shared" si="176"/>
        <v>1.6561555555555556</v>
      </c>
      <c r="AM84" s="10">
        <f t="shared" si="176"/>
        <v>1.6561555555555556</v>
      </c>
      <c r="AN84" s="10">
        <f t="shared" si="176"/>
        <v>1.6561555555555556</v>
      </c>
      <c r="AO84" s="10">
        <f t="shared" si="176"/>
        <v>1.6561555555555556</v>
      </c>
      <c r="AP84" s="10">
        <f t="shared" si="176"/>
        <v>1.6561555555555556</v>
      </c>
      <c r="AQ84" s="10">
        <f t="shared" si="176"/>
        <v>1.6561555555555556</v>
      </c>
      <c r="AR84" s="10">
        <f t="shared" si="176"/>
        <v>1.6561555555555556</v>
      </c>
      <c r="AS84" s="10">
        <f t="shared" si="176"/>
        <v>1.6561555555555556</v>
      </c>
      <c r="AT84" s="10">
        <f t="shared" si="176"/>
        <v>1.6561555555555556</v>
      </c>
      <c r="AU84" s="10">
        <f t="shared" si="176"/>
        <v>1.6561555555555556</v>
      </c>
      <c r="AV84" s="10">
        <f t="shared" si="176"/>
        <v>1.6561555555555556</v>
      </c>
      <c r="AW84" s="10">
        <f t="shared" si="176"/>
        <v>1.6561555555555556</v>
      </c>
      <c r="AX84" s="10">
        <f t="shared" si="176"/>
        <v>1.6561555555555556</v>
      </c>
      <c r="AY84" s="10">
        <f t="shared" si="176"/>
        <v>1.6561555555555556</v>
      </c>
      <c r="AZ84" s="10">
        <f t="shared" si="176"/>
        <v>1.6561555555555556</v>
      </c>
      <c r="BA84" s="10">
        <f t="shared" si="176"/>
        <v>1.6561555555555556</v>
      </c>
      <c r="BB84" s="10">
        <f t="shared" si="176"/>
        <v>1.6561555555555556</v>
      </c>
      <c r="BC84" s="10">
        <f t="shared" si="176"/>
        <v>1.6561555555555556</v>
      </c>
      <c r="BD84" s="10">
        <f t="shared" si="176"/>
        <v>1.6561555555555556</v>
      </c>
      <c r="BE84" s="10">
        <f t="shared" si="176"/>
        <v>1.6561555555555556</v>
      </c>
      <c r="BF84" s="10">
        <f t="shared" si="176"/>
        <v>1.6561555555555556</v>
      </c>
      <c r="BG84" s="10">
        <f t="shared" si="176"/>
        <v>1.6561555555555556</v>
      </c>
      <c r="BH84" s="10">
        <f t="shared" si="176"/>
        <v>1.6561555555555556</v>
      </c>
      <c r="BI84" s="10">
        <f t="shared" si="176"/>
        <v>1.6561555555555556</v>
      </c>
      <c r="BJ84" s="10">
        <f t="shared" si="176"/>
        <v>1.6561555555555556</v>
      </c>
      <c r="BK84" s="10">
        <f t="shared" si="176"/>
        <v>1.6561555555555556</v>
      </c>
      <c r="BL84" s="10">
        <f t="shared" si="176"/>
        <v>1.6561555555555556</v>
      </c>
      <c r="BM84" s="10">
        <f t="shared" si="176"/>
        <v>1.6561555555555556</v>
      </c>
      <c r="BN84" s="10">
        <f t="shared" si="176"/>
        <v>1.6561555555555556</v>
      </c>
      <c r="BO84" s="10">
        <f t="shared" ref="BO84:CG84" si="177">2*BO$10*(BO$5+BO$11*BO$6)/(SQRT(2)*BO$8*SIN(BO36))</f>
        <v>1.6561555555555556</v>
      </c>
      <c r="BP84" s="10">
        <f t="shared" si="177"/>
        <v>1.6561555555555556</v>
      </c>
      <c r="BQ84" s="10">
        <f t="shared" si="177"/>
        <v>1.6561555555555556</v>
      </c>
      <c r="BR84" s="10">
        <f t="shared" si="177"/>
        <v>1.6561555555555556</v>
      </c>
      <c r="BS84" s="10">
        <f t="shared" si="177"/>
        <v>1.6561555555555556</v>
      </c>
      <c r="BT84" s="10">
        <f t="shared" si="177"/>
        <v>1.6561555555555556</v>
      </c>
      <c r="BU84" s="10">
        <f t="shared" si="177"/>
        <v>1.6561555555555556</v>
      </c>
      <c r="BV84" s="10">
        <f t="shared" si="177"/>
        <v>1.6561555555555556</v>
      </c>
      <c r="BW84" s="10">
        <f t="shared" si="177"/>
        <v>1.6561555555555556</v>
      </c>
      <c r="BX84" s="10">
        <f t="shared" si="177"/>
        <v>1.6561555555555556</v>
      </c>
      <c r="BY84" s="10">
        <f t="shared" si="177"/>
        <v>1.6561555555555556</v>
      </c>
      <c r="BZ84" s="10">
        <f t="shared" si="177"/>
        <v>1.6561555555555556</v>
      </c>
      <c r="CA84" s="10">
        <f t="shared" si="177"/>
        <v>1.6561555555555556</v>
      </c>
      <c r="CB84" s="10">
        <f t="shared" si="177"/>
        <v>1.6561555555555556</v>
      </c>
      <c r="CC84" s="10">
        <f t="shared" si="177"/>
        <v>1.6561555555555556</v>
      </c>
      <c r="CD84" s="10">
        <f t="shared" si="177"/>
        <v>1.6561555555555556</v>
      </c>
      <c r="CE84" s="10">
        <f t="shared" si="177"/>
        <v>1.6561555555555556</v>
      </c>
      <c r="CF84" s="10">
        <f t="shared" si="177"/>
        <v>1.6561555555555556</v>
      </c>
      <c r="CG84" s="10">
        <f t="shared" si="177"/>
        <v>1.6561555555555556</v>
      </c>
    </row>
    <row r="85" spans="2:86" ht="16.5" customHeight="1">
      <c r="B85" s="10" t="s">
        <v>840</v>
      </c>
      <c r="C85" s="10">
        <f t="shared" ref="C85:AH85" si="178">2*C$10*(C$5+C$11*C$6)/(SQRT(2)*C$8*SIN(C37))</f>
        <v>2.3421576480662147</v>
      </c>
      <c r="D85" s="10">
        <f t="shared" si="178"/>
        <v>2.3421576480662147</v>
      </c>
      <c r="E85" s="10">
        <f t="shared" si="178"/>
        <v>2.3421576480662147</v>
      </c>
      <c r="F85" s="10">
        <f t="shared" si="178"/>
        <v>2.3421576480662147</v>
      </c>
      <c r="G85" s="10">
        <f t="shared" si="178"/>
        <v>2.3421576480662147</v>
      </c>
      <c r="H85" s="10">
        <f t="shared" si="178"/>
        <v>2.3421576480662147</v>
      </c>
      <c r="I85" s="10">
        <f t="shared" si="178"/>
        <v>2.3421576480662147</v>
      </c>
      <c r="J85" s="10">
        <f t="shared" si="178"/>
        <v>2.3421576480662147</v>
      </c>
      <c r="K85" s="10">
        <f t="shared" si="178"/>
        <v>2.3421576480662147</v>
      </c>
      <c r="L85" s="10">
        <f t="shared" si="178"/>
        <v>2.3421576480662147</v>
      </c>
      <c r="M85" s="10">
        <f t="shared" si="178"/>
        <v>2.3421576480662147</v>
      </c>
      <c r="N85" s="10">
        <f t="shared" si="178"/>
        <v>2.3421576480662147</v>
      </c>
      <c r="O85" s="10">
        <f t="shared" si="178"/>
        <v>2.3421576480662147</v>
      </c>
      <c r="P85" s="10">
        <f t="shared" si="178"/>
        <v>2.3421576480662147</v>
      </c>
      <c r="Q85" s="10">
        <f t="shared" si="178"/>
        <v>2.3421576480662147</v>
      </c>
      <c r="R85" s="10">
        <f t="shared" si="178"/>
        <v>2.3421576480662147</v>
      </c>
      <c r="S85" s="10">
        <f t="shared" si="178"/>
        <v>2.3421576480662147</v>
      </c>
      <c r="T85" s="10">
        <f t="shared" si="178"/>
        <v>2.3421576480662147</v>
      </c>
      <c r="U85" s="10">
        <f t="shared" si="178"/>
        <v>2.3421576480662147</v>
      </c>
      <c r="V85" s="10">
        <f t="shared" si="178"/>
        <v>2.3421576480662147</v>
      </c>
      <c r="W85" s="10">
        <f t="shared" si="178"/>
        <v>2.3421576480662147</v>
      </c>
      <c r="X85" s="10">
        <f t="shared" si="178"/>
        <v>2.3421576480662147</v>
      </c>
      <c r="Y85" s="10">
        <f t="shared" si="178"/>
        <v>2.3421576480662147</v>
      </c>
      <c r="Z85" s="10">
        <f t="shared" si="178"/>
        <v>2.3421576480662147</v>
      </c>
      <c r="AA85" s="10">
        <f t="shared" si="178"/>
        <v>2.3421576480662147</v>
      </c>
      <c r="AB85" s="10">
        <f t="shared" si="178"/>
        <v>2.3421576480662147</v>
      </c>
      <c r="AC85" s="10">
        <f t="shared" si="178"/>
        <v>2.3421576480662147</v>
      </c>
      <c r="AD85" s="10">
        <f t="shared" si="178"/>
        <v>2.3421576480662147</v>
      </c>
      <c r="AE85" s="10">
        <f t="shared" si="178"/>
        <v>2.3421576480662147</v>
      </c>
      <c r="AF85" s="10">
        <f t="shared" si="178"/>
        <v>2.3421576480662147</v>
      </c>
      <c r="AG85" s="10">
        <f t="shared" si="178"/>
        <v>2.3421576480662147</v>
      </c>
      <c r="AH85" s="10">
        <f t="shared" si="178"/>
        <v>2.3421576480662147</v>
      </c>
      <c r="AI85" s="10">
        <f t="shared" ref="AI85:BN85" si="179">2*AI$10*(AI$5+AI$11*AI$6)/(SQRT(2)*AI$8*SIN(AI37))</f>
        <v>2.3421576480662147</v>
      </c>
      <c r="AJ85" s="10">
        <f t="shared" si="179"/>
        <v>2.3421576480662147</v>
      </c>
      <c r="AK85" s="10">
        <f t="shared" si="179"/>
        <v>2.3421576480662147</v>
      </c>
      <c r="AL85" s="10">
        <f t="shared" si="179"/>
        <v>2.3421576480662147</v>
      </c>
      <c r="AM85" s="10">
        <f t="shared" si="179"/>
        <v>2.3421576480662147</v>
      </c>
      <c r="AN85" s="10">
        <f t="shared" si="179"/>
        <v>2.3421576480662147</v>
      </c>
      <c r="AO85" s="10">
        <f t="shared" si="179"/>
        <v>2.3421576480662147</v>
      </c>
      <c r="AP85" s="10">
        <f t="shared" si="179"/>
        <v>2.3421576480662147</v>
      </c>
      <c r="AQ85" s="10">
        <f t="shared" si="179"/>
        <v>2.3421576480662147</v>
      </c>
      <c r="AR85" s="10">
        <f t="shared" si="179"/>
        <v>2.3421576480662147</v>
      </c>
      <c r="AS85" s="10">
        <f t="shared" si="179"/>
        <v>2.3421576480662147</v>
      </c>
      <c r="AT85" s="10">
        <f t="shared" si="179"/>
        <v>2.3421576480662147</v>
      </c>
      <c r="AU85" s="10">
        <f t="shared" si="179"/>
        <v>2.3421576480662147</v>
      </c>
      <c r="AV85" s="10">
        <f t="shared" si="179"/>
        <v>2.3421576480662147</v>
      </c>
      <c r="AW85" s="10">
        <f t="shared" si="179"/>
        <v>2.3421576480662147</v>
      </c>
      <c r="AX85" s="10">
        <f t="shared" si="179"/>
        <v>2.3421576480662147</v>
      </c>
      <c r="AY85" s="10">
        <f t="shared" si="179"/>
        <v>2.3421576480662147</v>
      </c>
      <c r="AZ85" s="10">
        <f t="shared" si="179"/>
        <v>2.3421576480662147</v>
      </c>
      <c r="BA85" s="10">
        <f t="shared" si="179"/>
        <v>2.3421576480662147</v>
      </c>
      <c r="BB85" s="10">
        <f t="shared" si="179"/>
        <v>2.3421576480662147</v>
      </c>
      <c r="BC85" s="10">
        <f t="shared" si="179"/>
        <v>2.3421576480662147</v>
      </c>
      <c r="BD85" s="10">
        <f t="shared" si="179"/>
        <v>2.3421576480662147</v>
      </c>
      <c r="BE85" s="10">
        <f t="shared" si="179"/>
        <v>2.3421576480662147</v>
      </c>
      <c r="BF85" s="10">
        <f t="shared" si="179"/>
        <v>2.3421576480662147</v>
      </c>
      <c r="BG85" s="10">
        <f t="shared" si="179"/>
        <v>2.3421576480662147</v>
      </c>
      <c r="BH85" s="10">
        <f t="shared" si="179"/>
        <v>2.3421576480662147</v>
      </c>
      <c r="BI85" s="10">
        <f t="shared" si="179"/>
        <v>2.3421576480662147</v>
      </c>
      <c r="BJ85" s="10">
        <f t="shared" si="179"/>
        <v>2.3421576480662147</v>
      </c>
      <c r="BK85" s="10">
        <f t="shared" si="179"/>
        <v>2.3421576480662147</v>
      </c>
      <c r="BL85" s="10">
        <f t="shared" si="179"/>
        <v>2.3421576480662147</v>
      </c>
      <c r="BM85" s="10">
        <f t="shared" si="179"/>
        <v>2.3421576480662147</v>
      </c>
      <c r="BN85" s="10">
        <f t="shared" si="179"/>
        <v>2.3421576480662147</v>
      </c>
      <c r="BO85" s="10">
        <f t="shared" ref="BO85:CG85" si="180">2*BO$10*(BO$5+BO$11*BO$6)/(SQRT(2)*BO$8*SIN(BO37))</f>
        <v>2.3421576480662147</v>
      </c>
      <c r="BP85" s="10">
        <f t="shared" si="180"/>
        <v>2.3421576480662147</v>
      </c>
      <c r="BQ85" s="10">
        <f t="shared" si="180"/>
        <v>2.3421576480662147</v>
      </c>
      <c r="BR85" s="10">
        <f t="shared" si="180"/>
        <v>2.3421576480662147</v>
      </c>
      <c r="BS85" s="10">
        <f t="shared" si="180"/>
        <v>2.3421576480662147</v>
      </c>
      <c r="BT85" s="10">
        <f t="shared" si="180"/>
        <v>2.3421576480662147</v>
      </c>
      <c r="BU85" s="10">
        <f t="shared" si="180"/>
        <v>2.3421576480662147</v>
      </c>
      <c r="BV85" s="10">
        <f t="shared" si="180"/>
        <v>2.3421576480662147</v>
      </c>
      <c r="BW85" s="10">
        <f t="shared" si="180"/>
        <v>2.3421576480662147</v>
      </c>
      <c r="BX85" s="10">
        <f t="shared" si="180"/>
        <v>2.3421576480662147</v>
      </c>
      <c r="BY85" s="10">
        <f t="shared" si="180"/>
        <v>2.3421576480662147</v>
      </c>
      <c r="BZ85" s="10">
        <f t="shared" si="180"/>
        <v>2.3421576480662147</v>
      </c>
      <c r="CA85" s="10">
        <f t="shared" si="180"/>
        <v>2.3421576480662147</v>
      </c>
      <c r="CB85" s="10">
        <f t="shared" si="180"/>
        <v>2.3421576480662147</v>
      </c>
      <c r="CC85" s="10">
        <f t="shared" si="180"/>
        <v>2.3421576480662147</v>
      </c>
      <c r="CD85" s="10">
        <f t="shared" si="180"/>
        <v>2.3421576480662147</v>
      </c>
      <c r="CE85" s="10">
        <f t="shared" si="180"/>
        <v>2.3421576480662147</v>
      </c>
      <c r="CF85" s="10">
        <f t="shared" si="180"/>
        <v>2.3421576480662147</v>
      </c>
      <c r="CG85" s="10">
        <f t="shared" si="180"/>
        <v>2.3421576480662147</v>
      </c>
    </row>
    <row r="86" spans="2:86" ht="16.5" customHeight="1">
      <c r="B86" s="10" t="s">
        <v>841</v>
      </c>
      <c r="C86" s="10">
        <f t="shared" ref="C86:AH86" si="181">2*C$10*(C$5+C$11*C$6)/(SQRT(2)*C$8*SIN(C38))</f>
        <v>4.5247011230152383</v>
      </c>
      <c r="D86" s="10">
        <f t="shared" si="181"/>
        <v>4.5247011230152383</v>
      </c>
      <c r="E86" s="10">
        <f t="shared" si="181"/>
        <v>4.5247011230152383</v>
      </c>
      <c r="F86" s="10">
        <f t="shared" si="181"/>
        <v>4.5247011230152383</v>
      </c>
      <c r="G86" s="10">
        <f t="shared" si="181"/>
        <v>4.5247011230152383</v>
      </c>
      <c r="H86" s="10">
        <f t="shared" si="181"/>
        <v>4.5247011230152383</v>
      </c>
      <c r="I86" s="10">
        <f t="shared" si="181"/>
        <v>4.5247011230152383</v>
      </c>
      <c r="J86" s="10">
        <f t="shared" si="181"/>
        <v>4.5247011230152383</v>
      </c>
      <c r="K86" s="10">
        <f t="shared" si="181"/>
        <v>4.5247011230152383</v>
      </c>
      <c r="L86" s="10">
        <f t="shared" si="181"/>
        <v>4.5247011230152383</v>
      </c>
      <c r="M86" s="10">
        <f t="shared" si="181"/>
        <v>4.5247011230152383</v>
      </c>
      <c r="N86" s="10">
        <f t="shared" si="181"/>
        <v>4.5247011230152383</v>
      </c>
      <c r="O86" s="10">
        <f t="shared" si="181"/>
        <v>4.5247011230152383</v>
      </c>
      <c r="P86" s="10">
        <f t="shared" si="181"/>
        <v>4.5247011230152383</v>
      </c>
      <c r="Q86" s="10">
        <f t="shared" si="181"/>
        <v>4.5247011230152383</v>
      </c>
      <c r="R86" s="10">
        <f t="shared" si="181"/>
        <v>4.5247011230152383</v>
      </c>
      <c r="S86" s="10">
        <f t="shared" si="181"/>
        <v>4.5247011230152383</v>
      </c>
      <c r="T86" s="10">
        <f t="shared" si="181"/>
        <v>4.5247011230152383</v>
      </c>
      <c r="U86" s="10">
        <f t="shared" si="181"/>
        <v>4.5247011230152383</v>
      </c>
      <c r="V86" s="10">
        <f t="shared" si="181"/>
        <v>4.5247011230152383</v>
      </c>
      <c r="W86" s="10">
        <f t="shared" si="181"/>
        <v>4.5247011230152383</v>
      </c>
      <c r="X86" s="10">
        <f t="shared" si="181"/>
        <v>4.5247011230152383</v>
      </c>
      <c r="Y86" s="10">
        <f t="shared" si="181"/>
        <v>4.5247011230152383</v>
      </c>
      <c r="Z86" s="10">
        <f t="shared" si="181"/>
        <v>4.5247011230152383</v>
      </c>
      <c r="AA86" s="10">
        <f t="shared" si="181"/>
        <v>4.5247011230152383</v>
      </c>
      <c r="AB86" s="10">
        <f t="shared" si="181"/>
        <v>4.5247011230152383</v>
      </c>
      <c r="AC86" s="10">
        <f t="shared" si="181"/>
        <v>4.5247011230152383</v>
      </c>
      <c r="AD86" s="10">
        <f t="shared" si="181"/>
        <v>4.5247011230152383</v>
      </c>
      <c r="AE86" s="10">
        <f t="shared" si="181"/>
        <v>4.5247011230152383</v>
      </c>
      <c r="AF86" s="10">
        <f t="shared" si="181"/>
        <v>4.5247011230152383</v>
      </c>
      <c r="AG86" s="10">
        <f t="shared" si="181"/>
        <v>4.5247011230152383</v>
      </c>
      <c r="AH86" s="10">
        <f t="shared" si="181"/>
        <v>4.5247011230152383</v>
      </c>
      <c r="AI86" s="10">
        <f t="shared" ref="AI86:BN86" si="182">2*AI$10*(AI$5+AI$11*AI$6)/(SQRT(2)*AI$8*SIN(AI38))</f>
        <v>4.5247011230152383</v>
      </c>
      <c r="AJ86" s="10">
        <f t="shared" si="182"/>
        <v>4.5247011230152383</v>
      </c>
      <c r="AK86" s="10">
        <f t="shared" si="182"/>
        <v>4.5247011230152383</v>
      </c>
      <c r="AL86" s="10">
        <f t="shared" si="182"/>
        <v>4.5247011230152383</v>
      </c>
      <c r="AM86" s="10">
        <f t="shared" si="182"/>
        <v>4.5247011230152383</v>
      </c>
      <c r="AN86" s="10">
        <f t="shared" si="182"/>
        <v>4.5247011230152383</v>
      </c>
      <c r="AO86" s="10">
        <f t="shared" si="182"/>
        <v>4.5247011230152383</v>
      </c>
      <c r="AP86" s="10">
        <f t="shared" si="182"/>
        <v>4.5247011230152383</v>
      </c>
      <c r="AQ86" s="10">
        <f t="shared" si="182"/>
        <v>4.5247011230152383</v>
      </c>
      <c r="AR86" s="10">
        <f t="shared" si="182"/>
        <v>4.5247011230152383</v>
      </c>
      <c r="AS86" s="10">
        <f t="shared" si="182"/>
        <v>4.5247011230152383</v>
      </c>
      <c r="AT86" s="10">
        <f t="shared" si="182"/>
        <v>4.5247011230152383</v>
      </c>
      <c r="AU86" s="10">
        <f t="shared" si="182"/>
        <v>4.5247011230152383</v>
      </c>
      <c r="AV86" s="10">
        <f t="shared" si="182"/>
        <v>4.5247011230152383</v>
      </c>
      <c r="AW86" s="10">
        <f t="shared" si="182"/>
        <v>4.5247011230152383</v>
      </c>
      <c r="AX86" s="10">
        <f t="shared" si="182"/>
        <v>4.5247011230152383</v>
      </c>
      <c r="AY86" s="10">
        <f t="shared" si="182"/>
        <v>4.5247011230152383</v>
      </c>
      <c r="AZ86" s="10">
        <f t="shared" si="182"/>
        <v>4.5247011230152383</v>
      </c>
      <c r="BA86" s="10">
        <f t="shared" si="182"/>
        <v>4.5247011230152383</v>
      </c>
      <c r="BB86" s="10">
        <f t="shared" si="182"/>
        <v>4.5247011230152383</v>
      </c>
      <c r="BC86" s="10">
        <f t="shared" si="182"/>
        <v>4.5247011230152383</v>
      </c>
      <c r="BD86" s="10">
        <f t="shared" si="182"/>
        <v>4.5247011230152383</v>
      </c>
      <c r="BE86" s="10">
        <f t="shared" si="182"/>
        <v>4.5247011230152383</v>
      </c>
      <c r="BF86" s="10">
        <f t="shared" si="182"/>
        <v>4.5247011230152383</v>
      </c>
      <c r="BG86" s="10">
        <f t="shared" si="182"/>
        <v>4.5247011230152383</v>
      </c>
      <c r="BH86" s="10">
        <f t="shared" si="182"/>
        <v>4.5247011230152383</v>
      </c>
      <c r="BI86" s="10">
        <f t="shared" si="182"/>
        <v>4.5247011230152383</v>
      </c>
      <c r="BJ86" s="10">
        <f t="shared" si="182"/>
        <v>4.5247011230152383</v>
      </c>
      <c r="BK86" s="10">
        <f t="shared" si="182"/>
        <v>4.5247011230152383</v>
      </c>
      <c r="BL86" s="10">
        <f t="shared" si="182"/>
        <v>4.5247011230152383</v>
      </c>
      <c r="BM86" s="10">
        <f t="shared" si="182"/>
        <v>4.5247011230152383</v>
      </c>
      <c r="BN86" s="10">
        <f t="shared" si="182"/>
        <v>4.5247011230152383</v>
      </c>
      <c r="BO86" s="10">
        <f t="shared" ref="BO86:CG86" si="183">2*BO$10*(BO$5+BO$11*BO$6)/(SQRT(2)*BO$8*SIN(BO38))</f>
        <v>4.5247011230152383</v>
      </c>
      <c r="BP86" s="10">
        <f t="shared" si="183"/>
        <v>4.5247011230152383</v>
      </c>
      <c r="BQ86" s="10">
        <f t="shared" si="183"/>
        <v>4.5247011230152383</v>
      </c>
      <c r="BR86" s="10">
        <f t="shared" si="183"/>
        <v>4.5247011230152383</v>
      </c>
      <c r="BS86" s="10">
        <f t="shared" si="183"/>
        <v>4.5247011230152383</v>
      </c>
      <c r="BT86" s="10">
        <f t="shared" si="183"/>
        <v>4.5247011230152383</v>
      </c>
      <c r="BU86" s="10">
        <f t="shared" si="183"/>
        <v>4.5247011230152383</v>
      </c>
      <c r="BV86" s="10">
        <f t="shared" si="183"/>
        <v>4.5247011230152383</v>
      </c>
      <c r="BW86" s="10">
        <f t="shared" si="183"/>
        <v>4.5247011230152383</v>
      </c>
      <c r="BX86" s="10">
        <f t="shared" si="183"/>
        <v>4.5247011230152383</v>
      </c>
      <c r="BY86" s="10">
        <f t="shared" si="183"/>
        <v>4.5247011230152383</v>
      </c>
      <c r="BZ86" s="10">
        <f t="shared" si="183"/>
        <v>4.5247011230152383</v>
      </c>
      <c r="CA86" s="10">
        <f t="shared" si="183"/>
        <v>4.5247011230152383</v>
      </c>
      <c r="CB86" s="10">
        <f t="shared" si="183"/>
        <v>4.5247011230152383</v>
      </c>
      <c r="CC86" s="10">
        <f t="shared" si="183"/>
        <v>4.5247011230152383</v>
      </c>
      <c r="CD86" s="10">
        <f t="shared" si="183"/>
        <v>4.5247011230152383</v>
      </c>
      <c r="CE86" s="10">
        <f t="shared" si="183"/>
        <v>4.5247011230152383</v>
      </c>
      <c r="CF86" s="10">
        <f t="shared" si="183"/>
        <v>4.5247011230152383</v>
      </c>
      <c r="CG86" s="10">
        <f t="shared" si="183"/>
        <v>4.5247011230152383</v>
      </c>
    </row>
    <row r="88" spans="2:86" ht="16.5" customHeight="1">
      <c r="B88" s="10" t="s">
        <v>842</v>
      </c>
      <c r="D88" s="10">
        <f t="shared" ref="D88:AI88" si="184">IF(AND(D$25&gt;D$24,IF(ISNA(D$29),TRUE(),D47&gt;=D$29),(D81-D47-(-D$25*(D47-C47)/(D$25-C$25)))/((D47-C47)/(D$25-C$25))&lt;=D$25,(D81-D47-(-D$25*(D47-C47)/(D$25-C$25)))/((D47-C47)/(D$25-C$25))&gt;C$25),(D81-D47-(-D$25*(D47-C47)/(D$25-C$25)))/((D47-C47)/(D$25-C$25)),0)</f>
        <v>0</v>
      </c>
      <c r="E88" s="10">
        <f t="shared" si="184"/>
        <v>0</v>
      </c>
      <c r="F88" s="10">
        <f t="shared" si="184"/>
        <v>0</v>
      </c>
      <c r="G88" s="10">
        <f t="shared" si="184"/>
        <v>0</v>
      </c>
      <c r="H88" s="10">
        <f t="shared" si="184"/>
        <v>0</v>
      </c>
      <c r="I88" s="10">
        <f t="shared" si="184"/>
        <v>0</v>
      </c>
      <c r="J88" s="10">
        <f t="shared" si="184"/>
        <v>0</v>
      </c>
      <c r="K88" s="10">
        <f t="shared" si="184"/>
        <v>0</v>
      </c>
      <c r="L88" s="10">
        <f t="shared" si="184"/>
        <v>0</v>
      </c>
      <c r="M88" s="10">
        <f t="shared" si="184"/>
        <v>0</v>
      </c>
      <c r="N88" s="10">
        <f t="shared" si="184"/>
        <v>0</v>
      </c>
      <c r="O88" s="10">
        <f t="shared" si="184"/>
        <v>0</v>
      </c>
      <c r="P88" s="10">
        <f t="shared" si="184"/>
        <v>0</v>
      </c>
      <c r="Q88" s="10">
        <f t="shared" si="184"/>
        <v>0</v>
      </c>
      <c r="R88" s="10">
        <f t="shared" si="184"/>
        <v>0</v>
      </c>
      <c r="S88" s="10">
        <f t="shared" si="184"/>
        <v>0</v>
      </c>
      <c r="T88" s="10">
        <f t="shared" si="184"/>
        <v>0</v>
      </c>
      <c r="U88" s="10">
        <f t="shared" si="184"/>
        <v>0</v>
      </c>
      <c r="V88" s="10">
        <f t="shared" si="184"/>
        <v>0</v>
      </c>
      <c r="W88" s="10">
        <f t="shared" si="184"/>
        <v>0</v>
      </c>
      <c r="X88" s="10">
        <f t="shared" si="184"/>
        <v>0</v>
      </c>
      <c r="Y88" s="10">
        <f t="shared" si="184"/>
        <v>0</v>
      </c>
      <c r="Z88" s="10">
        <f t="shared" si="184"/>
        <v>0</v>
      </c>
      <c r="AA88" s="10">
        <f t="shared" si="184"/>
        <v>0</v>
      </c>
      <c r="AB88" s="10">
        <f t="shared" si="184"/>
        <v>0</v>
      </c>
      <c r="AC88" s="10">
        <f t="shared" si="184"/>
        <v>0</v>
      </c>
      <c r="AD88" s="10">
        <f t="shared" si="184"/>
        <v>0</v>
      </c>
      <c r="AE88" s="10">
        <f t="shared" si="184"/>
        <v>0</v>
      </c>
      <c r="AF88" s="10">
        <f t="shared" si="184"/>
        <v>0</v>
      </c>
      <c r="AG88" s="10">
        <f t="shared" si="184"/>
        <v>0</v>
      </c>
      <c r="AH88" s="10">
        <f t="shared" si="184"/>
        <v>0</v>
      </c>
      <c r="AI88" s="10">
        <f t="shared" si="184"/>
        <v>0</v>
      </c>
      <c r="AJ88" s="10">
        <f t="shared" ref="AJ88:BO88" si="185">IF(AND(AJ$25&gt;AJ$24,IF(ISNA(AJ$29),TRUE(),AJ47&gt;=AJ$29),(AJ81-AJ47-(-AJ$25*(AJ47-AI47)/(AJ$25-AI$25)))/((AJ47-AI47)/(AJ$25-AI$25))&lt;=AJ$25,(AJ81-AJ47-(-AJ$25*(AJ47-AI47)/(AJ$25-AI$25)))/((AJ47-AI47)/(AJ$25-AI$25))&gt;AI$25),(AJ81-AJ47-(-AJ$25*(AJ47-AI47)/(AJ$25-AI$25)))/((AJ47-AI47)/(AJ$25-AI$25)),0)</f>
        <v>0</v>
      </c>
      <c r="AK88" s="10">
        <f t="shared" si="185"/>
        <v>0</v>
      </c>
      <c r="AL88" s="10">
        <f t="shared" si="185"/>
        <v>0</v>
      </c>
      <c r="AM88" s="10">
        <f t="shared" si="185"/>
        <v>0</v>
      </c>
      <c r="AN88" s="10">
        <f t="shared" si="185"/>
        <v>0</v>
      </c>
      <c r="AO88" s="10">
        <f t="shared" si="185"/>
        <v>0</v>
      </c>
      <c r="AP88" s="10">
        <f t="shared" si="185"/>
        <v>0</v>
      </c>
      <c r="AQ88" s="10">
        <f t="shared" si="185"/>
        <v>0</v>
      </c>
      <c r="AR88" s="10">
        <f t="shared" si="185"/>
        <v>0</v>
      </c>
      <c r="AS88" s="10">
        <f t="shared" si="185"/>
        <v>0</v>
      </c>
      <c r="AT88" s="10">
        <f t="shared" si="185"/>
        <v>0</v>
      </c>
      <c r="AU88" s="10">
        <f t="shared" si="185"/>
        <v>0</v>
      </c>
      <c r="AV88" s="10">
        <f t="shared" si="185"/>
        <v>0</v>
      </c>
      <c r="AW88" s="10">
        <f t="shared" si="185"/>
        <v>0</v>
      </c>
      <c r="AX88" s="10">
        <f t="shared" si="185"/>
        <v>0</v>
      </c>
      <c r="AY88" s="10">
        <f t="shared" si="185"/>
        <v>0</v>
      </c>
      <c r="AZ88" s="10">
        <f t="shared" si="185"/>
        <v>0</v>
      </c>
      <c r="BA88" s="10">
        <f t="shared" si="185"/>
        <v>0</v>
      </c>
      <c r="BB88" s="10">
        <f t="shared" si="185"/>
        <v>0</v>
      </c>
      <c r="BC88" s="10">
        <f t="shared" si="185"/>
        <v>0</v>
      </c>
      <c r="BD88" s="10">
        <f t="shared" si="185"/>
        <v>0</v>
      </c>
      <c r="BE88" s="10">
        <f t="shared" si="185"/>
        <v>0</v>
      </c>
      <c r="BF88" s="10">
        <f t="shared" si="185"/>
        <v>0</v>
      </c>
      <c r="BG88" s="10">
        <f t="shared" si="185"/>
        <v>0</v>
      </c>
      <c r="BH88" s="10">
        <f t="shared" si="185"/>
        <v>0</v>
      </c>
      <c r="BI88" s="10">
        <f t="shared" si="185"/>
        <v>0</v>
      </c>
      <c r="BJ88" s="10">
        <f t="shared" si="185"/>
        <v>0</v>
      </c>
      <c r="BK88" s="10">
        <f t="shared" si="185"/>
        <v>0.86154779105028179</v>
      </c>
      <c r="BL88" s="10">
        <f t="shared" si="185"/>
        <v>0</v>
      </c>
      <c r="BM88" s="10">
        <f t="shared" si="185"/>
        <v>0</v>
      </c>
      <c r="BN88" s="10">
        <f t="shared" si="185"/>
        <v>0</v>
      </c>
      <c r="BO88" s="10">
        <f t="shared" si="185"/>
        <v>0</v>
      </c>
      <c r="BP88" s="10">
        <f t="shared" ref="BP88:CG88" si="186">IF(AND(BP$25&gt;BP$24,IF(ISNA(BP$29),TRUE(),BP47&gt;=BP$29),(BP81-BP47-(-BP$25*(BP47-BO47)/(BP$25-BO$25)))/((BP47-BO47)/(BP$25-BO$25))&lt;=BP$25,(BP81-BP47-(-BP$25*(BP47-BO47)/(BP$25-BO$25)))/((BP47-BO47)/(BP$25-BO$25))&gt;BO$25),(BP81-BP47-(-BP$25*(BP47-BO47)/(BP$25-BO$25)))/((BP47-BO47)/(BP$25-BO$25)),0)</f>
        <v>0</v>
      </c>
      <c r="BQ88" s="10">
        <f t="shared" si="186"/>
        <v>0</v>
      </c>
      <c r="BR88" s="10">
        <f t="shared" si="186"/>
        <v>0</v>
      </c>
      <c r="BS88" s="10">
        <f t="shared" si="186"/>
        <v>0</v>
      </c>
      <c r="BT88" s="10">
        <f t="shared" si="186"/>
        <v>0</v>
      </c>
      <c r="BU88" s="10">
        <f t="shared" si="186"/>
        <v>0</v>
      </c>
      <c r="BV88" s="10">
        <f t="shared" si="186"/>
        <v>0</v>
      </c>
      <c r="BW88" s="10">
        <f t="shared" si="186"/>
        <v>0</v>
      </c>
      <c r="BX88" s="10">
        <f t="shared" si="186"/>
        <v>0</v>
      </c>
      <c r="BY88" s="10">
        <f t="shared" si="186"/>
        <v>0</v>
      </c>
      <c r="BZ88" s="10">
        <f t="shared" si="186"/>
        <v>0</v>
      </c>
      <c r="CA88" s="10">
        <f t="shared" si="186"/>
        <v>0</v>
      </c>
      <c r="CB88" s="10">
        <f t="shared" si="186"/>
        <v>0</v>
      </c>
      <c r="CC88" s="10">
        <f t="shared" si="186"/>
        <v>0</v>
      </c>
      <c r="CD88" s="10">
        <f t="shared" si="186"/>
        <v>0</v>
      </c>
      <c r="CE88" s="10">
        <f t="shared" si="186"/>
        <v>0</v>
      </c>
      <c r="CF88" s="10">
        <f t="shared" si="186"/>
        <v>0</v>
      </c>
      <c r="CG88" s="10">
        <f t="shared" si="186"/>
        <v>0</v>
      </c>
      <c r="CH88" s="10">
        <f t="array" aca="1" ref="CH88" ca="1">IF(MAX(D88:CG88),MAX(D88:CG88),INDIRECT(CI47))</f>
        <v>0.86154779105028179</v>
      </c>
    </row>
    <row r="89" spans="2:86" ht="16.5" customHeight="1">
      <c r="B89" s="10" t="s">
        <v>843</v>
      </c>
      <c r="D89" s="10">
        <f t="shared" ref="D89:AI89" si="187">IF(AND(D$25&gt;D$24,IF(ISNA(D$29),TRUE(),D48&gt;=D$29),(D82-D48-(-D$25*(D48-C48)/(D$25-C$25)))/((D48-C48)/(D$25-C$25))&lt;=D$25,(D82-D48-(-D$25*(D48-C48)/(D$25-C$25)))/((D48-C48)/(D$25-C$25))&gt;C$25),(D82-D48-(-D$25*(D48-C48)/(D$25-C$25)))/((D48-C48)/(D$25-C$25)),0)</f>
        <v>0</v>
      </c>
      <c r="E89" s="10">
        <f t="shared" si="187"/>
        <v>0</v>
      </c>
      <c r="F89" s="10">
        <f t="shared" si="187"/>
        <v>0</v>
      </c>
      <c r="G89" s="10">
        <f t="shared" si="187"/>
        <v>0</v>
      </c>
      <c r="H89" s="10">
        <f t="shared" si="187"/>
        <v>0</v>
      </c>
      <c r="I89" s="10">
        <f t="shared" si="187"/>
        <v>0</v>
      </c>
      <c r="J89" s="10">
        <f t="shared" si="187"/>
        <v>0</v>
      </c>
      <c r="K89" s="10">
        <f t="shared" si="187"/>
        <v>0</v>
      </c>
      <c r="L89" s="10">
        <f t="shared" si="187"/>
        <v>0</v>
      </c>
      <c r="M89" s="10">
        <f t="shared" si="187"/>
        <v>0</v>
      </c>
      <c r="N89" s="10">
        <f t="shared" si="187"/>
        <v>0</v>
      </c>
      <c r="O89" s="10">
        <f t="shared" si="187"/>
        <v>0</v>
      </c>
      <c r="P89" s="10">
        <f t="shared" si="187"/>
        <v>0</v>
      </c>
      <c r="Q89" s="10">
        <f t="shared" si="187"/>
        <v>0</v>
      </c>
      <c r="R89" s="10">
        <f t="shared" si="187"/>
        <v>0</v>
      </c>
      <c r="S89" s="10">
        <f t="shared" si="187"/>
        <v>0</v>
      </c>
      <c r="T89" s="10">
        <f t="shared" si="187"/>
        <v>0</v>
      </c>
      <c r="U89" s="10">
        <f t="shared" si="187"/>
        <v>0</v>
      </c>
      <c r="V89" s="10">
        <f t="shared" si="187"/>
        <v>0</v>
      </c>
      <c r="W89" s="10">
        <f t="shared" si="187"/>
        <v>0</v>
      </c>
      <c r="X89" s="10">
        <f t="shared" si="187"/>
        <v>0</v>
      </c>
      <c r="Y89" s="10">
        <f t="shared" si="187"/>
        <v>0</v>
      </c>
      <c r="Z89" s="10">
        <f t="shared" si="187"/>
        <v>0</v>
      </c>
      <c r="AA89" s="10">
        <f t="shared" si="187"/>
        <v>0</v>
      </c>
      <c r="AB89" s="10">
        <f t="shared" si="187"/>
        <v>0</v>
      </c>
      <c r="AC89" s="10">
        <f t="shared" si="187"/>
        <v>0</v>
      </c>
      <c r="AD89" s="10">
        <f t="shared" si="187"/>
        <v>0</v>
      </c>
      <c r="AE89" s="10">
        <f t="shared" si="187"/>
        <v>0</v>
      </c>
      <c r="AF89" s="10">
        <f t="shared" si="187"/>
        <v>0</v>
      </c>
      <c r="AG89" s="10">
        <f t="shared" si="187"/>
        <v>0</v>
      </c>
      <c r="AH89" s="10">
        <f t="shared" si="187"/>
        <v>0</v>
      </c>
      <c r="AI89" s="10">
        <f t="shared" si="187"/>
        <v>0</v>
      </c>
      <c r="AJ89" s="10">
        <f t="shared" ref="AJ89:BO89" si="188">IF(AND(AJ$25&gt;AJ$24,IF(ISNA(AJ$29),TRUE(),AJ48&gt;=AJ$29),(AJ82-AJ48-(-AJ$25*(AJ48-AI48)/(AJ$25-AI$25)))/((AJ48-AI48)/(AJ$25-AI$25))&lt;=AJ$25,(AJ82-AJ48-(-AJ$25*(AJ48-AI48)/(AJ$25-AI$25)))/((AJ48-AI48)/(AJ$25-AI$25))&gt;AI$25),(AJ82-AJ48-(-AJ$25*(AJ48-AI48)/(AJ$25-AI$25)))/((AJ48-AI48)/(AJ$25-AI$25)),0)</f>
        <v>0</v>
      </c>
      <c r="AK89" s="10">
        <f t="shared" si="188"/>
        <v>0</v>
      </c>
      <c r="AL89" s="10">
        <f t="shared" si="188"/>
        <v>0</v>
      </c>
      <c r="AM89" s="10">
        <f t="shared" si="188"/>
        <v>0</v>
      </c>
      <c r="AN89" s="10">
        <f t="shared" si="188"/>
        <v>0</v>
      </c>
      <c r="AO89" s="10">
        <f t="shared" si="188"/>
        <v>0</v>
      </c>
      <c r="AP89" s="10">
        <f t="shared" si="188"/>
        <v>0</v>
      </c>
      <c r="AQ89" s="10">
        <f t="shared" si="188"/>
        <v>0</v>
      </c>
      <c r="AR89" s="10">
        <f t="shared" si="188"/>
        <v>0</v>
      </c>
      <c r="AS89" s="10">
        <f t="shared" si="188"/>
        <v>0</v>
      </c>
      <c r="AT89" s="10">
        <f t="shared" si="188"/>
        <v>0</v>
      </c>
      <c r="AU89" s="10">
        <f t="shared" si="188"/>
        <v>0</v>
      </c>
      <c r="AV89" s="10">
        <f t="shared" si="188"/>
        <v>0</v>
      </c>
      <c r="AW89" s="10">
        <f t="shared" si="188"/>
        <v>0</v>
      </c>
      <c r="AX89" s="10">
        <f t="shared" si="188"/>
        <v>0</v>
      </c>
      <c r="AY89" s="10">
        <f t="shared" si="188"/>
        <v>0</v>
      </c>
      <c r="AZ89" s="10">
        <f t="shared" si="188"/>
        <v>0</v>
      </c>
      <c r="BA89" s="10">
        <f t="shared" si="188"/>
        <v>0</v>
      </c>
      <c r="BB89" s="10">
        <f t="shared" si="188"/>
        <v>0</v>
      </c>
      <c r="BC89" s="10">
        <f t="shared" si="188"/>
        <v>0</v>
      </c>
      <c r="BD89" s="10">
        <f t="shared" si="188"/>
        <v>0</v>
      </c>
      <c r="BE89" s="10">
        <f t="shared" si="188"/>
        <v>0</v>
      </c>
      <c r="BF89" s="10">
        <f t="shared" si="188"/>
        <v>0</v>
      </c>
      <c r="BG89" s="10">
        <f t="shared" si="188"/>
        <v>0</v>
      </c>
      <c r="BH89" s="10">
        <f t="shared" si="188"/>
        <v>0</v>
      </c>
      <c r="BI89" s="10">
        <f t="shared" si="188"/>
        <v>0.83978071736017335</v>
      </c>
      <c r="BJ89" s="10">
        <f t="shared" si="188"/>
        <v>0</v>
      </c>
      <c r="BK89" s="10">
        <f t="shared" si="188"/>
        <v>0</v>
      </c>
      <c r="BL89" s="10">
        <f t="shared" si="188"/>
        <v>0</v>
      </c>
      <c r="BM89" s="10">
        <f t="shared" si="188"/>
        <v>0</v>
      </c>
      <c r="BN89" s="10">
        <f t="shared" si="188"/>
        <v>0</v>
      </c>
      <c r="BO89" s="10">
        <f t="shared" si="188"/>
        <v>0</v>
      </c>
      <c r="BP89" s="10">
        <f t="shared" ref="BP89:CG89" si="189">IF(AND(BP$25&gt;BP$24,IF(ISNA(BP$29),TRUE(),BP48&gt;=BP$29),(BP82-BP48-(-BP$25*(BP48-BO48)/(BP$25-BO$25)))/((BP48-BO48)/(BP$25-BO$25))&lt;=BP$25,(BP82-BP48-(-BP$25*(BP48-BO48)/(BP$25-BO$25)))/((BP48-BO48)/(BP$25-BO$25))&gt;BO$25),(BP82-BP48-(-BP$25*(BP48-BO48)/(BP$25-BO$25)))/((BP48-BO48)/(BP$25-BO$25)),0)</f>
        <v>0</v>
      </c>
      <c r="BQ89" s="10">
        <f t="shared" si="189"/>
        <v>0</v>
      </c>
      <c r="BR89" s="10">
        <f t="shared" si="189"/>
        <v>0</v>
      </c>
      <c r="BS89" s="10">
        <f t="shared" si="189"/>
        <v>0</v>
      </c>
      <c r="BT89" s="10">
        <f t="shared" si="189"/>
        <v>0</v>
      </c>
      <c r="BU89" s="10">
        <f t="shared" si="189"/>
        <v>0</v>
      </c>
      <c r="BV89" s="10">
        <f t="shared" si="189"/>
        <v>0</v>
      </c>
      <c r="BW89" s="10">
        <f t="shared" si="189"/>
        <v>0</v>
      </c>
      <c r="BX89" s="10">
        <f t="shared" si="189"/>
        <v>0</v>
      </c>
      <c r="BY89" s="10">
        <f t="shared" si="189"/>
        <v>0</v>
      </c>
      <c r="BZ89" s="10">
        <f t="shared" si="189"/>
        <v>0</v>
      </c>
      <c r="CA89" s="10">
        <f t="shared" si="189"/>
        <v>0</v>
      </c>
      <c r="CB89" s="10">
        <f t="shared" si="189"/>
        <v>0</v>
      </c>
      <c r="CC89" s="10">
        <f t="shared" si="189"/>
        <v>0</v>
      </c>
      <c r="CD89" s="10">
        <f t="shared" si="189"/>
        <v>0</v>
      </c>
      <c r="CE89" s="10">
        <f t="shared" si="189"/>
        <v>0</v>
      </c>
      <c r="CF89" s="10">
        <f t="shared" si="189"/>
        <v>0</v>
      </c>
      <c r="CG89" s="10">
        <f t="shared" si="189"/>
        <v>0</v>
      </c>
      <c r="CH89" s="10">
        <f t="array" aca="1" ref="CH89" ca="1">IF(MAX(D89:CG89),MAX(D89:CG89),INDIRECT(CI48))</f>
        <v>0.83978071736017335</v>
      </c>
    </row>
    <row r="90" spans="2:86" ht="16.5" customHeight="1">
      <c r="B90" s="10" t="s">
        <v>844</v>
      </c>
      <c r="D90" s="10">
        <f t="shared" ref="D90:AI90" si="190">IF(AND(D$25&gt;D$24,IF(ISNA(D$29),TRUE(),D49&gt;=D$29),(D83-D49-(-D$25*(D49-C49)/(D$25-C$25)))/((D49-C49)/(D$25-C$25))&lt;=D$25,(D83-D49-(-D$25*(D49-C49)/(D$25-C$25)))/((D49-C49)/(D$25-C$25))&gt;C$25),(D83-D49-(-D$25*(D49-C49)/(D$25-C$25)))/((D49-C49)/(D$25-C$25)),0)</f>
        <v>0</v>
      </c>
      <c r="E90" s="10">
        <f t="shared" si="190"/>
        <v>0</v>
      </c>
      <c r="F90" s="10">
        <f t="shared" si="190"/>
        <v>0</v>
      </c>
      <c r="G90" s="10">
        <f t="shared" si="190"/>
        <v>0</v>
      </c>
      <c r="H90" s="10">
        <f t="shared" si="190"/>
        <v>0</v>
      </c>
      <c r="I90" s="10">
        <f t="shared" si="190"/>
        <v>0</v>
      </c>
      <c r="J90" s="10">
        <f t="shared" si="190"/>
        <v>0</v>
      </c>
      <c r="K90" s="10">
        <f t="shared" si="190"/>
        <v>0</v>
      </c>
      <c r="L90" s="10">
        <f t="shared" si="190"/>
        <v>0</v>
      </c>
      <c r="M90" s="10">
        <f t="shared" si="190"/>
        <v>0</v>
      </c>
      <c r="N90" s="10">
        <f t="shared" si="190"/>
        <v>0</v>
      </c>
      <c r="O90" s="10">
        <f t="shared" si="190"/>
        <v>0</v>
      </c>
      <c r="P90" s="10">
        <f t="shared" si="190"/>
        <v>0</v>
      </c>
      <c r="Q90" s="10">
        <f t="shared" si="190"/>
        <v>0</v>
      </c>
      <c r="R90" s="10">
        <f t="shared" si="190"/>
        <v>0</v>
      </c>
      <c r="S90" s="10">
        <f t="shared" si="190"/>
        <v>0</v>
      </c>
      <c r="T90" s="10">
        <f t="shared" si="190"/>
        <v>0</v>
      </c>
      <c r="U90" s="10">
        <f t="shared" si="190"/>
        <v>0</v>
      </c>
      <c r="V90" s="10">
        <f t="shared" si="190"/>
        <v>0</v>
      </c>
      <c r="W90" s="10">
        <f t="shared" si="190"/>
        <v>0</v>
      </c>
      <c r="X90" s="10">
        <f t="shared" si="190"/>
        <v>0</v>
      </c>
      <c r="Y90" s="10">
        <f t="shared" si="190"/>
        <v>0</v>
      </c>
      <c r="Z90" s="10">
        <f t="shared" si="190"/>
        <v>0</v>
      </c>
      <c r="AA90" s="10">
        <f t="shared" si="190"/>
        <v>0</v>
      </c>
      <c r="AB90" s="10">
        <f t="shared" si="190"/>
        <v>0</v>
      </c>
      <c r="AC90" s="10">
        <f t="shared" si="190"/>
        <v>0</v>
      </c>
      <c r="AD90" s="10">
        <f t="shared" si="190"/>
        <v>0</v>
      </c>
      <c r="AE90" s="10">
        <f t="shared" si="190"/>
        <v>0</v>
      </c>
      <c r="AF90" s="10">
        <f t="shared" si="190"/>
        <v>0</v>
      </c>
      <c r="AG90" s="10">
        <f t="shared" si="190"/>
        <v>0</v>
      </c>
      <c r="AH90" s="10">
        <f t="shared" si="190"/>
        <v>0</v>
      </c>
      <c r="AI90" s="10">
        <f t="shared" si="190"/>
        <v>0</v>
      </c>
      <c r="AJ90" s="10">
        <f t="shared" ref="AJ90:BO90" si="191">IF(AND(AJ$25&gt;AJ$24,IF(ISNA(AJ$29),TRUE(),AJ49&gt;=AJ$29),(AJ83-AJ49-(-AJ$25*(AJ49-AI49)/(AJ$25-AI$25)))/((AJ49-AI49)/(AJ$25-AI$25))&lt;=AJ$25,(AJ83-AJ49-(-AJ$25*(AJ49-AI49)/(AJ$25-AI$25)))/((AJ49-AI49)/(AJ$25-AI$25))&gt;AI$25),(AJ83-AJ49-(-AJ$25*(AJ49-AI49)/(AJ$25-AI$25)))/((AJ49-AI49)/(AJ$25-AI$25)),0)</f>
        <v>0</v>
      </c>
      <c r="AK90" s="10">
        <f t="shared" si="191"/>
        <v>0</v>
      </c>
      <c r="AL90" s="10">
        <f t="shared" si="191"/>
        <v>0</v>
      </c>
      <c r="AM90" s="10">
        <f t="shared" si="191"/>
        <v>0</v>
      </c>
      <c r="AN90" s="10">
        <f t="shared" si="191"/>
        <v>0</v>
      </c>
      <c r="AO90" s="10">
        <f t="shared" si="191"/>
        <v>0</v>
      </c>
      <c r="AP90" s="10">
        <f t="shared" si="191"/>
        <v>0</v>
      </c>
      <c r="AQ90" s="10">
        <f t="shared" si="191"/>
        <v>0</v>
      </c>
      <c r="AR90" s="10">
        <f t="shared" si="191"/>
        <v>0</v>
      </c>
      <c r="AS90" s="10">
        <f t="shared" si="191"/>
        <v>0</v>
      </c>
      <c r="AT90" s="10">
        <f t="shared" si="191"/>
        <v>0</v>
      </c>
      <c r="AU90" s="10">
        <f t="shared" si="191"/>
        <v>0</v>
      </c>
      <c r="AV90" s="10">
        <f t="shared" si="191"/>
        <v>0</v>
      </c>
      <c r="AW90" s="10">
        <f t="shared" si="191"/>
        <v>0</v>
      </c>
      <c r="AX90" s="10">
        <f t="shared" si="191"/>
        <v>0</v>
      </c>
      <c r="AY90" s="10">
        <f t="shared" si="191"/>
        <v>0</v>
      </c>
      <c r="AZ90" s="10">
        <f t="shared" si="191"/>
        <v>0</v>
      </c>
      <c r="BA90" s="10">
        <f t="shared" si="191"/>
        <v>0</v>
      </c>
      <c r="BB90" s="10">
        <f t="shared" si="191"/>
        <v>0</v>
      </c>
      <c r="BC90" s="10">
        <f t="shared" si="191"/>
        <v>0</v>
      </c>
      <c r="BD90" s="10">
        <f t="shared" si="191"/>
        <v>0</v>
      </c>
      <c r="BE90" s="10">
        <f t="shared" si="191"/>
        <v>0</v>
      </c>
      <c r="BF90" s="10">
        <f t="shared" si="191"/>
        <v>0.78626124054161961</v>
      </c>
      <c r="BG90" s="10">
        <f t="shared" si="191"/>
        <v>0</v>
      </c>
      <c r="BH90" s="10">
        <f t="shared" si="191"/>
        <v>0</v>
      </c>
      <c r="BI90" s="10">
        <f t="shared" si="191"/>
        <v>0</v>
      </c>
      <c r="BJ90" s="10">
        <f t="shared" si="191"/>
        <v>0</v>
      </c>
      <c r="BK90" s="10">
        <f t="shared" si="191"/>
        <v>0</v>
      </c>
      <c r="BL90" s="10">
        <f t="shared" si="191"/>
        <v>0</v>
      </c>
      <c r="BM90" s="10">
        <f t="shared" si="191"/>
        <v>0</v>
      </c>
      <c r="BN90" s="10">
        <f t="shared" si="191"/>
        <v>0</v>
      </c>
      <c r="BO90" s="10">
        <f t="shared" si="191"/>
        <v>0</v>
      </c>
      <c r="BP90" s="10">
        <f t="shared" ref="BP90:CG90" si="192">IF(AND(BP$25&gt;BP$24,IF(ISNA(BP$29),TRUE(),BP49&gt;=BP$29),(BP83-BP49-(-BP$25*(BP49-BO49)/(BP$25-BO$25)))/((BP49-BO49)/(BP$25-BO$25))&lt;=BP$25,(BP83-BP49-(-BP$25*(BP49-BO49)/(BP$25-BO$25)))/((BP49-BO49)/(BP$25-BO$25))&gt;BO$25),(BP83-BP49-(-BP$25*(BP49-BO49)/(BP$25-BO$25)))/((BP49-BO49)/(BP$25-BO$25)),0)</f>
        <v>0</v>
      </c>
      <c r="BQ90" s="10">
        <f t="shared" si="192"/>
        <v>0</v>
      </c>
      <c r="BR90" s="10">
        <f t="shared" si="192"/>
        <v>0</v>
      </c>
      <c r="BS90" s="10">
        <f t="shared" si="192"/>
        <v>0</v>
      </c>
      <c r="BT90" s="10">
        <f t="shared" si="192"/>
        <v>0</v>
      </c>
      <c r="BU90" s="10">
        <f t="shared" si="192"/>
        <v>0</v>
      </c>
      <c r="BV90" s="10">
        <f t="shared" si="192"/>
        <v>0</v>
      </c>
      <c r="BW90" s="10">
        <f t="shared" si="192"/>
        <v>0</v>
      </c>
      <c r="BX90" s="10">
        <f t="shared" si="192"/>
        <v>0</v>
      </c>
      <c r="BY90" s="10">
        <f t="shared" si="192"/>
        <v>0</v>
      </c>
      <c r="BZ90" s="10">
        <f t="shared" si="192"/>
        <v>0</v>
      </c>
      <c r="CA90" s="10">
        <f t="shared" si="192"/>
        <v>0</v>
      </c>
      <c r="CB90" s="10">
        <f t="shared" si="192"/>
        <v>0</v>
      </c>
      <c r="CC90" s="10">
        <f t="shared" si="192"/>
        <v>0</v>
      </c>
      <c r="CD90" s="10">
        <f t="shared" si="192"/>
        <v>0</v>
      </c>
      <c r="CE90" s="10">
        <f t="shared" si="192"/>
        <v>0</v>
      </c>
      <c r="CF90" s="10">
        <f t="shared" si="192"/>
        <v>0</v>
      </c>
      <c r="CG90" s="10">
        <f t="shared" si="192"/>
        <v>0</v>
      </c>
      <c r="CH90" s="10">
        <f t="array" aca="1" ref="CH90" ca="1">IF(MAX(D90:CG90),MAX(D90:CG90),INDIRECT(CI49))</f>
        <v>0.78626124054161961</v>
      </c>
    </row>
    <row r="91" spans="2:86" ht="16.5" customHeight="1">
      <c r="B91" s="10" t="s">
        <v>845</v>
      </c>
      <c r="D91" s="10">
        <f t="shared" ref="D91:AI91" si="193">IF(AND(D$25&gt;D$24,IF(ISNA(D$29),TRUE(),D50&gt;=D$29),(D84-D50-(-D$25*(D50-C50)/(D$25-C$25)))/((D50-C50)/(D$25-C$25))&lt;=D$25,(D84-D50-(-D$25*(D50-C50)/(D$25-C$25)))/((D50-C50)/(D$25-C$25))&gt;C$25),(D84-D50-(-D$25*(D50-C50)/(D$25-C$25)))/((D50-C50)/(D$25-C$25)),0)</f>
        <v>0</v>
      </c>
      <c r="E91" s="10">
        <f t="shared" si="193"/>
        <v>0</v>
      </c>
      <c r="F91" s="10">
        <f t="shared" si="193"/>
        <v>0</v>
      </c>
      <c r="G91" s="10">
        <f t="shared" si="193"/>
        <v>0</v>
      </c>
      <c r="H91" s="10">
        <f t="shared" si="193"/>
        <v>0</v>
      </c>
      <c r="I91" s="10">
        <f t="shared" si="193"/>
        <v>0</v>
      </c>
      <c r="J91" s="10">
        <f t="shared" si="193"/>
        <v>0</v>
      </c>
      <c r="K91" s="10">
        <f t="shared" si="193"/>
        <v>0</v>
      </c>
      <c r="L91" s="10">
        <f t="shared" si="193"/>
        <v>0</v>
      </c>
      <c r="M91" s="10">
        <f t="shared" si="193"/>
        <v>0</v>
      </c>
      <c r="N91" s="10">
        <f t="shared" si="193"/>
        <v>0</v>
      </c>
      <c r="O91" s="10">
        <f t="shared" si="193"/>
        <v>0</v>
      </c>
      <c r="P91" s="10">
        <f t="shared" si="193"/>
        <v>0</v>
      </c>
      <c r="Q91" s="10">
        <f t="shared" si="193"/>
        <v>0</v>
      </c>
      <c r="R91" s="10">
        <f t="shared" si="193"/>
        <v>0</v>
      </c>
      <c r="S91" s="10">
        <f t="shared" si="193"/>
        <v>0</v>
      </c>
      <c r="T91" s="10">
        <f t="shared" si="193"/>
        <v>0</v>
      </c>
      <c r="U91" s="10">
        <f t="shared" si="193"/>
        <v>0</v>
      </c>
      <c r="V91" s="10">
        <f t="shared" si="193"/>
        <v>0</v>
      </c>
      <c r="W91" s="10">
        <f t="shared" si="193"/>
        <v>0</v>
      </c>
      <c r="X91" s="10">
        <f t="shared" si="193"/>
        <v>0</v>
      </c>
      <c r="Y91" s="10">
        <f t="shared" si="193"/>
        <v>0</v>
      </c>
      <c r="Z91" s="10">
        <f t="shared" si="193"/>
        <v>0</v>
      </c>
      <c r="AA91" s="10">
        <f t="shared" si="193"/>
        <v>0</v>
      </c>
      <c r="AB91" s="10">
        <f t="shared" si="193"/>
        <v>0</v>
      </c>
      <c r="AC91" s="10">
        <f t="shared" si="193"/>
        <v>0</v>
      </c>
      <c r="AD91" s="10">
        <f t="shared" si="193"/>
        <v>0</v>
      </c>
      <c r="AE91" s="10">
        <f t="shared" si="193"/>
        <v>0</v>
      </c>
      <c r="AF91" s="10">
        <f t="shared" si="193"/>
        <v>0</v>
      </c>
      <c r="AG91" s="10">
        <f t="shared" si="193"/>
        <v>0</v>
      </c>
      <c r="AH91" s="10">
        <f t="shared" si="193"/>
        <v>0</v>
      </c>
      <c r="AI91" s="10">
        <f t="shared" si="193"/>
        <v>0</v>
      </c>
      <c r="AJ91" s="10">
        <f t="shared" ref="AJ91:BO91" si="194">IF(AND(AJ$25&gt;AJ$24,IF(ISNA(AJ$29),TRUE(),AJ50&gt;=AJ$29),(AJ84-AJ50-(-AJ$25*(AJ50-AI50)/(AJ$25-AI$25)))/((AJ50-AI50)/(AJ$25-AI$25))&lt;=AJ$25,(AJ84-AJ50-(-AJ$25*(AJ50-AI50)/(AJ$25-AI$25)))/((AJ50-AI50)/(AJ$25-AI$25))&gt;AI$25),(AJ84-AJ50-(-AJ$25*(AJ50-AI50)/(AJ$25-AI$25)))/((AJ50-AI50)/(AJ$25-AI$25)),0)</f>
        <v>0</v>
      </c>
      <c r="AK91" s="10">
        <f t="shared" si="194"/>
        <v>0</v>
      </c>
      <c r="AL91" s="10">
        <f t="shared" si="194"/>
        <v>0</v>
      </c>
      <c r="AM91" s="10">
        <f t="shared" si="194"/>
        <v>0</v>
      </c>
      <c r="AN91" s="10">
        <f t="shared" si="194"/>
        <v>0</v>
      </c>
      <c r="AO91" s="10">
        <f t="shared" si="194"/>
        <v>0</v>
      </c>
      <c r="AP91" s="10">
        <f t="shared" si="194"/>
        <v>0</v>
      </c>
      <c r="AQ91" s="10">
        <f t="shared" si="194"/>
        <v>0</v>
      </c>
      <c r="AR91" s="10">
        <f t="shared" si="194"/>
        <v>0</v>
      </c>
      <c r="AS91" s="10">
        <f t="shared" si="194"/>
        <v>0</v>
      </c>
      <c r="AT91" s="10">
        <f t="shared" si="194"/>
        <v>0</v>
      </c>
      <c r="AU91" s="10">
        <f t="shared" si="194"/>
        <v>0</v>
      </c>
      <c r="AV91" s="10">
        <f t="shared" si="194"/>
        <v>0</v>
      </c>
      <c r="AW91" s="10">
        <f t="shared" si="194"/>
        <v>0</v>
      </c>
      <c r="AX91" s="10">
        <f t="shared" si="194"/>
        <v>0</v>
      </c>
      <c r="AY91" s="10">
        <f t="shared" si="194"/>
        <v>0</v>
      </c>
      <c r="AZ91" s="10">
        <f t="shared" si="194"/>
        <v>0</v>
      </c>
      <c r="BA91" s="10">
        <f t="shared" si="194"/>
        <v>0.72279727112811287</v>
      </c>
      <c r="BB91" s="10">
        <f t="shared" si="194"/>
        <v>0</v>
      </c>
      <c r="BC91" s="10">
        <f t="shared" si="194"/>
        <v>0</v>
      </c>
      <c r="BD91" s="10">
        <f t="shared" si="194"/>
        <v>0</v>
      </c>
      <c r="BE91" s="10">
        <f t="shared" si="194"/>
        <v>0</v>
      </c>
      <c r="BF91" s="10">
        <f t="shared" si="194"/>
        <v>0</v>
      </c>
      <c r="BG91" s="10">
        <f t="shared" si="194"/>
        <v>0</v>
      </c>
      <c r="BH91" s="10">
        <f t="shared" si="194"/>
        <v>0</v>
      </c>
      <c r="BI91" s="10">
        <f t="shared" si="194"/>
        <v>0</v>
      </c>
      <c r="BJ91" s="10">
        <f t="shared" si="194"/>
        <v>0</v>
      </c>
      <c r="BK91" s="10">
        <f t="shared" si="194"/>
        <v>0</v>
      </c>
      <c r="BL91" s="10">
        <f t="shared" si="194"/>
        <v>0</v>
      </c>
      <c r="BM91" s="10">
        <f t="shared" si="194"/>
        <v>0</v>
      </c>
      <c r="BN91" s="10">
        <f t="shared" si="194"/>
        <v>0</v>
      </c>
      <c r="BO91" s="10">
        <f t="shared" si="194"/>
        <v>0</v>
      </c>
      <c r="BP91" s="10">
        <f t="shared" ref="BP91:CG91" si="195">IF(AND(BP$25&gt;BP$24,IF(ISNA(BP$29),TRUE(),BP50&gt;=BP$29),(BP84-BP50-(-BP$25*(BP50-BO50)/(BP$25-BO$25)))/((BP50-BO50)/(BP$25-BO$25))&lt;=BP$25,(BP84-BP50-(-BP$25*(BP50-BO50)/(BP$25-BO$25)))/((BP50-BO50)/(BP$25-BO$25))&gt;BO$25),(BP84-BP50-(-BP$25*(BP50-BO50)/(BP$25-BO$25)))/((BP50-BO50)/(BP$25-BO$25)),0)</f>
        <v>0</v>
      </c>
      <c r="BQ91" s="10">
        <f t="shared" si="195"/>
        <v>0</v>
      </c>
      <c r="BR91" s="10">
        <f t="shared" si="195"/>
        <v>0</v>
      </c>
      <c r="BS91" s="10">
        <f t="shared" si="195"/>
        <v>0</v>
      </c>
      <c r="BT91" s="10">
        <f t="shared" si="195"/>
        <v>0</v>
      </c>
      <c r="BU91" s="10">
        <f t="shared" si="195"/>
        <v>0</v>
      </c>
      <c r="BV91" s="10">
        <f t="shared" si="195"/>
        <v>0</v>
      </c>
      <c r="BW91" s="10">
        <f t="shared" si="195"/>
        <v>0</v>
      </c>
      <c r="BX91" s="10">
        <f t="shared" si="195"/>
        <v>0</v>
      </c>
      <c r="BY91" s="10">
        <f t="shared" si="195"/>
        <v>0</v>
      </c>
      <c r="BZ91" s="10">
        <f t="shared" si="195"/>
        <v>0</v>
      </c>
      <c r="CA91" s="10">
        <f t="shared" si="195"/>
        <v>0</v>
      </c>
      <c r="CB91" s="10">
        <f t="shared" si="195"/>
        <v>0</v>
      </c>
      <c r="CC91" s="10">
        <f t="shared" si="195"/>
        <v>0</v>
      </c>
      <c r="CD91" s="10">
        <f t="shared" si="195"/>
        <v>0</v>
      </c>
      <c r="CE91" s="10">
        <f t="shared" si="195"/>
        <v>0</v>
      </c>
      <c r="CF91" s="10">
        <f t="shared" si="195"/>
        <v>0</v>
      </c>
      <c r="CG91" s="10">
        <f t="shared" si="195"/>
        <v>0</v>
      </c>
      <c r="CH91" s="10">
        <f t="array" aca="1" ref="CH91" ca="1">IF(MAX(D91:CG91),MAX(D91:CG91),INDIRECT(CI50))</f>
        <v>0.72279727112811287</v>
      </c>
    </row>
    <row r="92" spans="2:86" ht="16.5" customHeight="1">
      <c r="B92" s="10" t="s">
        <v>846</v>
      </c>
      <c r="D92" s="10">
        <f t="shared" ref="D92:AI92" si="196">IF(AND(D$25&gt;D$24,IF(ISNA(D$29),TRUE(),D51&gt;=D$29),(D85-D51-(-D$25*(D51-C51)/(D$25-C$25)))/((D51-C51)/(D$25-C$25))&lt;=D$25,(D85-D51-(-D$25*(D51-C51)/(D$25-C$25)))/((D51-C51)/(D$25-C$25))&gt;C$25),(D85-D51-(-D$25*(D51-C51)/(D$25-C$25)))/((D51-C51)/(D$25-C$25)),0)</f>
        <v>0</v>
      </c>
      <c r="E92" s="10">
        <f t="shared" si="196"/>
        <v>0</v>
      </c>
      <c r="F92" s="10">
        <f t="shared" si="196"/>
        <v>0</v>
      </c>
      <c r="G92" s="10">
        <f t="shared" si="196"/>
        <v>0</v>
      </c>
      <c r="H92" s="10">
        <f t="shared" si="196"/>
        <v>0</v>
      </c>
      <c r="I92" s="10">
        <f t="shared" si="196"/>
        <v>0</v>
      </c>
      <c r="J92" s="10">
        <f t="shared" si="196"/>
        <v>0</v>
      </c>
      <c r="K92" s="10">
        <f t="shared" si="196"/>
        <v>0</v>
      </c>
      <c r="L92" s="10">
        <f t="shared" si="196"/>
        <v>0</v>
      </c>
      <c r="M92" s="10">
        <f t="shared" si="196"/>
        <v>0</v>
      </c>
      <c r="N92" s="10">
        <f t="shared" si="196"/>
        <v>0</v>
      </c>
      <c r="O92" s="10">
        <f t="shared" si="196"/>
        <v>0</v>
      </c>
      <c r="P92" s="10">
        <f t="shared" si="196"/>
        <v>0</v>
      </c>
      <c r="Q92" s="10">
        <f t="shared" si="196"/>
        <v>0</v>
      </c>
      <c r="R92" s="10">
        <f t="shared" si="196"/>
        <v>0</v>
      </c>
      <c r="S92" s="10">
        <f t="shared" si="196"/>
        <v>0</v>
      </c>
      <c r="T92" s="10">
        <f t="shared" si="196"/>
        <v>0</v>
      </c>
      <c r="U92" s="10">
        <f t="shared" si="196"/>
        <v>0</v>
      </c>
      <c r="V92" s="10">
        <f t="shared" si="196"/>
        <v>0</v>
      </c>
      <c r="W92" s="10">
        <f t="shared" si="196"/>
        <v>0</v>
      </c>
      <c r="X92" s="10">
        <f t="shared" si="196"/>
        <v>0</v>
      </c>
      <c r="Y92" s="10">
        <f t="shared" si="196"/>
        <v>0</v>
      </c>
      <c r="Z92" s="10">
        <f t="shared" si="196"/>
        <v>0</v>
      </c>
      <c r="AA92" s="10">
        <f t="shared" si="196"/>
        <v>0</v>
      </c>
      <c r="AB92" s="10">
        <f t="shared" si="196"/>
        <v>0</v>
      </c>
      <c r="AC92" s="10">
        <f t="shared" si="196"/>
        <v>0</v>
      </c>
      <c r="AD92" s="10">
        <f t="shared" si="196"/>
        <v>0</v>
      </c>
      <c r="AE92" s="10">
        <f t="shared" si="196"/>
        <v>0</v>
      </c>
      <c r="AF92" s="10">
        <f t="shared" si="196"/>
        <v>0</v>
      </c>
      <c r="AG92" s="10">
        <f t="shared" si="196"/>
        <v>0</v>
      </c>
      <c r="AH92" s="10">
        <f t="shared" si="196"/>
        <v>0</v>
      </c>
      <c r="AI92" s="10">
        <f t="shared" si="196"/>
        <v>0</v>
      </c>
      <c r="AJ92" s="10">
        <f t="shared" ref="AJ92:BO92" si="197">IF(AND(AJ$25&gt;AJ$24,IF(ISNA(AJ$29),TRUE(),AJ51&gt;=AJ$29),(AJ85-AJ51-(-AJ$25*(AJ51-AI51)/(AJ$25-AI$25)))/((AJ51-AI51)/(AJ$25-AI$25))&lt;=AJ$25,(AJ85-AJ51-(-AJ$25*(AJ51-AI51)/(AJ$25-AI$25)))/((AJ51-AI51)/(AJ$25-AI$25))&gt;AI$25),(AJ85-AJ51-(-AJ$25*(AJ51-AI51)/(AJ$25-AI$25)))/((AJ51-AI51)/(AJ$25-AI$25)),0)</f>
        <v>0</v>
      </c>
      <c r="AK92" s="10">
        <f t="shared" si="197"/>
        <v>0</v>
      </c>
      <c r="AL92" s="10">
        <f t="shared" si="197"/>
        <v>0</v>
      </c>
      <c r="AM92" s="10">
        <f t="shared" si="197"/>
        <v>0</v>
      </c>
      <c r="AN92" s="10">
        <f t="shared" si="197"/>
        <v>0</v>
      </c>
      <c r="AO92" s="10">
        <f t="shared" si="197"/>
        <v>0</v>
      </c>
      <c r="AP92" s="10">
        <f t="shared" si="197"/>
        <v>0</v>
      </c>
      <c r="AQ92" s="10">
        <f t="shared" si="197"/>
        <v>0</v>
      </c>
      <c r="AR92" s="10">
        <f t="shared" si="197"/>
        <v>0</v>
      </c>
      <c r="AS92" s="10">
        <f t="shared" si="197"/>
        <v>0</v>
      </c>
      <c r="AT92" s="10">
        <f t="shared" si="197"/>
        <v>0</v>
      </c>
      <c r="AU92" s="10">
        <f t="shared" si="197"/>
        <v>0</v>
      </c>
      <c r="AV92" s="10">
        <f t="shared" si="197"/>
        <v>0</v>
      </c>
      <c r="AW92" s="10">
        <f t="shared" si="197"/>
        <v>0.66273024747635012</v>
      </c>
      <c r="AX92" s="10">
        <f t="shared" si="197"/>
        <v>0</v>
      </c>
      <c r="AY92" s="10">
        <f t="shared" si="197"/>
        <v>0</v>
      </c>
      <c r="AZ92" s="10">
        <f t="shared" si="197"/>
        <v>0</v>
      </c>
      <c r="BA92" s="10">
        <f t="shared" si="197"/>
        <v>0</v>
      </c>
      <c r="BB92" s="10">
        <f t="shared" si="197"/>
        <v>0</v>
      </c>
      <c r="BC92" s="10">
        <f t="shared" si="197"/>
        <v>0</v>
      </c>
      <c r="BD92" s="10">
        <f t="shared" si="197"/>
        <v>0</v>
      </c>
      <c r="BE92" s="10">
        <f t="shared" si="197"/>
        <v>0</v>
      </c>
      <c r="BF92" s="10">
        <f t="shared" si="197"/>
        <v>0</v>
      </c>
      <c r="BG92" s="10">
        <f t="shared" si="197"/>
        <v>0</v>
      </c>
      <c r="BH92" s="10">
        <f t="shared" si="197"/>
        <v>0</v>
      </c>
      <c r="BI92" s="10">
        <f t="shared" si="197"/>
        <v>0</v>
      </c>
      <c r="BJ92" s="10">
        <f t="shared" si="197"/>
        <v>0</v>
      </c>
      <c r="BK92" s="10">
        <f t="shared" si="197"/>
        <v>0</v>
      </c>
      <c r="BL92" s="10">
        <f t="shared" si="197"/>
        <v>0</v>
      </c>
      <c r="BM92" s="10">
        <f t="shared" si="197"/>
        <v>0</v>
      </c>
      <c r="BN92" s="10">
        <f t="shared" si="197"/>
        <v>0</v>
      </c>
      <c r="BO92" s="10">
        <f t="shared" si="197"/>
        <v>0</v>
      </c>
      <c r="BP92" s="10">
        <f t="shared" ref="BP92:CG92" si="198">IF(AND(BP$25&gt;BP$24,IF(ISNA(BP$29),TRUE(),BP51&gt;=BP$29),(BP85-BP51-(-BP$25*(BP51-BO51)/(BP$25-BO$25)))/((BP51-BO51)/(BP$25-BO$25))&lt;=BP$25,(BP85-BP51-(-BP$25*(BP51-BO51)/(BP$25-BO$25)))/((BP51-BO51)/(BP$25-BO$25))&gt;BO$25),(BP85-BP51-(-BP$25*(BP51-BO51)/(BP$25-BO$25)))/((BP51-BO51)/(BP$25-BO$25)),0)</f>
        <v>0</v>
      </c>
      <c r="BQ92" s="10">
        <f t="shared" si="198"/>
        <v>0</v>
      </c>
      <c r="BR92" s="10">
        <f t="shared" si="198"/>
        <v>0</v>
      </c>
      <c r="BS92" s="10">
        <f t="shared" si="198"/>
        <v>0</v>
      </c>
      <c r="BT92" s="10">
        <f t="shared" si="198"/>
        <v>0</v>
      </c>
      <c r="BU92" s="10">
        <f t="shared" si="198"/>
        <v>0</v>
      </c>
      <c r="BV92" s="10">
        <f t="shared" si="198"/>
        <v>0</v>
      </c>
      <c r="BW92" s="10">
        <f t="shared" si="198"/>
        <v>0</v>
      </c>
      <c r="BX92" s="10">
        <f t="shared" si="198"/>
        <v>0</v>
      </c>
      <c r="BY92" s="10">
        <f t="shared" si="198"/>
        <v>0</v>
      </c>
      <c r="BZ92" s="10">
        <f t="shared" si="198"/>
        <v>0</v>
      </c>
      <c r="CA92" s="10">
        <f t="shared" si="198"/>
        <v>0</v>
      </c>
      <c r="CB92" s="10">
        <f t="shared" si="198"/>
        <v>0</v>
      </c>
      <c r="CC92" s="10">
        <f t="shared" si="198"/>
        <v>0</v>
      </c>
      <c r="CD92" s="10">
        <f t="shared" si="198"/>
        <v>0</v>
      </c>
      <c r="CE92" s="10">
        <f t="shared" si="198"/>
        <v>0</v>
      </c>
      <c r="CF92" s="10">
        <f t="shared" si="198"/>
        <v>0</v>
      </c>
      <c r="CG92" s="10">
        <f t="shared" si="198"/>
        <v>0</v>
      </c>
      <c r="CH92" s="10">
        <f t="array" aca="1" ref="CH92" ca="1">IF(MAX(D92:CG92),MAX(D92:CG92),INDIRECT(CI51))</f>
        <v>0.66273024747635012</v>
      </c>
    </row>
    <row r="93" spans="2:86" ht="16.5" customHeight="1">
      <c r="B93" s="10" t="s">
        <v>847</v>
      </c>
      <c r="D93" s="10">
        <f t="shared" ref="D93:AI93" si="199">IF(AND(D$25&gt;D$24,IF(ISNA(D$29),TRUE(),D52&gt;=D$29),(D86-D52-(-D$25*(D52-C52)/(D$25-C$25)))/((D52-C52)/(D$25-C$25))&lt;=D$25,(D86-D52-(-D$25*(D52-C52)/(D$25-C$25)))/((D52-C52)/(D$25-C$25))&gt;C$25),(D86-D52-(-D$25*(D52-C52)/(D$25-C$25)))/((D52-C52)/(D$25-C$25)),0)</f>
        <v>0</v>
      </c>
      <c r="E93" s="10">
        <f t="shared" si="199"/>
        <v>0</v>
      </c>
      <c r="F93" s="10">
        <f t="shared" si="199"/>
        <v>0</v>
      </c>
      <c r="G93" s="10">
        <f t="shared" si="199"/>
        <v>0</v>
      </c>
      <c r="H93" s="10">
        <f t="shared" si="199"/>
        <v>0</v>
      </c>
      <c r="I93" s="10">
        <f t="shared" si="199"/>
        <v>0</v>
      </c>
      <c r="J93" s="10">
        <f t="shared" si="199"/>
        <v>0</v>
      </c>
      <c r="K93" s="10">
        <f t="shared" si="199"/>
        <v>0</v>
      </c>
      <c r="L93" s="10">
        <f t="shared" si="199"/>
        <v>0</v>
      </c>
      <c r="M93" s="10">
        <f t="shared" si="199"/>
        <v>0</v>
      </c>
      <c r="N93" s="10">
        <f t="shared" si="199"/>
        <v>0</v>
      </c>
      <c r="O93" s="10">
        <f t="shared" si="199"/>
        <v>0</v>
      </c>
      <c r="P93" s="10">
        <f t="shared" si="199"/>
        <v>0</v>
      </c>
      <c r="Q93" s="10">
        <f t="shared" si="199"/>
        <v>0</v>
      </c>
      <c r="R93" s="10">
        <f t="shared" si="199"/>
        <v>0</v>
      </c>
      <c r="S93" s="10">
        <f t="shared" si="199"/>
        <v>0</v>
      </c>
      <c r="T93" s="10">
        <f t="shared" si="199"/>
        <v>0</v>
      </c>
      <c r="U93" s="10">
        <f t="shared" si="199"/>
        <v>0</v>
      </c>
      <c r="V93" s="10">
        <f t="shared" si="199"/>
        <v>0</v>
      </c>
      <c r="W93" s="10">
        <f t="shared" si="199"/>
        <v>0</v>
      </c>
      <c r="X93" s="10">
        <f t="shared" si="199"/>
        <v>0</v>
      </c>
      <c r="Y93" s="10">
        <f t="shared" si="199"/>
        <v>0</v>
      </c>
      <c r="Z93" s="10">
        <f t="shared" si="199"/>
        <v>0</v>
      </c>
      <c r="AA93" s="10">
        <f t="shared" si="199"/>
        <v>0</v>
      </c>
      <c r="AB93" s="10">
        <f t="shared" si="199"/>
        <v>0</v>
      </c>
      <c r="AC93" s="10">
        <f t="shared" si="199"/>
        <v>0</v>
      </c>
      <c r="AD93" s="10">
        <f t="shared" si="199"/>
        <v>0</v>
      </c>
      <c r="AE93" s="10">
        <f t="shared" si="199"/>
        <v>0</v>
      </c>
      <c r="AF93" s="10">
        <f t="shared" si="199"/>
        <v>0</v>
      </c>
      <c r="AG93" s="10">
        <f t="shared" si="199"/>
        <v>0</v>
      </c>
      <c r="AH93" s="10">
        <f t="shared" si="199"/>
        <v>0</v>
      </c>
      <c r="AI93" s="10">
        <f t="shared" si="199"/>
        <v>0</v>
      </c>
      <c r="AJ93" s="10">
        <f t="shared" ref="AJ93:BO93" si="200">IF(AND(AJ$25&gt;AJ$24,IF(ISNA(AJ$29),TRUE(),AJ52&gt;=AJ$29),(AJ86-AJ52-(-AJ$25*(AJ52-AI52)/(AJ$25-AI$25)))/((AJ52-AI52)/(AJ$25-AI$25))&lt;=AJ$25,(AJ86-AJ52-(-AJ$25*(AJ52-AI52)/(AJ$25-AI$25)))/((AJ52-AI52)/(AJ$25-AI$25))&gt;AI$25),(AJ86-AJ52-(-AJ$25*(AJ52-AI52)/(AJ$25-AI$25)))/((AJ52-AI52)/(AJ$25-AI$25)),0)</f>
        <v>0</v>
      </c>
      <c r="AK93" s="10">
        <f t="shared" si="200"/>
        <v>0</v>
      </c>
      <c r="AL93" s="10">
        <f t="shared" si="200"/>
        <v>0</v>
      </c>
      <c r="AM93" s="10">
        <f t="shared" si="200"/>
        <v>0</v>
      </c>
      <c r="AN93" s="10">
        <f t="shared" si="200"/>
        <v>0</v>
      </c>
      <c r="AO93" s="10">
        <f t="shared" si="200"/>
        <v>0</v>
      </c>
      <c r="AP93" s="10">
        <f t="shared" si="200"/>
        <v>0</v>
      </c>
      <c r="AQ93" s="10">
        <f t="shared" si="200"/>
        <v>0</v>
      </c>
      <c r="AR93" s="10">
        <f t="shared" si="200"/>
        <v>0</v>
      </c>
      <c r="AS93" s="10">
        <f t="shared" si="200"/>
        <v>0.60815613681824143</v>
      </c>
      <c r="AT93" s="10">
        <f t="shared" si="200"/>
        <v>0</v>
      </c>
      <c r="AU93" s="10">
        <f t="shared" si="200"/>
        <v>0</v>
      </c>
      <c r="AV93" s="10">
        <f t="shared" si="200"/>
        <v>0</v>
      </c>
      <c r="AW93" s="10">
        <f t="shared" si="200"/>
        <v>0</v>
      </c>
      <c r="AX93" s="10">
        <f t="shared" si="200"/>
        <v>0</v>
      </c>
      <c r="AY93" s="10">
        <f t="shared" si="200"/>
        <v>0</v>
      </c>
      <c r="AZ93" s="10">
        <f t="shared" si="200"/>
        <v>0</v>
      </c>
      <c r="BA93" s="10">
        <f t="shared" si="200"/>
        <v>0</v>
      </c>
      <c r="BB93" s="10">
        <f t="shared" si="200"/>
        <v>0</v>
      </c>
      <c r="BC93" s="10">
        <f t="shared" si="200"/>
        <v>0</v>
      </c>
      <c r="BD93" s="10">
        <f t="shared" si="200"/>
        <v>0</v>
      </c>
      <c r="BE93" s="10">
        <f t="shared" si="200"/>
        <v>0</v>
      </c>
      <c r="BF93" s="10">
        <f t="shared" si="200"/>
        <v>0</v>
      </c>
      <c r="BG93" s="10">
        <f t="shared" si="200"/>
        <v>0</v>
      </c>
      <c r="BH93" s="10">
        <f t="shared" si="200"/>
        <v>0</v>
      </c>
      <c r="BI93" s="10">
        <f t="shared" si="200"/>
        <v>0</v>
      </c>
      <c r="BJ93" s="10">
        <f t="shared" si="200"/>
        <v>0</v>
      </c>
      <c r="BK93" s="10">
        <f t="shared" si="200"/>
        <v>0</v>
      </c>
      <c r="BL93" s="10">
        <f t="shared" si="200"/>
        <v>0</v>
      </c>
      <c r="BM93" s="10">
        <f t="shared" si="200"/>
        <v>0</v>
      </c>
      <c r="BN93" s="10">
        <f t="shared" si="200"/>
        <v>0</v>
      </c>
      <c r="BO93" s="10">
        <f t="shared" si="200"/>
        <v>0</v>
      </c>
      <c r="BP93" s="10">
        <f t="shared" ref="BP93:CG93" si="201">IF(AND(BP$25&gt;BP$24,IF(ISNA(BP$29),TRUE(),BP52&gt;=BP$29),(BP86-BP52-(-BP$25*(BP52-BO52)/(BP$25-BO$25)))/((BP52-BO52)/(BP$25-BO$25))&lt;=BP$25,(BP86-BP52-(-BP$25*(BP52-BO52)/(BP$25-BO$25)))/((BP52-BO52)/(BP$25-BO$25))&gt;BO$25),(BP86-BP52-(-BP$25*(BP52-BO52)/(BP$25-BO$25)))/((BP52-BO52)/(BP$25-BO$25)),0)</f>
        <v>0</v>
      </c>
      <c r="BQ93" s="10">
        <f t="shared" si="201"/>
        <v>0</v>
      </c>
      <c r="BR93" s="10">
        <f t="shared" si="201"/>
        <v>0</v>
      </c>
      <c r="BS93" s="10">
        <f t="shared" si="201"/>
        <v>0</v>
      </c>
      <c r="BT93" s="10">
        <f t="shared" si="201"/>
        <v>0</v>
      </c>
      <c r="BU93" s="10">
        <f t="shared" si="201"/>
        <v>0</v>
      </c>
      <c r="BV93" s="10">
        <f t="shared" si="201"/>
        <v>0</v>
      </c>
      <c r="BW93" s="10">
        <f t="shared" si="201"/>
        <v>0</v>
      </c>
      <c r="BX93" s="10">
        <f t="shared" si="201"/>
        <v>0</v>
      </c>
      <c r="BY93" s="10">
        <f t="shared" si="201"/>
        <v>0</v>
      </c>
      <c r="BZ93" s="10">
        <f t="shared" si="201"/>
        <v>0</v>
      </c>
      <c r="CA93" s="10">
        <f t="shared" si="201"/>
        <v>0</v>
      </c>
      <c r="CB93" s="10">
        <f t="shared" si="201"/>
        <v>0</v>
      </c>
      <c r="CC93" s="10">
        <f t="shared" si="201"/>
        <v>0</v>
      </c>
      <c r="CD93" s="10">
        <f t="shared" si="201"/>
        <v>0</v>
      </c>
      <c r="CE93" s="10">
        <f t="shared" si="201"/>
        <v>0</v>
      </c>
      <c r="CF93" s="10">
        <f t="shared" si="201"/>
        <v>0</v>
      </c>
      <c r="CG93" s="10">
        <f t="shared" si="201"/>
        <v>0</v>
      </c>
      <c r="CH93" s="10">
        <f t="array" aca="1" ref="CH93" ca="1">IF(MAX(D93:CG93),MAX(D93:CG93),INDIRECT(CI52))</f>
        <v>0.60815613681824143</v>
      </c>
    </row>
    <row r="95" spans="2:86" ht="16.5" customHeight="1">
      <c r="B95" s="162" t="s">
        <v>848</v>
      </c>
      <c r="C95" s="162">
        <f t="shared" ref="C95:AH95" si="202">(C$40/(C$10^2))*((PI()^2)/4)*(C12*100/C$39)*(((SIN(C$33))^2)/(C$5+C$11*C$6)^2)</f>
        <v>0.5001479368730567</v>
      </c>
      <c r="D95" s="162">
        <f t="shared" si="202"/>
        <v>0.5001479368730567</v>
      </c>
      <c r="E95" s="162">
        <f t="shared" si="202"/>
        <v>0.5001479368730567</v>
      </c>
      <c r="F95" s="162">
        <f t="shared" si="202"/>
        <v>0.5001479368730567</v>
      </c>
      <c r="G95" s="162">
        <f t="shared" si="202"/>
        <v>0.5001479368730567</v>
      </c>
      <c r="H95" s="162">
        <f t="shared" si="202"/>
        <v>0.5001479368730567</v>
      </c>
      <c r="I95" s="162">
        <f t="shared" si="202"/>
        <v>0.5001479368730567</v>
      </c>
      <c r="J95" s="162">
        <f t="shared" si="202"/>
        <v>0.5001479368730567</v>
      </c>
      <c r="K95" s="162">
        <f t="shared" si="202"/>
        <v>0.5001479368730567</v>
      </c>
      <c r="L95" s="162">
        <f t="shared" si="202"/>
        <v>0.5001479368730567</v>
      </c>
      <c r="M95" s="162">
        <f t="shared" si="202"/>
        <v>0.5001479368730567</v>
      </c>
      <c r="N95" s="162">
        <f t="shared" si="202"/>
        <v>0.5001479368730567</v>
      </c>
      <c r="O95" s="162">
        <f t="shared" si="202"/>
        <v>0.5001479368730567</v>
      </c>
      <c r="P95" s="162">
        <f t="shared" si="202"/>
        <v>0.5001479368730567</v>
      </c>
      <c r="Q95" s="162">
        <f t="shared" si="202"/>
        <v>0.5001479368730567</v>
      </c>
      <c r="R95" s="162">
        <f t="shared" si="202"/>
        <v>0.5001479368730567</v>
      </c>
      <c r="S95" s="162">
        <f t="shared" si="202"/>
        <v>0.5001479368730567</v>
      </c>
      <c r="T95" s="162">
        <f t="shared" si="202"/>
        <v>0.5001479368730567</v>
      </c>
      <c r="U95" s="162">
        <f t="shared" si="202"/>
        <v>0.5001479368730567</v>
      </c>
      <c r="V95" s="162">
        <f t="shared" si="202"/>
        <v>0.5001479368730567</v>
      </c>
      <c r="W95" s="162">
        <f t="shared" si="202"/>
        <v>0.5001479368730567</v>
      </c>
      <c r="X95" s="162">
        <f t="shared" si="202"/>
        <v>0.5001479368730567</v>
      </c>
      <c r="Y95" s="162">
        <f t="shared" si="202"/>
        <v>0.5001479368730567</v>
      </c>
      <c r="Z95" s="162">
        <f t="shared" si="202"/>
        <v>0.5001479368730567</v>
      </c>
      <c r="AA95" s="162">
        <f t="shared" si="202"/>
        <v>0.5001479368730567</v>
      </c>
      <c r="AB95" s="162">
        <f t="shared" si="202"/>
        <v>0.5001479368730567</v>
      </c>
      <c r="AC95" s="162">
        <f t="shared" si="202"/>
        <v>0.5001479368730567</v>
      </c>
      <c r="AD95" s="162">
        <f t="shared" si="202"/>
        <v>0.5001479368730567</v>
      </c>
      <c r="AE95" s="162">
        <f t="shared" si="202"/>
        <v>0.5001479368730567</v>
      </c>
      <c r="AF95" s="162">
        <f t="shared" si="202"/>
        <v>0.5001479368730567</v>
      </c>
      <c r="AG95" s="162">
        <f t="shared" si="202"/>
        <v>0.5001479368730567</v>
      </c>
      <c r="AH95" s="162">
        <f t="shared" si="202"/>
        <v>0.5001479368730567</v>
      </c>
      <c r="AI95" s="162">
        <f t="shared" ref="AI95:BN95" si="203">(AI$40/(AI$10^2))*((PI()^2)/4)*(AI12*100/AI$39)*(((SIN(AI$33))^2)/(AI$5+AI$11*AI$6)^2)</f>
        <v>0.5001479368730567</v>
      </c>
      <c r="AJ95" s="162">
        <f t="shared" si="203"/>
        <v>0.5001479368730567</v>
      </c>
      <c r="AK95" s="162">
        <f t="shared" si="203"/>
        <v>0.5001479368730567</v>
      </c>
      <c r="AL95" s="162">
        <f t="shared" si="203"/>
        <v>0.5001479368730567</v>
      </c>
      <c r="AM95" s="162">
        <f t="shared" si="203"/>
        <v>0.5001479368730567</v>
      </c>
      <c r="AN95" s="162">
        <f t="shared" si="203"/>
        <v>0.5001479368730567</v>
      </c>
      <c r="AO95" s="162">
        <f t="shared" si="203"/>
        <v>0.5001479368730567</v>
      </c>
      <c r="AP95" s="162">
        <f t="shared" si="203"/>
        <v>0.5001479368730567</v>
      </c>
      <c r="AQ95" s="162">
        <f t="shared" si="203"/>
        <v>0.5001479368730567</v>
      </c>
      <c r="AR95" s="162">
        <f t="shared" si="203"/>
        <v>0.5001479368730567</v>
      </c>
      <c r="AS95" s="162">
        <f t="shared" si="203"/>
        <v>0.5001479368730567</v>
      </c>
      <c r="AT95" s="162">
        <f t="shared" si="203"/>
        <v>0.5001479368730567</v>
      </c>
      <c r="AU95" s="162">
        <f t="shared" si="203"/>
        <v>0.5001479368730567</v>
      </c>
      <c r="AV95" s="162">
        <f t="shared" si="203"/>
        <v>0.5001479368730567</v>
      </c>
      <c r="AW95" s="162">
        <f t="shared" si="203"/>
        <v>0.5001479368730567</v>
      </c>
      <c r="AX95" s="162">
        <f t="shared" si="203"/>
        <v>0.5001479368730567</v>
      </c>
      <c r="AY95" s="162">
        <f t="shared" si="203"/>
        <v>0.5001479368730567</v>
      </c>
      <c r="AZ95" s="162">
        <f t="shared" si="203"/>
        <v>0.5001479368730567</v>
      </c>
      <c r="BA95" s="162">
        <f t="shared" si="203"/>
        <v>0.5001479368730567</v>
      </c>
      <c r="BB95" s="162">
        <f t="shared" si="203"/>
        <v>0.5001479368730567</v>
      </c>
      <c r="BC95" s="162">
        <f t="shared" si="203"/>
        <v>0.5001479368730567</v>
      </c>
      <c r="BD95" s="162">
        <f t="shared" si="203"/>
        <v>0.5001479368730567</v>
      </c>
      <c r="BE95" s="162">
        <f t="shared" si="203"/>
        <v>0.5001479368730567</v>
      </c>
      <c r="BF95" s="162">
        <f t="shared" si="203"/>
        <v>0.5001479368730567</v>
      </c>
      <c r="BG95" s="162">
        <f t="shared" si="203"/>
        <v>0.5001479368730567</v>
      </c>
      <c r="BH95" s="162">
        <f t="shared" si="203"/>
        <v>0.5001479368730567</v>
      </c>
      <c r="BI95" s="162">
        <f t="shared" si="203"/>
        <v>0.5001479368730567</v>
      </c>
      <c r="BJ95" s="162">
        <f t="shared" si="203"/>
        <v>0.5001479368730567</v>
      </c>
      <c r="BK95" s="162">
        <f t="shared" si="203"/>
        <v>0.5001479368730567</v>
      </c>
      <c r="BL95" s="162">
        <f t="shared" si="203"/>
        <v>0.5001479368730567</v>
      </c>
      <c r="BM95" s="162">
        <f t="shared" si="203"/>
        <v>0.5001479368730567</v>
      </c>
      <c r="BN95" s="162">
        <f t="shared" si="203"/>
        <v>0.5001479368730567</v>
      </c>
      <c r="BO95" s="162">
        <f t="shared" ref="BO95:CG95" si="204">(BO$40/(BO$10^2))*((PI()^2)/4)*(BO12*100/BO$39)*(((SIN(BO$33))^2)/(BO$5+BO$11*BO$6)^2)</f>
        <v>0.5001479368730567</v>
      </c>
      <c r="BP95" s="162">
        <f t="shared" si="204"/>
        <v>0.5001479368730567</v>
      </c>
      <c r="BQ95" s="162">
        <f t="shared" si="204"/>
        <v>0.5001479368730567</v>
      </c>
      <c r="BR95" s="162">
        <f t="shared" si="204"/>
        <v>0.5001479368730567</v>
      </c>
      <c r="BS95" s="162">
        <f t="shared" si="204"/>
        <v>0.5001479368730567</v>
      </c>
      <c r="BT95" s="162">
        <f t="shared" si="204"/>
        <v>0.5001479368730567</v>
      </c>
      <c r="BU95" s="162">
        <f t="shared" si="204"/>
        <v>0.5001479368730567</v>
      </c>
      <c r="BV95" s="162">
        <f t="shared" si="204"/>
        <v>0.5001479368730567</v>
      </c>
      <c r="BW95" s="162">
        <f t="shared" si="204"/>
        <v>0.5001479368730567</v>
      </c>
      <c r="BX95" s="162">
        <f t="shared" si="204"/>
        <v>0.5001479368730567</v>
      </c>
      <c r="BY95" s="162">
        <f t="shared" si="204"/>
        <v>0.5001479368730567</v>
      </c>
      <c r="BZ95" s="162">
        <f t="shared" si="204"/>
        <v>0.5001479368730567</v>
      </c>
      <c r="CA95" s="162">
        <f t="shared" si="204"/>
        <v>0.5001479368730567</v>
      </c>
      <c r="CB95" s="162">
        <f t="shared" si="204"/>
        <v>0.5001479368730567</v>
      </c>
      <c r="CC95" s="162">
        <f t="shared" si="204"/>
        <v>0.5001479368730567</v>
      </c>
      <c r="CD95" s="162">
        <f t="shared" si="204"/>
        <v>0.5001479368730567</v>
      </c>
      <c r="CE95" s="162">
        <f t="shared" si="204"/>
        <v>0.5001479368730567</v>
      </c>
      <c r="CF95" s="162">
        <f t="shared" si="204"/>
        <v>0.5001479368730567</v>
      </c>
      <c r="CG95" s="162">
        <f t="shared" si="204"/>
        <v>0.5001479368730567</v>
      </c>
    </row>
    <row r="96" spans="2:86" ht="16.5" customHeight="1">
      <c r="B96" s="162" t="s">
        <v>849</v>
      </c>
      <c r="C96" s="162">
        <f t="shared" ref="C96:AH96" si="205">(C$40/(C$10^2))*((PI()^2)/4)*(C13*100/C$39)*(((SIN(C$33))^2)/(C$5+C$11*C$6)^2)</f>
        <v>0.37511095265479255</v>
      </c>
      <c r="D96" s="162">
        <f t="shared" si="205"/>
        <v>0.37511095265479255</v>
      </c>
      <c r="E96" s="162">
        <f t="shared" si="205"/>
        <v>0.37511095265479255</v>
      </c>
      <c r="F96" s="162">
        <f t="shared" si="205"/>
        <v>0.37511095265479255</v>
      </c>
      <c r="G96" s="162">
        <f t="shared" si="205"/>
        <v>0.37511095265479255</v>
      </c>
      <c r="H96" s="162">
        <f t="shared" si="205"/>
        <v>0.37511095265479255</v>
      </c>
      <c r="I96" s="162">
        <f t="shared" si="205"/>
        <v>0.37511095265479255</v>
      </c>
      <c r="J96" s="162">
        <f t="shared" si="205"/>
        <v>0.37511095265479255</v>
      </c>
      <c r="K96" s="162">
        <f t="shared" si="205"/>
        <v>0.37511095265479255</v>
      </c>
      <c r="L96" s="162">
        <f t="shared" si="205"/>
        <v>0.37511095265479255</v>
      </c>
      <c r="M96" s="162">
        <f t="shared" si="205"/>
        <v>0.37511095265479255</v>
      </c>
      <c r="N96" s="162">
        <f t="shared" si="205"/>
        <v>0.37511095265479255</v>
      </c>
      <c r="O96" s="162">
        <f t="shared" si="205"/>
        <v>0.37511095265479255</v>
      </c>
      <c r="P96" s="162">
        <f t="shared" si="205"/>
        <v>0.37511095265479255</v>
      </c>
      <c r="Q96" s="162">
        <f t="shared" si="205"/>
        <v>0.37511095265479255</v>
      </c>
      <c r="R96" s="162">
        <f t="shared" si="205"/>
        <v>0.37511095265479255</v>
      </c>
      <c r="S96" s="162">
        <f t="shared" si="205"/>
        <v>0.37511095265479255</v>
      </c>
      <c r="T96" s="162">
        <f t="shared" si="205"/>
        <v>0.37511095265479255</v>
      </c>
      <c r="U96" s="162">
        <f t="shared" si="205"/>
        <v>0.37511095265479255</v>
      </c>
      <c r="V96" s="162">
        <f t="shared" si="205"/>
        <v>0.37511095265479255</v>
      </c>
      <c r="W96" s="162">
        <f t="shared" si="205"/>
        <v>0.37511095265479255</v>
      </c>
      <c r="X96" s="162">
        <f t="shared" si="205"/>
        <v>0.37511095265479255</v>
      </c>
      <c r="Y96" s="162">
        <f t="shared" si="205"/>
        <v>0.37511095265479255</v>
      </c>
      <c r="Z96" s="162">
        <f t="shared" si="205"/>
        <v>0.37511095265479255</v>
      </c>
      <c r="AA96" s="162">
        <f t="shared" si="205"/>
        <v>0.37511095265479255</v>
      </c>
      <c r="AB96" s="162">
        <f t="shared" si="205"/>
        <v>0.37511095265479255</v>
      </c>
      <c r="AC96" s="162">
        <f t="shared" si="205"/>
        <v>0.37511095265479255</v>
      </c>
      <c r="AD96" s="162">
        <f t="shared" si="205"/>
        <v>0.37511095265479255</v>
      </c>
      <c r="AE96" s="162">
        <f t="shared" si="205"/>
        <v>0.37511095265479255</v>
      </c>
      <c r="AF96" s="162">
        <f t="shared" si="205"/>
        <v>0.37511095265479255</v>
      </c>
      <c r="AG96" s="162">
        <f t="shared" si="205"/>
        <v>0.37511095265479255</v>
      </c>
      <c r="AH96" s="162">
        <f t="shared" si="205"/>
        <v>0.37511095265479255</v>
      </c>
      <c r="AI96" s="162">
        <f t="shared" ref="AI96:BN96" si="206">(AI$40/(AI$10^2))*((PI()^2)/4)*(AI13*100/AI$39)*(((SIN(AI$33))^2)/(AI$5+AI$11*AI$6)^2)</f>
        <v>0.37511095265479255</v>
      </c>
      <c r="AJ96" s="162">
        <f t="shared" si="206"/>
        <v>0.37511095265479255</v>
      </c>
      <c r="AK96" s="162">
        <f t="shared" si="206"/>
        <v>0.37511095265479255</v>
      </c>
      <c r="AL96" s="162">
        <f t="shared" si="206"/>
        <v>0.37511095265479255</v>
      </c>
      <c r="AM96" s="162">
        <f t="shared" si="206"/>
        <v>0.37511095265479255</v>
      </c>
      <c r="AN96" s="162">
        <f t="shared" si="206"/>
        <v>0.37511095265479255</v>
      </c>
      <c r="AO96" s="162">
        <f t="shared" si="206"/>
        <v>0.37511095265479255</v>
      </c>
      <c r="AP96" s="162">
        <f t="shared" si="206"/>
        <v>0.37511095265479255</v>
      </c>
      <c r="AQ96" s="162">
        <f t="shared" si="206"/>
        <v>0.37511095265479255</v>
      </c>
      <c r="AR96" s="162">
        <f t="shared" si="206"/>
        <v>0.37511095265479255</v>
      </c>
      <c r="AS96" s="162">
        <f t="shared" si="206"/>
        <v>0.37511095265479255</v>
      </c>
      <c r="AT96" s="162">
        <f t="shared" si="206"/>
        <v>0.37511095265479255</v>
      </c>
      <c r="AU96" s="162">
        <f t="shared" si="206"/>
        <v>0.37511095265479255</v>
      </c>
      <c r="AV96" s="162">
        <f t="shared" si="206"/>
        <v>0.37511095265479255</v>
      </c>
      <c r="AW96" s="162">
        <f t="shared" si="206"/>
        <v>0.37511095265479255</v>
      </c>
      <c r="AX96" s="162">
        <f t="shared" si="206"/>
        <v>0.37511095265479255</v>
      </c>
      <c r="AY96" s="162">
        <f t="shared" si="206"/>
        <v>0.37511095265479255</v>
      </c>
      <c r="AZ96" s="162">
        <f t="shared" si="206"/>
        <v>0.37511095265479255</v>
      </c>
      <c r="BA96" s="162">
        <f t="shared" si="206"/>
        <v>0.37511095265479255</v>
      </c>
      <c r="BB96" s="162">
        <f t="shared" si="206"/>
        <v>0.37511095265479255</v>
      </c>
      <c r="BC96" s="162">
        <f t="shared" si="206"/>
        <v>0.37511095265479255</v>
      </c>
      <c r="BD96" s="162">
        <f t="shared" si="206"/>
        <v>0.37511095265479255</v>
      </c>
      <c r="BE96" s="162">
        <f t="shared" si="206"/>
        <v>0.37511095265479255</v>
      </c>
      <c r="BF96" s="162">
        <f t="shared" si="206"/>
        <v>0.37511095265479255</v>
      </c>
      <c r="BG96" s="162">
        <f t="shared" si="206"/>
        <v>0.37511095265479255</v>
      </c>
      <c r="BH96" s="162">
        <f t="shared" si="206"/>
        <v>0.37511095265479255</v>
      </c>
      <c r="BI96" s="162">
        <f t="shared" si="206"/>
        <v>0.37511095265479255</v>
      </c>
      <c r="BJ96" s="162">
        <f t="shared" si="206"/>
        <v>0.37511095265479255</v>
      </c>
      <c r="BK96" s="162">
        <f t="shared" si="206"/>
        <v>0.37511095265479255</v>
      </c>
      <c r="BL96" s="162">
        <f t="shared" si="206"/>
        <v>0.37511095265479255</v>
      </c>
      <c r="BM96" s="162">
        <f t="shared" si="206"/>
        <v>0.37511095265479255</v>
      </c>
      <c r="BN96" s="162">
        <f t="shared" si="206"/>
        <v>0.37511095265479255</v>
      </c>
      <c r="BO96" s="162">
        <f t="shared" ref="BO96:CG96" si="207">(BO$40/(BO$10^2))*((PI()^2)/4)*(BO13*100/BO$39)*(((SIN(BO$33))^2)/(BO$5+BO$11*BO$6)^2)</f>
        <v>0.37511095265479255</v>
      </c>
      <c r="BP96" s="162">
        <f t="shared" si="207"/>
        <v>0.37511095265479255</v>
      </c>
      <c r="BQ96" s="162">
        <f t="shared" si="207"/>
        <v>0.37511095265479255</v>
      </c>
      <c r="BR96" s="162">
        <f t="shared" si="207"/>
        <v>0.37511095265479255</v>
      </c>
      <c r="BS96" s="162">
        <f t="shared" si="207"/>
        <v>0.37511095265479255</v>
      </c>
      <c r="BT96" s="162">
        <f t="shared" si="207"/>
        <v>0.37511095265479255</v>
      </c>
      <c r="BU96" s="162">
        <f t="shared" si="207"/>
        <v>0.37511095265479255</v>
      </c>
      <c r="BV96" s="162">
        <f t="shared" si="207"/>
        <v>0.37511095265479255</v>
      </c>
      <c r="BW96" s="162">
        <f t="shared" si="207"/>
        <v>0.37511095265479255</v>
      </c>
      <c r="BX96" s="162">
        <f t="shared" si="207"/>
        <v>0.37511095265479255</v>
      </c>
      <c r="BY96" s="162">
        <f t="shared" si="207"/>
        <v>0.37511095265479255</v>
      </c>
      <c r="BZ96" s="162">
        <f t="shared" si="207"/>
        <v>0.37511095265479255</v>
      </c>
      <c r="CA96" s="162">
        <f t="shared" si="207"/>
        <v>0.37511095265479255</v>
      </c>
      <c r="CB96" s="162">
        <f t="shared" si="207"/>
        <v>0.37511095265479255</v>
      </c>
      <c r="CC96" s="162">
        <f t="shared" si="207"/>
        <v>0.37511095265479255</v>
      </c>
      <c r="CD96" s="162">
        <f t="shared" si="207"/>
        <v>0.37511095265479255</v>
      </c>
      <c r="CE96" s="162">
        <f t="shared" si="207"/>
        <v>0.37511095265479255</v>
      </c>
      <c r="CF96" s="162">
        <f t="shared" si="207"/>
        <v>0.37511095265479255</v>
      </c>
      <c r="CG96" s="162">
        <f t="shared" si="207"/>
        <v>0.37511095265479255</v>
      </c>
    </row>
    <row r="97" spans="1:86" ht="16.5" customHeight="1">
      <c r="B97" s="162" t="s">
        <v>850</v>
      </c>
      <c r="C97" s="162">
        <f t="shared" ref="C97:AH97" si="208">(C$40/(C$10^2))*((PI()^2)/4)*(C14*100/C$39)*(((SIN(C$33))^2)/(C$5+C$11*C$6)^2)</f>
        <v>0.25007396843652835</v>
      </c>
      <c r="D97" s="162">
        <f t="shared" si="208"/>
        <v>0.25007396843652835</v>
      </c>
      <c r="E97" s="162">
        <f t="shared" si="208"/>
        <v>0.25007396843652835</v>
      </c>
      <c r="F97" s="162">
        <f t="shared" si="208"/>
        <v>0.25007396843652835</v>
      </c>
      <c r="G97" s="162">
        <f t="shared" si="208"/>
        <v>0.25007396843652835</v>
      </c>
      <c r="H97" s="162">
        <f t="shared" si="208"/>
        <v>0.25007396843652835</v>
      </c>
      <c r="I97" s="162">
        <f t="shared" si="208"/>
        <v>0.25007396843652835</v>
      </c>
      <c r="J97" s="162">
        <f t="shared" si="208"/>
        <v>0.25007396843652835</v>
      </c>
      <c r="K97" s="162">
        <f t="shared" si="208"/>
        <v>0.25007396843652835</v>
      </c>
      <c r="L97" s="162">
        <f t="shared" si="208"/>
        <v>0.25007396843652835</v>
      </c>
      <c r="M97" s="162">
        <f t="shared" si="208"/>
        <v>0.25007396843652835</v>
      </c>
      <c r="N97" s="162">
        <f t="shared" si="208"/>
        <v>0.25007396843652835</v>
      </c>
      <c r="O97" s="162">
        <f t="shared" si="208"/>
        <v>0.25007396843652835</v>
      </c>
      <c r="P97" s="162">
        <f t="shared" si="208"/>
        <v>0.25007396843652835</v>
      </c>
      <c r="Q97" s="162">
        <f t="shared" si="208"/>
        <v>0.25007396843652835</v>
      </c>
      <c r="R97" s="162">
        <f t="shared" si="208"/>
        <v>0.25007396843652835</v>
      </c>
      <c r="S97" s="162">
        <f t="shared" si="208"/>
        <v>0.25007396843652835</v>
      </c>
      <c r="T97" s="162">
        <f t="shared" si="208"/>
        <v>0.25007396843652835</v>
      </c>
      <c r="U97" s="162">
        <f t="shared" si="208"/>
        <v>0.25007396843652835</v>
      </c>
      <c r="V97" s="162">
        <f t="shared" si="208"/>
        <v>0.25007396843652835</v>
      </c>
      <c r="W97" s="162">
        <f t="shared" si="208"/>
        <v>0.25007396843652835</v>
      </c>
      <c r="X97" s="162">
        <f t="shared" si="208"/>
        <v>0.25007396843652835</v>
      </c>
      <c r="Y97" s="162">
        <f t="shared" si="208"/>
        <v>0.25007396843652835</v>
      </c>
      <c r="Z97" s="162">
        <f t="shared" si="208"/>
        <v>0.25007396843652835</v>
      </c>
      <c r="AA97" s="162">
        <f t="shared" si="208"/>
        <v>0.25007396843652835</v>
      </c>
      <c r="AB97" s="162">
        <f t="shared" si="208"/>
        <v>0.25007396843652835</v>
      </c>
      <c r="AC97" s="162">
        <f t="shared" si="208"/>
        <v>0.25007396843652835</v>
      </c>
      <c r="AD97" s="162">
        <f t="shared" si="208"/>
        <v>0.25007396843652835</v>
      </c>
      <c r="AE97" s="162">
        <f t="shared" si="208"/>
        <v>0.25007396843652835</v>
      </c>
      <c r="AF97" s="162">
        <f t="shared" si="208"/>
        <v>0.25007396843652835</v>
      </c>
      <c r="AG97" s="162">
        <f t="shared" si="208"/>
        <v>0.25007396843652835</v>
      </c>
      <c r="AH97" s="162">
        <f t="shared" si="208"/>
        <v>0.25007396843652835</v>
      </c>
      <c r="AI97" s="162">
        <f t="shared" ref="AI97:BN97" si="209">(AI$40/(AI$10^2))*((PI()^2)/4)*(AI14*100/AI$39)*(((SIN(AI$33))^2)/(AI$5+AI$11*AI$6)^2)</f>
        <v>0.25007396843652835</v>
      </c>
      <c r="AJ97" s="162">
        <f t="shared" si="209"/>
        <v>0.25007396843652835</v>
      </c>
      <c r="AK97" s="162">
        <f t="shared" si="209"/>
        <v>0.25007396843652835</v>
      </c>
      <c r="AL97" s="162">
        <f t="shared" si="209"/>
        <v>0.25007396843652835</v>
      </c>
      <c r="AM97" s="162">
        <f t="shared" si="209"/>
        <v>0.25007396843652835</v>
      </c>
      <c r="AN97" s="162">
        <f t="shared" si="209"/>
        <v>0.25007396843652835</v>
      </c>
      <c r="AO97" s="162">
        <f t="shared" si="209"/>
        <v>0.25007396843652835</v>
      </c>
      <c r="AP97" s="162">
        <f t="shared" si="209"/>
        <v>0.25007396843652835</v>
      </c>
      <c r="AQ97" s="162">
        <f t="shared" si="209"/>
        <v>0.25007396843652835</v>
      </c>
      <c r="AR97" s="162">
        <f t="shared" si="209"/>
        <v>0.25007396843652835</v>
      </c>
      <c r="AS97" s="162">
        <f t="shared" si="209"/>
        <v>0.25007396843652835</v>
      </c>
      <c r="AT97" s="162">
        <f t="shared" si="209"/>
        <v>0.25007396843652835</v>
      </c>
      <c r="AU97" s="162">
        <f t="shared" si="209"/>
        <v>0.25007396843652835</v>
      </c>
      <c r="AV97" s="162">
        <f t="shared" si="209"/>
        <v>0.25007396843652835</v>
      </c>
      <c r="AW97" s="162">
        <f t="shared" si="209"/>
        <v>0.25007396843652835</v>
      </c>
      <c r="AX97" s="162">
        <f t="shared" si="209"/>
        <v>0.25007396843652835</v>
      </c>
      <c r="AY97" s="162">
        <f t="shared" si="209"/>
        <v>0.25007396843652835</v>
      </c>
      <c r="AZ97" s="162">
        <f t="shared" si="209"/>
        <v>0.25007396843652835</v>
      </c>
      <c r="BA97" s="162">
        <f t="shared" si="209"/>
        <v>0.25007396843652835</v>
      </c>
      <c r="BB97" s="162">
        <f t="shared" si="209"/>
        <v>0.25007396843652835</v>
      </c>
      <c r="BC97" s="162">
        <f t="shared" si="209"/>
        <v>0.25007396843652835</v>
      </c>
      <c r="BD97" s="162">
        <f t="shared" si="209"/>
        <v>0.25007396843652835</v>
      </c>
      <c r="BE97" s="162">
        <f t="shared" si="209"/>
        <v>0.25007396843652835</v>
      </c>
      <c r="BF97" s="162">
        <f t="shared" si="209"/>
        <v>0.25007396843652835</v>
      </c>
      <c r="BG97" s="162">
        <f t="shared" si="209"/>
        <v>0.25007396843652835</v>
      </c>
      <c r="BH97" s="162">
        <f t="shared" si="209"/>
        <v>0.25007396843652835</v>
      </c>
      <c r="BI97" s="162">
        <f t="shared" si="209"/>
        <v>0.25007396843652835</v>
      </c>
      <c r="BJ97" s="162">
        <f t="shared" si="209"/>
        <v>0.25007396843652835</v>
      </c>
      <c r="BK97" s="162">
        <f t="shared" si="209"/>
        <v>0.25007396843652835</v>
      </c>
      <c r="BL97" s="162">
        <f t="shared" si="209"/>
        <v>0.25007396843652835</v>
      </c>
      <c r="BM97" s="162">
        <f t="shared" si="209"/>
        <v>0.25007396843652835</v>
      </c>
      <c r="BN97" s="162">
        <f t="shared" si="209"/>
        <v>0.25007396843652835</v>
      </c>
      <c r="BO97" s="162">
        <f t="shared" ref="BO97:CG97" si="210">(BO$40/(BO$10^2))*((PI()^2)/4)*(BO14*100/BO$39)*(((SIN(BO$33))^2)/(BO$5+BO$11*BO$6)^2)</f>
        <v>0.25007396843652835</v>
      </c>
      <c r="BP97" s="162">
        <f t="shared" si="210"/>
        <v>0.25007396843652835</v>
      </c>
      <c r="BQ97" s="162">
        <f t="shared" si="210"/>
        <v>0.25007396843652835</v>
      </c>
      <c r="BR97" s="162">
        <f t="shared" si="210"/>
        <v>0.25007396843652835</v>
      </c>
      <c r="BS97" s="162">
        <f t="shared" si="210"/>
        <v>0.25007396843652835</v>
      </c>
      <c r="BT97" s="162">
        <f t="shared" si="210"/>
        <v>0.25007396843652835</v>
      </c>
      <c r="BU97" s="162">
        <f t="shared" si="210"/>
        <v>0.25007396843652835</v>
      </c>
      <c r="BV97" s="162">
        <f t="shared" si="210"/>
        <v>0.25007396843652835</v>
      </c>
      <c r="BW97" s="162">
        <f t="shared" si="210"/>
        <v>0.25007396843652835</v>
      </c>
      <c r="BX97" s="162">
        <f t="shared" si="210"/>
        <v>0.25007396843652835</v>
      </c>
      <c r="BY97" s="162">
        <f t="shared" si="210"/>
        <v>0.25007396843652835</v>
      </c>
      <c r="BZ97" s="162">
        <f t="shared" si="210"/>
        <v>0.25007396843652835</v>
      </c>
      <c r="CA97" s="162">
        <f t="shared" si="210"/>
        <v>0.25007396843652835</v>
      </c>
      <c r="CB97" s="162">
        <f t="shared" si="210"/>
        <v>0.25007396843652835</v>
      </c>
      <c r="CC97" s="162">
        <f t="shared" si="210"/>
        <v>0.25007396843652835</v>
      </c>
      <c r="CD97" s="162">
        <f t="shared" si="210"/>
        <v>0.25007396843652835</v>
      </c>
      <c r="CE97" s="162">
        <f t="shared" si="210"/>
        <v>0.25007396843652835</v>
      </c>
      <c r="CF97" s="162">
        <f t="shared" si="210"/>
        <v>0.25007396843652835</v>
      </c>
      <c r="CG97" s="162">
        <f t="shared" si="210"/>
        <v>0.25007396843652835</v>
      </c>
    </row>
    <row r="98" spans="1:86" ht="16.5" customHeight="1">
      <c r="B98" s="162" t="s">
        <v>851</v>
      </c>
      <c r="C98" s="162">
        <f t="shared" ref="C98:AH98" si="211">(C$40/(C$10^2))*((PI()^2)/4)*(C15*100/C$39)*(((SIN(C$33))^2)/(C$5+C$11*C$6)^2)</f>
        <v>0.12503698421826417</v>
      </c>
      <c r="D98" s="162">
        <f t="shared" si="211"/>
        <v>0.12503698421826417</v>
      </c>
      <c r="E98" s="162">
        <f t="shared" si="211"/>
        <v>0.12503698421826417</v>
      </c>
      <c r="F98" s="162">
        <f t="shared" si="211"/>
        <v>0.12503698421826417</v>
      </c>
      <c r="G98" s="162">
        <f t="shared" si="211"/>
        <v>0.12503698421826417</v>
      </c>
      <c r="H98" s="162">
        <f t="shared" si="211"/>
        <v>0.12503698421826417</v>
      </c>
      <c r="I98" s="162">
        <f t="shared" si="211"/>
        <v>0.12503698421826417</v>
      </c>
      <c r="J98" s="162">
        <f t="shared" si="211"/>
        <v>0.12503698421826417</v>
      </c>
      <c r="K98" s="162">
        <f t="shared" si="211"/>
        <v>0.12503698421826417</v>
      </c>
      <c r="L98" s="162">
        <f t="shared" si="211"/>
        <v>0.12503698421826417</v>
      </c>
      <c r="M98" s="162">
        <f t="shared" si="211"/>
        <v>0.12503698421826417</v>
      </c>
      <c r="N98" s="162">
        <f t="shared" si="211"/>
        <v>0.12503698421826417</v>
      </c>
      <c r="O98" s="162">
        <f t="shared" si="211"/>
        <v>0.12503698421826417</v>
      </c>
      <c r="P98" s="162">
        <f t="shared" si="211"/>
        <v>0.12503698421826417</v>
      </c>
      <c r="Q98" s="162">
        <f t="shared" si="211"/>
        <v>0.12503698421826417</v>
      </c>
      <c r="R98" s="162">
        <f t="shared" si="211"/>
        <v>0.12503698421826417</v>
      </c>
      <c r="S98" s="162">
        <f t="shared" si="211"/>
        <v>0.12503698421826417</v>
      </c>
      <c r="T98" s="162">
        <f t="shared" si="211"/>
        <v>0.12503698421826417</v>
      </c>
      <c r="U98" s="162">
        <f t="shared" si="211"/>
        <v>0.12503698421826417</v>
      </c>
      <c r="V98" s="162">
        <f t="shared" si="211"/>
        <v>0.12503698421826417</v>
      </c>
      <c r="W98" s="162">
        <f t="shared" si="211"/>
        <v>0.12503698421826417</v>
      </c>
      <c r="X98" s="162">
        <f t="shared" si="211"/>
        <v>0.12503698421826417</v>
      </c>
      <c r="Y98" s="162">
        <f t="shared" si="211"/>
        <v>0.12503698421826417</v>
      </c>
      <c r="Z98" s="162">
        <f t="shared" si="211"/>
        <v>0.12503698421826417</v>
      </c>
      <c r="AA98" s="162">
        <f t="shared" si="211"/>
        <v>0.12503698421826417</v>
      </c>
      <c r="AB98" s="162">
        <f t="shared" si="211"/>
        <v>0.12503698421826417</v>
      </c>
      <c r="AC98" s="162">
        <f t="shared" si="211"/>
        <v>0.12503698421826417</v>
      </c>
      <c r="AD98" s="162">
        <f t="shared" si="211"/>
        <v>0.12503698421826417</v>
      </c>
      <c r="AE98" s="162">
        <f t="shared" si="211"/>
        <v>0.12503698421826417</v>
      </c>
      <c r="AF98" s="162">
        <f t="shared" si="211"/>
        <v>0.12503698421826417</v>
      </c>
      <c r="AG98" s="162">
        <f t="shared" si="211"/>
        <v>0.12503698421826417</v>
      </c>
      <c r="AH98" s="162">
        <f t="shared" si="211"/>
        <v>0.12503698421826417</v>
      </c>
      <c r="AI98" s="162">
        <f t="shared" ref="AI98:BN98" si="212">(AI$40/(AI$10^2))*((PI()^2)/4)*(AI15*100/AI$39)*(((SIN(AI$33))^2)/(AI$5+AI$11*AI$6)^2)</f>
        <v>0.12503698421826417</v>
      </c>
      <c r="AJ98" s="162">
        <f t="shared" si="212"/>
        <v>0.12503698421826417</v>
      </c>
      <c r="AK98" s="162">
        <f t="shared" si="212"/>
        <v>0.12503698421826417</v>
      </c>
      <c r="AL98" s="162">
        <f t="shared" si="212"/>
        <v>0.12503698421826417</v>
      </c>
      <c r="AM98" s="162">
        <f t="shared" si="212"/>
        <v>0.12503698421826417</v>
      </c>
      <c r="AN98" s="162">
        <f t="shared" si="212"/>
        <v>0.12503698421826417</v>
      </c>
      <c r="AO98" s="162">
        <f t="shared" si="212"/>
        <v>0.12503698421826417</v>
      </c>
      <c r="AP98" s="162">
        <f t="shared" si="212"/>
        <v>0.12503698421826417</v>
      </c>
      <c r="AQ98" s="162">
        <f t="shared" si="212"/>
        <v>0.12503698421826417</v>
      </c>
      <c r="AR98" s="162">
        <f t="shared" si="212"/>
        <v>0.12503698421826417</v>
      </c>
      <c r="AS98" s="162">
        <f t="shared" si="212"/>
        <v>0.12503698421826417</v>
      </c>
      <c r="AT98" s="162">
        <f t="shared" si="212"/>
        <v>0.12503698421826417</v>
      </c>
      <c r="AU98" s="162">
        <f t="shared" si="212"/>
        <v>0.12503698421826417</v>
      </c>
      <c r="AV98" s="162">
        <f t="shared" si="212"/>
        <v>0.12503698421826417</v>
      </c>
      <c r="AW98" s="162">
        <f t="shared" si="212"/>
        <v>0.12503698421826417</v>
      </c>
      <c r="AX98" s="162">
        <f t="shared" si="212"/>
        <v>0.12503698421826417</v>
      </c>
      <c r="AY98" s="162">
        <f t="shared" si="212"/>
        <v>0.12503698421826417</v>
      </c>
      <c r="AZ98" s="162">
        <f t="shared" si="212"/>
        <v>0.12503698421826417</v>
      </c>
      <c r="BA98" s="162">
        <f t="shared" si="212"/>
        <v>0.12503698421826417</v>
      </c>
      <c r="BB98" s="162">
        <f t="shared" si="212"/>
        <v>0.12503698421826417</v>
      </c>
      <c r="BC98" s="162">
        <f t="shared" si="212"/>
        <v>0.12503698421826417</v>
      </c>
      <c r="BD98" s="162">
        <f t="shared" si="212"/>
        <v>0.12503698421826417</v>
      </c>
      <c r="BE98" s="162">
        <f t="shared" si="212"/>
        <v>0.12503698421826417</v>
      </c>
      <c r="BF98" s="162">
        <f t="shared" si="212"/>
        <v>0.12503698421826417</v>
      </c>
      <c r="BG98" s="162">
        <f t="shared" si="212"/>
        <v>0.12503698421826417</v>
      </c>
      <c r="BH98" s="162">
        <f t="shared" si="212"/>
        <v>0.12503698421826417</v>
      </c>
      <c r="BI98" s="162">
        <f t="shared" si="212"/>
        <v>0.12503698421826417</v>
      </c>
      <c r="BJ98" s="162">
        <f t="shared" si="212"/>
        <v>0.12503698421826417</v>
      </c>
      <c r="BK98" s="162">
        <f t="shared" si="212"/>
        <v>0.12503698421826417</v>
      </c>
      <c r="BL98" s="162">
        <f t="shared" si="212"/>
        <v>0.12503698421826417</v>
      </c>
      <c r="BM98" s="162">
        <f t="shared" si="212"/>
        <v>0.12503698421826417</v>
      </c>
      <c r="BN98" s="162">
        <f t="shared" si="212"/>
        <v>0.12503698421826417</v>
      </c>
      <c r="BO98" s="162">
        <f t="shared" ref="BO98:CG98" si="213">(BO$40/(BO$10^2))*((PI()^2)/4)*(BO15*100/BO$39)*(((SIN(BO$33))^2)/(BO$5+BO$11*BO$6)^2)</f>
        <v>0.12503698421826417</v>
      </c>
      <c r="BP98" s="162">
        <f t="shared" si="213"/>
        <v>0.12503698421826417</v>
      </c>
      <c r="BQ98" s="162">
        <f t="shared" si="213"/>
        <v>0.12503698421826417</v>
      </c>
      <c r="BR98" s="162">
        <f t="shared" si="213"/>
        <v>0.12503698421826417</v>
      </c>
      <c r="BS98" s="162">
        <f t="shared" si="213"/>
        <v>0.12503698421826417</v>
      </c>
      <c r="BT98" s="162">
        <f t="shared" si="213"/>
        <v>0.12503698421826417</v>
      </c>
      <c r="BU98" s="162">
        <f t="shared" si="213"/>
        <v>0.12503698421826417</v>
      </c>
      <c r="BV98" s="162">
        <f t="shared" si="213"/>
        <v>0.12503698421826417</v>
      </c>
      <c r="BW98" s="162">
        <f t="shared" si="213"/>
        <v>0.12503698421826417</v>
      </c>
      <c r="BX98" s="162">
        <f t="shared" si="213"/>
        <v>0.12503698421826417</v>
      </c>
      <c r="BY98" s="162">
        <f t="shared" si="213"/>
        <v>0.12503698421826417</v>
      </c>
      <c r="BZ98" s="162">
        <f t="shared" si="213"/>
        <v>0.12503698421826417</v>
      </c>
      <c r="CA98" s="162">
        <f t="shared" si="213"/>
        <v>0.12503698421826417</v>
      </c>
      <c r="CB98" s="162">
        <f t="shared" si="213"/>
        <v>0.12503698421826417</v>
      </c>
      <c r="CC98" s="162">
        <f t="shared" si="213"/>
        <v>0.12503698421826417</v>
      </c>
      <c r="CD98" s="162">
        <f t="shared" si="213"/>
        <v>0.12503698421826417</v>
      </c>
      <c r="CE98" s="162">
        <f t="shared" si="213"/>
        <v>0.12503698421826417</v>
      </c>
      <c r="CF98" s="162">
        <f t="shared" si="213"/>
        <v>0.12503698421826417</v>
      </c>
      <c r="CG98" s="162">
        <f t="shared" si="213"/>
        <v>0.12503698421826417</v>
      </c>
    </row>
    <row r="99" spans="1:86" ht="16.5" customHeight="1">
      <c r="B99" s="162" t="s">
        <v>852</v>
      </c>
      <c r="C99" s="162">
        <f t="shared" ref="C99:AH99" si="214">1/((1+(C$23*(1-(1/(C$25^2)))))^2+(C95*(C$25-(1/C$25)))^2)^0.5</f>
        <v>2.1818182382492675E-8</v>
      </c>
      <c r="D99" s="162">
        <f t="shared" si="214"/>
        <v>1.2881887010930794E-3</v>
      </c>
      <c r="E99" s="162">
        <f t="shared" si="214"/>
        <v>3.2927886442313385E-3</v>
      </c>
      <c r="F99" s="162">
        <f t="shared" si="214"/>
        <v>6.2360266346062031E-3</v>
      </c>
      <c r="G99" s="162">
        <f t="shared" si="214"/>
        <v>1.0137396704165301E-2</v>
      </c>
      <c r="H99" s="162">
        <f t="shared" si="214"/>
        <v>1.5023007895528954E-2</v>
      </c>
      <c r="I99" s="162">
        <f t="shared" si="214"/>
        <v>2.0925987778792478E-2</v>
      </c>
      <c r="J99" s="162">
        <f t="shared" si="214"/>
        <v>2.7887001276361342E-2</v>
      </c>
      <c r="K99" s="162">
        <f t="shared" si="214"/>
        <v>3.5954897539339017E-2</v>
      </c>
      <c r="L99" s="162">
        <f t="shared" si="214"/>
        <v>4.5187500817546217E-2</v>
      </c>
      <c r="M99" s="162">
        <f t="shared" si="214"/>
        <v>5.5652564835327163E-2</v>
      </c>
      <c r="N99" s="162">
        <f t="shared" si="214"/>
        <v>6.7428914152122668E-2</v>
      </c>
      <c r="O99" s="162">
        <f t="shared" si="214"/>
        <v>8.0607800331455051E-2</v>
      </c>
      <c r="P99" s="162">
        <f t="shared" si="214"/>
        <v>9.5294505365001059E-2</v>
      </c>
      <c r="Q99" s="162">
        <f t="shared" si="214"/>
        <v>0.11161022945863958</v>
      </c>
      <c r="R99" s="162">
        <f t="shared" si="214"/>
        <v>0.12969430450041747</v>
      </c>
      <c r="S99" s="162">
        <f t="shared" si="214"/>
        <v>0.14970677740192706</v>
      </c>
      <c r="T99" s="162">
        <f t="shared" si="214"/>
        <v>0.17183140745740369</v>
      </c>
      <c r="U99" s="162">
        <f t="shared" si="214"/>
        <v>0.19627911619524036</v>
      </c>
      <c r="V99" s="162">
        <f t="shared" si="214"/>
        <v>0.22329191235764032</v>
      </c>
      <c r="W99" s="162">
        <f t="shared" si="214"/>
        <v>0.25314728109657647</v>
      </c>
      <c r="X99" s="162">
        <f t="shared" si="214"/>
        <v>0.28616296286546417</v>
      </c>
      <c r="Y99" s="162">
        <f t="shared" si="214"/>
        <v>0.32270193381356715</v>
      </c>
      <c r="Z99" s="162">
        <f t="shared" si="214"/>
        <v>0.36317720380577329</v>
      </c>
      <c r="AA99" s="162">
        <f t="shared" si="214"/>
        <v>0.40805572039200749</v>
      </c>
      <c r="AB99" s="162">
        <f t="shared" si="214"/>
        <v>0.45786013065995684</v>
      </c>
      <c r="AC99" s="162">
        <f t="shared" si="214"/>
        <v>0.51316629609248432</v>
      </c>
      <c r="AD99" s="162">
        <f t="shared" si="214"/>
        <v>0.57459312657902117</v>
      </c>
      <c r="AE99" s="162">
        <f t="shared" si="214"/>
        <v>0.64277932160959372</v>
      </c>
      <c r="AF99" s="162">
        <f t="shared" si="214"/>
        <v>0.71833884691119299</v>
      </c>
      <c r="AG99" s="162">
        <f t="shared" si="214"/>
        <v>0.80178354597124124</v>
      </c>
      <c r="AH99" s="162">
        <f t="shared" si="214"/>
        <v>0.89339801137383779</v>
      </c>
      <c r="AI99" s="162">
        <f t="shared" ref="AI99:BN99" si="215">1/((1+(AI$23*(1-(1/(AI$25^2)))))^2+(AI95*(AI$25-(1/AI$25)))^2)^0.5</f>
        <v>0.99305115057053139</v>
      </c>
      <c r="AJ99" s="162">
        <f t="shared" si="215"/>
        <v>1.0999361156437204</v>
      </c>
      <c r="AK99" s="162">
        <f t="shared" si="215"/>
        <v>1.2122544795938535</v>
      </c>
      <c r="AL99" s="162">
        <f t="shared" si="215"/>
        <v>1.3269116345880969</v>
      </c>
      <c r="AM99" s="162">
        <f t="shared" si="215"/>
        <v>1.4393666612797296</v>
      </c>
      <c r="AN99" s="162">
        <f t="shared" si="215"/>
        <v>1.5438437181055409</v>
      </c>
      <c r="AO99" s="162">
        <f t="shared" si="215"/>
        <v>1.634075089047597</v>
      </c>
      <c r="AP99" s="162">
        <f t="shared" si="215"/>
        <v>1.6593385553953328</v>
      </c>
      <c r="AQ99" s="162">
        <f t="shared" si="215"/>
        <v>1.7224809596753172</v>
      </c>
      <c r="AR99" s="162">
        <f t="shared" si="215"/>
        <v>1.7617858065342098</v>
      </c>
      <c r="AS99" s="162">
        <f t="shared" si="215"/>
        <v>1.7775007606476596</v>
      </c>
      <c r="AT99" s="162">
        <f t="shared" si="215"/>
        <v>1.7723770936820213</v>
      </c>
      <c r="AU99" s="162">
        <f t="shared" si="215"/>
        <v>1.7506688032071991</v>
      </c>
      <c r="AV99" s="162">
        <f t="shared" si="215"/>
        <v>1.7170352094878036</v>
      </c>
      <c r="AW99" s="162">
        <f t="shared" si="215"/>
        <v>1.6757354437264311</v>
      </c>
      <c r="AX99" s="162">
        <f t="shared" si="215"/>
        <v>1.6302254633798372</v>
      </c>
      <c r="AY99" s="162">
        <f t="shared" si="215"/>
        <v>1.5830741957458498</v>
      </c>
      <c r="AZ99" s="162">
        <f t="shared" si="215"/>
        <v>1.5360596375513149</v>
      </c>
      <c r="BA99" s="162">
        <f t="shared" si="215"/>
        <v>1.4903324554146884</v>
      </c>
      <c r="BB99" s="162">
        <f t="shared" si="215"/>
        <v>1.446581713956461</v>
      </c>
      <c r="BC99" s="162">
        <f t="shared" si="215"/>
        <v>1.4051745142564538</v>
      </c>
      <c r="BD99" s="162">
        <f t="shared" si="215"/>
        <v>1.3662628198799427</v>
      </c>
      <c r="BE99" s="162">
        <f t="shared" si="215"/>
        <v>1.329860503810347</v>
      </c>
      <c r="BF99" s="162">
        <f t="shared" si="215"/>
        <v>1.2958967576600455</v>
      </c>
      <c r="BG99" s="162">
        <f t="shared" si="215"/>
        <v>1.2642520414530216</v>
      </c>
      <c r="BH99" s="162">
        <f t="shared" si="215"/>
        <v>1.2347816882910965</v>
      </c>
      <c r="BI99" s="162">
        <f t="shared" si="215"/>
        <v>1.2073310266874606</v>
      </c>
      <c r="BJ99" s="162">
        <f t="shared" si="215"/>
        <v>1.1817447922027622</v>
      </c>
      <c r="BK99" s="162">
        <f t="shared" si="215"/>
        <v>1.1578727557635651</v>
      </c>
      <c r="BL99" s="162">
        <f t="shared" si="215"/>
        <v>1.1355728820271946</v>
      </c>
      <c r="BM99" s="162">
        <f t="shared" si="215"/>
        <v>1.1147129003379874</v>
      </c>
      <c r="BN99" s="162">
        <f t="shared" si="215"/>
        <v>1.0951708751382412</v>
      </c>
      <c r="BO99" s="162">
        <f t="shared" ref="BO99:CG99" si="216">1/((1+(BO$23*(1-(1/(BO$25^2)))))^2+(BO95*(BO$25-(1/BO$25)))^2)^0.5</f>
        <v>1.0768351626045636</v>
      </c>
      <c r="BP99" s="162">
        <f t="shared" si="216"/>
        <v>1.0596040061373857</v>
      </c>
      <c r="BQ99" s="162">
        <f t="shared" si="216"/>
        <v>1.0433849339971508</v>
      </c>
      <c r="BR99" s="162">
        <f t="shared" si="216"/>
        <v>1.0280940632015909</v>
      </c>
      <c r="BS99" s="162">
        <f t="shared" si="216"/>
        <v>1.0136553747908899</v>
      </c>
      <c r="BT99" s="162">
        <f t="shared" si="216"/>
        <v>1</v>
      </c>
      <c r="BU99" s="162">
        <f t="shared" si="216"/>
        <v>0.92333211953700123</v>
      </c>
      <c r="BV99" s="162">
        <f t="shared" si="216"/>
        <v>0.86696105834124759</v>
      </c>
      <c r="BW99" s="162">
        <f t="shared" si="216"/>
        <v>0.82318248090522994</v>
      </c>
      <c r="BX99" s="162">
        <f t="shared" si="216"/>
        <v>0.78763759103387965</v>
      </c>
      <c r="BY99" s="162">
        <f t="shared" si="216"/>
        <v>0.75772129315258452</v>
      </c>
      <c r="BZ99" s="162">
        <f t="shared" si="216"/>
        <v>0.73180269010084442</v>
      </c>
      <c r="CA99" s="162">
        <f t="shared" si="216"/>
        <v>0.70882081816335396</v>
      </c>
      <c r="CB99" s="162">
        <f t="shared" si="216"/>
        <v>0.68806311613752202</v>
      </c>
      <c r="CC99" s="162">
        <f t="shared" si="216"/>
        <v>0.66903798029635431</v>
      </c>
      <c r="CD99" s="162">
        <f t="shared" si="216"/>
        <v>0.65139830863734394</v>
      </c>
      <c r="CE99" s="162">
        <f t="shared" si="216"/>
        <v>0.63489396113171548</v>
      </c>
      <c r="CF99" s="162">
        <f t="shared" si="216"/>
        <v>0.61934128252039466</v>
      </c>
      <c r="CG99" s="162">
        <f t="shared" si="216"/>
        <v>0.60460304808045218</v>
      </c>
    </row>
    <row r="100" spans="1:86" ht="16.5" customHeight="1">
      <c r="B100" s="162" t="s">
        <v>853</v>
      </c>
      <c r="C100" s="162">
        <f t="shared" ref="C100:AH100" si="217">1/((1+(C$23*(1-(1/(C$25^2)))))^2+(C96*(C$25-(1/C$25)))^2)^0.5</f>
        <v>2.1818182439325691E-8</v>
      </c>
      <c r="D100" s="162">
        <f t="shared" si="217"/>
        <v>1.288386932838223E-3</v>
      </c>
      <c r="E100" s="162">
        <f t="shared" si="217"/>
        <v>3.294085024357045E-3</v>
      </c>
      <c r="F100" s="162">
        <f t="shared" si="217"/>
        <v>6.2406824378399874E-3</v>
      </c>
      <c r="G100" s="162">
        <f t="shared" si="217"/>
        <v>1.0149721903320651E-2</v>
      </c>
      <c r="H100" s="162">
        <f t="shared" si="217"/>
        <v>1.5050135523851146E-2</v>
      </c>
      <c r="I100" s="162">
        <f t="shared" si="217"/>
        <v>2.0978762930202923E-2</v>
      </c>
      <c r="J100" s="162">
        <f t="shared" si="217"/>
        <v>2.7981024024538607E-2</v>
      </c>
      <c r="K100" s="162">
        <f t="shared" si="217"/>
        <v>3.6111767932241016E-2</v>
      </c>
      <c r="L100" s="162">
        <f t="shared" si="217"/>
        <v>4.5436326096875805E-2</v>
      </c>
      <c r="M100" s="162">
        <f t="shared" si="217"/>
        <v>5.6031805097773307E-2</v>
      </c>
      <c r="N100" s="162">
        <f t="shared" si="217"/>
        <v>6.7988664131966317E-2</v>
      </c>
      <c r="O100" s="162">
        <f t="shared" si="217"/>
        <v>8.1412633661487821E-2</v>
      </c>
      <c r="P100" s="162">
        <f t="shared" si="217"/>
        <v>9.6427046070027292E-2</v>
      </c>
      <c r="Q100" s="162">
        <f t="shared" si="217"/>
        <v>0.11317566700622338</v>
      </c>
      <c r="R100" s="162">
        <f t="shared" si="217"/>
        <v>0.13182613823889974</v>
      </c>
      <c r="S100" s="162">
        <f t="shared" si="217"/>
        <v>0.15257417021874703</v>
      </c>
      <c r="T100" s="162">
        <f t="shared" si="217"/>
        <v>0.17564865601082361</v>
      </c>
      <c r="U100" s="162">
        <f t="shared" si="217"/>
        <v>0.20131791842768321</v>
      </c>
      <c r="V100" s="162">
        <f t="shared" si="217"/>
        <v>0.22989734881129481</v>
      </c>
      <c r="W100" s="162">
        <f t="shared" si="217"/>
        <v>0.26175874677386279</v>
      </c>
      <c r="X100" s="162">
        <f t="shared" si="217"/>
        <v>0.29734171889440625</v>
      </c>
      <c r="Y100" s="162">
        <f t="shared" si="217"/>
        <v>0.33716752587048926</v>
      </c>
      <c r="Z100" s="162">
        <f t="shared" si="217"/>
        <v>0.38185574987982202</v>
      </c>
      <c r="AA100" s="162">
        <f t="shared" si="217"/>
        <v>0.43214402159173204</v>
      </c>
      <c r="AB100" s="162">
        <f t="shared" si="217"/>
        <v>0.48891067008148414</v>
      </c>
      <c r="AC100" s="162">
        <f t="shared" si="217"/>
        <v>0.55319928820362751</v>
      </c>
      <c r="AD100" s="162">
        <f t="shared" si="217"/>
        <v>0.62624236450510695</v>
      </c>
      <c r="AE100" s="162">
        <f t="shared" si="217"/>
        <v>0.70947743818119824</v>
      </c>
      <c r="AF100" s="162">
        <f t="shared" si="217"/>
        <v>0.80454211618310545</v>
      </c>
      <c r="AG100" s="162">
        <f t="shared" si="217"/>
        <v>0.91322115987396435</v>
      </c>
      <c r="AH100" s="162">
        <f t="shared" si="217"/>
        <v>1.0372960664446651</v>
      </c>
      <c r="AI100" s="162">
        <f t="shared" ref="AI100:BN100" si="218">1/((1+(AI$23*(1-(1/(AI$25^2)))))^2+(AI96*(AI$25-(1/AI$25)))^2)^0.5</f>
        <v>1.1782121374140364</v>
      </c>
      <c r="AJ100" s="162">
        <f t="shared" si="218"/>
        <v>1.3364349780829283</v>
      </c>
      <c r="AK100" s="162">
        <f t="shared" si="218"/>
        <v>1.510352267256434</v>
      </c>
      <c r="AL100" s="162">
        <f t="shared" si="218"/>
        <v>1.6946933621753784</v>
      </c>
      <c r="AM100" s="162">
        <f t="shared" si="218"/>
        <v>1.8788872930725189</v>
      </c>
      <c r="AN100" s="162">
        <f t="shared" si="218"/>
        <v>2.0466553898913222</v>
      </c>
      <c r="AO100" s="162">
        <f t="shared" si="218"/>
        <v>2.1787661726775807</v>
      </c>
      <c r="AP100" s="162">
        <f t="shared" si="218"/>
        <v>2.2111254628172499</v>
      </c>
      <c r="AQ100" s="162">
        <f t="shared" si="218"/>
        <v>2.2733341619235312</v>
      </c>
      <c r="AR100" s="162">
        <f t="shared" si="218"/>
        <v>2.279475815657614</v>
      </c>
      <c r="AS100" s="162">
        <f t="shared" si="218"/>
        <v>2.2390917769355316</v>
      </c>
      <c r="AT100" s="162">
        <f t="shared" si="218"/>
        <v>2.1671764851446018</v>
      </c>
      <c r="AU100" s="162">
        <f t="shared" si="218"/>
        <v>2.0782664827564981</v>
      </c>
      <c r="AV100" s="162">
        <f t="shared" si="218"/>
        <v>1.9833491584035785</v>
      </c>
      <c r="AW100" s="162">
        <f t="shared" si="218"/>
        <v>1.8894370266624958</v>
      </c>
      <c r="AX100" s="162">
        <f t="shared" si="218"/>
        <v>1.8004036122547353</v>
      </c>
      <c r="AY100" s="162">
        <f t="shared" si="218"/>
        <v>1.7180362951962087</v>
      </c>
      <c r="AZ100" s="162">
        <f t="shared" si="218"/>
        <v>1.6428800535467103</v>
      </c>
      <c r="BA100" s="162">
        <f t="shared" si="218"/>
        <v>1.5748033751254673</v>
      </c>
      <c r="BB100" s="162">
        <f t="shared" si="218"/>
        <v>1.5133428875947135</v>
      </c>
      <c r="BC100" s="162">
        <f t="shared" si="218"/>
        <v>1.4579001918992971</v>
      </c>
      <c r="BD100" s="162">
        <f t="shared" si="218"/>
        <v>1.4078482374057373</v>
      </c>
      <c r="BE100" s="162">
        <f t="shared" si="218"/>
        <v>1.3625851213657623</v>
      </c>
      <c r="BF100" s="162">
        <f t="shared" si="218"/>
        <v>1.3215584444011077</v>
      </c>
      <c r="BG100" s="162">
        <f t="shared" si="218"/>
        <v>1.2842737446429706</v>
      </c>
      <c r="BH100" s="162">
        <f t="shared" si="218"/>
        <v>1.2502946995621886</v>
      </c>
      <c r="BI100" s="162">
        <f t="shared" si="218"/>
        <v>1.2192393728204127</v>
      </c>
      <c r="BJ100" s="162">
        <f t="shared" si="218"/>
        <v>1.1907748312749207</v>
      </c>
      <c r="BK100" s="162">
        <f t="shared" si="218"/>
        <v>1.1646113567059417</v>
      </c>
      <c r="BL100" s="162">
        <f t="shared" si="218"/>
        <v>1.140496864502047</v>
      </c>
      <c r="BM100" s="162">
        <f t="shared" si="218"/>
        <v>1.1182118061628268</v>
      </c>
      <c r="BN100" s="162">
        <f t="shared" si="218"/>
        <v>1.0975646529978911</v>
      </c>
      <c r="BO100" s="162">
        <f t="shared" ref="BO100:CG100" si="219">1/((1+(BO$23*(1-(1/(BO$25^2)))))^2+(BO96*(BO$25-(1/BO$25)))^2)^0.5</f>
        <v>1.0783879659759421</v>
      </c>
      <c r="BP100" s="162">
        <f t="shared" si="219"/>
        <v>1.0605350123336386</v>
      </c>
      <c r="BQ100" s="162">
        <f t="shared" si="219"/>
        <v>1.0438768713069297</v>
      </c>
      <c r="BR100" s="162">
        <f t="shared" si="219"/>
        <v>1.0282999668555644</v>
      </c>
      <c r="BS100" s="162">
        <f t="shared" si="219"/>
        <v>1.0137039676399553</v>
      </c>
      <c r="BT100" s="162">
        <f t="shared" si="219"/>
        <v>1</v>
      </c>
      <c r="BU100" s="162">
        <f t="shared" si="219"/>
        <v>0.9248775837731108</v>
      </c>
      <c r="BV100" s="162">
        <f t="shared" si="219"/>
        <v>0.87171013030791378</v>
      </c>
      <c r="BW100" s="162">
        <f t="shared" si="219"/>
        <v>0.8317679840872253</v>
      </c>
      <c r="BX100" s="162">
        <f t="shared" si="219"/>
        <v>0.80029976910742162</v>
      </c>
      <c r="BY100" s="162">
        <f t="shared" si="219"/>
        <v>0.77452535688315916</v>
      </c>
      <c r="BZ100" s="162">
        <f t="shared" si="219"/>
        <v>0.75272386488392695</v>
      </c>
      <c r="CA100" s="162">
        <f t="shared" si="219"/>
        <v>0.73378169196191756</v>
      </c>
      <c r="CB100" s="162">
        <f t="shared" si="219"/>
        <v>0.71695212083513837</v>
      </c>
      <c r="CC100" s="162">
        <f t="shared" si="219"/>
        <v>0.70171979637125559</v>
      </c>
      <c r="CD100" s="162">
        <f t="shared" si="219"/>
        <v>0.68772053775691788</v>
      </c>
      <c r="CE100" s="162">
        <f t="shared" si="219"/>
        <v>0.67469191662288786</v>
      </c>
      <c r="CF100" s="162">
        <f t="shared" si="219"/>
        <v>0.6624417207487634</v>
      </c>
      <c r="CG100" s="162">
        <f t="shared" si="219"/>
        <v>0.65082722151455907</v>
      </c>
    </row>
    <row r="101" spans="1:86" ht="16.5" customHeight="1">
      <c r="B101" s="162" t="s">
        <v>854</v>
      </c>
      <c r="C101" s="162">
        <f t="shared" ref="C101:AH101" si="220">1/((1+(C$23*(1-(1/(C$25^2)))))^2+(C97*(C$25-(1/C$25)))^2)^0.5</f>
        <v>2.1818182479920704E-8</v>
      </c>
      <c r="D101" s="162">
        <f t="shared" si="220"/>
        <v>1.2885285829841006E-3</v>
      </c>
      <c r="E101" s="162">
        <f t="shared" si="220"/>
        <v>3.2950119481721194E-3</v>
      </c>
      <c r="F101" s="162">
        <f t="shared" si="220"/>
        <v>6.2440144033623097E-3</v>
      </c>
      <c r="G101" s="162">
        <f t="shared" si="220"/>
        <v>1.0158553191859945E-2</v>
      </c>
      <c r="H101" s="162">
        <f t="shared" si="220"/>
        <v>1.5069602622699301E-2</v>
      </c>
      <c r="I101" s="162">
        <f t="shared" si="220"/>
        <v>2.1016704876682134E-2</v>
      </c>
      <c r="J101" s="162">
        <f t="shared" si="220"/>
        <v>2.8048768388947723E-2</v>
      </c>
      <c r="K101" s="162">
        <f t="shared" si="220"/>
        <v>3.6225083729408081E-2</v>
      </c>
      <c r="L101" s="162">
        <f t="shared" si="220"/>
        <v>4.5616596356075428E-2</v>
      </c>
      <c r="M101" s="162">
        <f t="shared" si="220"/>
        <v>5.6307487501055131E-2</v>
      </c>
      <c r="N101" s="162">
        <f t="shared" si="220"/>
        <v>6.83971296301875E-2</v>
      </c>
      <c r="O101" s="162">
        <f t="shared" si="220"/>
        <v>8.2002502564154742E-2</v>
      </c>
      <c r="P101" s="162">
        <f t="shared" si="220"/>
        <v>9.7261182059277002E-2</v>
      </c>
      <c r="Q101" s="162">
        <f t="shared" si="220"/>
        <v>0.11433504662530793</v>
      </c>
      <c r="R101" s="162">
        <f t="shared" si="220"/>
        <v>0.13341489367348136</v>
      </c>
      <c r="S101" s="162">
        <f t="shared" si="220"/>
        <v>0.15472621704054584</v>
      </c>
      <c r="T101" s="162">
        <f t="shared" si="220"/>
        <v>0.17853648058534624</v>
      </c>
      <c r="U101" s="162">
        <f t="shared" si="220"/>
        <v>0.20516433548851423</v>
      </c>
      <c r="V101" s="162">
        <f t="shared" si="220"/>
        <v>0.23499138428974772</v>
      </c>
      <c r="W101" s="162">
        <f t="shared" si="220"/>
        <v>0.26847730985236462</v>
      </c>
      <c r="X101" s="162">
        <f t="shared" si="220"/>
        <v>0.306179486691594</v>
      </c>
      <c r="Y101" s="162">
        <f t="shared" si="220"/>
        <v>0.34877860915110864</v>
      </c>
      <c r="Z101" s="162">
        <f t="shared" si="220"/>
        <v>0.39711245078414559</v>
      </c>
      <c r="AA101" s="162">
        <f t="shared" si="220"/>
        <v>0.45222066752110879</v>
      </c>
      <c r="AB101" s="162">
        <f t="shared" si="220"/>
        <v>0.51540462938092035</v>
      </c>
      <c r="AC101" s="162">
        <f t="shared" si="220"/>
        <v>0.58830762840615802</v>
      </c>
      <c r="AD101" s="162">
        <f t="shared" si="220"/>
        <v>0.67302232488870162</v>
      </c>
      <c r="AE101" s="162">
        <f t="shared" si="220"/>
        <v>0.77223333712321429</v>
      </c>
      <c r="AF101" s="162">
        <f t="shared" si="220"/>
        <v>0.88940146434470002</v>
      </c>
      <c r="AG101" s="162">
        <f t="shared" si="220"/>
        <v>1.0289864824494519</v>
      </c>
      <c r="AH101" s="162">
        <f t="shared" si="220"/>
        <v>1.1966724314094623</v>
      </c>
      <c r="AI101" s="162">
        <f t="shared" ref="AI101:BN101" si="221">1/((1+(AI$23*(1-(1/(AI$25^2)))))^2+(AI97*(AI$25-(1/AI$25)))^2)^0.5</f>
        <v>1.3994632574174966</v>
      </c>
      <c r="AJ101" s="162">
        <f t="shared" si="221"/>
        <v>1.6452628496952004</v>
      </c>
      <c r="AK101" s="162">
        <f t="shared" si="221"/>
        <v>1.9409529095430127</v>
      </c>
      <c r="AL101" s="162">
        <f t="shared" si="221"/>
        <v>2.2868567113323426</v>
      </c>
      <c r="AM101" s="162">
        <f t="shared" si="221"/>
        <v>2.6646897391488631</v>
      </c>
      <c r="AN101" s="162">
        <f t="shared" si="221"/>
        <v>3.0210297534050929</v>
      </c>
      <c r="AO101" s="162">
        <f t="shared" si="221"/>
        <v>3.2681466330811508</v>
      </c>
      <c r="AP101" s="162">
        <f t="shared" si="221"/>
        <v>3.3110252196145509</v>
      </c>
      <c r="AQ101" s="162">
        <f t="shared" si="221"/>
        <v>3.3156909367168921</v>
      </c>
      <c r="AR101" s="162">
        <f t="shared" si="221"/>
        <v>3.1654851290358881</v>
      </c>
      <c r="AS101" s="162">
        <f t="shared" si="221"/>
        <v>2.9379147301897293</v>
      </c>
      <c r="AT101" s="162">
        <f t="shared" si="221"/>
        <v>2.6956469422014</v>
      </c>
      <c r="AU101" s="162">
        <f t="shared" si="221"/>
        <v>2.4705166769883409</v>
      </c>
      <c r="AV101" s="162">
        <f t="shared" si="221"/>
        <v>2.2731978578150067</v>
      </c>
      <c r="AW101" s="162">
        <f t="shared" si="221"/>
        <v>2.1043137440172504</v>
      </c>
      <c r="AX101" s="162">
        <f t="shared" si="221"/>
        <v>1.9607997258777863</v>
      </c>
      <c r="AY101" s="162">
        <f t="shared" si="221"/>
        <v>1.8387414801727384</v>
      </c>
      <c r="AZ101" s="162">
        <f t="shared" si="221"/>
        <v>1.7344475901781757</v>
      </c>
      <c r="BA101" s="162">
        <f t="shared" si="221"/>
        <v>1.6447671953798582</v>
      </c>
      <c r="BB101" s="162">
        <f t="shared" si="221"/>
        <v>1.5671176092543675</v>
      </c>
      <c r="BC101" s="162">
        <f t="shared" si="221"/>
        <v>1.4994159312519777</v>
      </c>
      <c r="BD101" s="162">
        <f t="shared" si="221"/>
        <v>1.4399901776491046</v>
      </c>
      <c r="BE101" s="162">
        <f t="shared" si="221"/>
        <v>1.3874966034904137</v>
      </c>
      <c r="BF101" s="162">
        <f t="shared" si="221"/>
        <v>1.3408506390314692</v>
      </c>
      <c r="BG101" s="162">
        <f t="shared" si="221"/>
        <v>1.2991717638123261</v>
      </c>
      <c r="BH101" s="162">
        <f t="shared" si="221"/>
        <v>1.2617403838170929</v>
      </c>
      <c r="BI101" s="162">
        <f t="shared" si="221"/>
        <v>1.2279643637936826</v>
      </c>
      <c r="BJ101" s="162">
        <f t="shared" si="221"/>
        <v>1.1973530893088902</v>
      </c>
      <c r="BK101" s="162">
        <f t="shared" si="221"/>
        <v>1.1694973196907215</v>
      </c>
      <c r="BL101" s="162">
        <f t="shared" si="221"/>
        <v>1.1440534718277999</v>
      </c>
      <c r="BM101" s="162">
        <f t="shared" si="221"/>
        <v>1.1207312935183062</v>
      </c>
      <c r="BN101" s="162">
        <f t="shared" si="221"/>
        <v>1.0992841366401696</v>
      </c>
      <c r="BO101" s="162">
        <f t="shared" ref="BO101:CG101" si="222">1/((1+(BO$23*(1-(1/(BO$25^2)))))^2+(BO97*(BO$25-(1/BO$25)))^2)^0.5</f>
        <v>1.0795012330280616</v>
      </c>
      <c r="BP101" s="162">
        <f t="shared" si="222"/>
        <v>1.0612015212514392</v>
      </c>
      <c r="BQ101" s="162">
        <f t="shared" si="222"/>
        <v>1.0442286814174895</v>
      </c>
      <c r="BR101" s="162">
        <f t="shared" si="222"/>
        <v>1.028447116660097</v>
      </c>
      <c r="BS101" s="162">
        <f t="shared" si="222"/>
        <v>1.0137386810967635</v>
      </c>
      <c r="BT101" s="162">
        <f t="shared" si="222"/>
        <v>1</v>
      </c>
      <c r="BU101" s="162">
        <f t="shared" si="222"/>
        <v>0.9259862501827153</v>
      </c>
      <c r="BV101" s="162">
        <f t="shared" si="222"/>
        <v>0.87515050886117685</v>
      </c>
      <c r="BW101" s="162">
        <f t="shared" si="222"/>
        <v>0.83806761170528898</v>
      </c>
      <c r="BX101" s="162">
        <f t="shared" si="222"/>
        <v>0.80972746125639039</v>
      </c>
      <c r="BY101" s="162">
        <f t="shared" si="222"/>
        <v>0.78723671009002483</v>
      </c>
      <c r="BZ101" s="162">
        <f t="shared" si="222"/>
        <v>0.76881622259455229</v>
      </c>
      <c r="CA101" s="162">
        <f t="shared" si="222"/>
        <v>0.75331704608022088</v>
      </c>
      <c r="CB101" s="162">
        <f t="shared" si="222"/>
        <v>0.73996753261833481</v>
      </c>
      <c r="CC101" s="162">
        <f t="shared" si="222"/>
        <v>0.72823262046716475</v>
      </c>
      <c r="CD101" s="162">
        <f t="shared" si="222"/>
        <v>0.71773138144407611</v>
      </c>
      <c r="CE101" s="162">
        <f t="shared" si="222"/>
        <v>0.70818658508753285</v>
      </c>
      <c r="CF101" s="162">
        <f t="shared" si="222"/>
        <v>0.69939270288926503</v>
      </c>
      <c r="CG101" s="162">
        <f t="shared" si="222"/>
        <v>0.69119496620994014</v>
      </c>
    </row>
    <row r="102" spans="1:86" ht="16.5" customHeight="1">
      <c r="B102" s="162" t="s">
        <v>855</v>
      </c>
      <c r="C102" s="162">
        <f t="shared" ref="C102:AH102" si="223">1/((1+(C$23*(1-(1/(C$25^2)))))^2+(C98*(C$25-(1/C$25)))^2)^0.5</f>
        <v>2.1818182504277716E-8</v>
      </c>
      <c r="D102" s="162">
        <f t="shared" si="223"/>
        <v>1.2886135955008332E-3</v>
      </c>
      <c r="E102" s="162">
        <f t="shared" si="223"/>
        <v>3.2955684781936466E-3</v>
      </c>
      <c r="F102" s="162">
        <f t="shared" si="223"/>
        <v>6.2460161462191653E-3</v>
      </c>
      <c r="G102" s="162">
        <f t="shared" si="223"/>
        <v>1.0163863042965088E-2</v>
      </c>
      <c r="H102" s="162">
        <f t="shared" si="223"/>
        <v>1.5081319204381372E-2</v>
      </c>
      <c r="I102" s="162">
        <f t="shared" si="223"/>
        <v>2.1039569098202388E-2</v>
      </c>
      <c r="J102" s="162">
        <f t="shared" si="223"/>
        <v>2.8089651953662267E-2</v>
      </c>
      <c r="K102" s="162">
        <f t="shared" si="223"/>
        <v>3.6293587388214997E-2</v>
      </c>
      <c r="L102" s="162">
        <f t="shared" si="223"/>
        <v>4.5725793918706494E-2</v>
      </c>
      <c r="M102" s="162">
        <f t="shared" si="223"/>
        <v>5.6474863038622196E-2</v>
      </c>
      <c r="N102" s="162">
        <f t="shared" si="223"/>
        <v>6.8645771225195648E-2</v>
      </c>
      <c r="O102" s="162">
        <f t="shared" si="223"/>
        <v>8.2362638290634962E-2</v>
      </c>
      <c r="P102" s="162">
        <f t="shared" si="223"/>
        <v>9.777217543465197E-2</v>
      </c>
      <c r="Q102" s="162">
        <f t="shared" si="223"/>
        <v>0.11504801381981522</v>
      </c>
      <c r="R102" s="162">
        <f t="shared" si="223"/>
        <v>0.1343961697659459</v>
      </c>
      <c r="S102" s="162">
        <f t="shared" si="223"/>
        <v>0.15606199356055589</v>
      </c>
      <c r="T102" s="162">
        <f t="shared" si="223"/>
        <v>0.18033907712619268</v>
      </c>
      <c r="U102" s="162">
        <f t="shared" si="223"/>
        <v>0.20758077920643064</v>
      </c>
      <c r="V102" s="162">
        <f t="shared" si="223"/>
        <v>0.23821529291505833</v>
      </c>
      <c r="W102" s="162">
        <f t="shared" si="223"/>
        <v>0.27276557284516439</v>
      </c>
      <c r="X102" s="162">
        <f t="shared" si="223"/>
        <v>0.3118760270307826</v>
      </c>
      <c r="Y102" s="162">
        <f t="shared" si="223"/>
        <v>0.35634877663150372</v>
      </c>
      <c r="Z102" s="162">
        <f t="shared" si="223"/>
        <v>0.40719368317894933</v>
      </c>
      <c r="AA102" s="162">
        <f t="shared" si="223"/>
        <v>0.46569856393000625</v>
      </c>
      <c r="AB102" s="162">
        <f t="shared" si="223"/>
        <v>0.53352962776885804</v>
      </c>
      <c r="AC102" s="162">
        <f t="shared" si="223"/>
        <v>0.61287818547722495</v>
      </c>
      <c r="AD102" s="162">
        <f t="shared" si="223"/>
        <v>0.70667999489874966</v>
      </c>
      <c r="AE102" s="162">
        <f t="shared" si="223"/>
        <v>0.81895174017762684</v>
      </c>
      <c r="AF102" s="162">
        <f t="shared" si="223"/>
        <v>0.95532197886781722</v>
      </c>
      <c r="AG102" s="162">
        <f t="shared" si="223"/>
        <v>1.1238949075668698</v>
      </c>
      <c r="AH102" s="162">
        <f t="shared" si="223"/>
        <v>1.336700784700356</v>
      </c>
      <c r="AI102" s="162">
        <f t="shared" ref="AI102:BN102" si="224">1/((1+(AI$23*(1-(1/(AI$25^2)))))^2+(AI98*(AI$25-(1/AI$25)))^2)^0.5</f>
        <v>1.6122041821848843</v>
      </c>
      <c r="AJ102" s="162">
        <f t="shared" si="224"/>
        <v>1.9797167331940804</v>
      </c>
      <c r="AK102" s="162">
        <f t="shared" si="224"/>
        <v>2.4869471935964955</v>
      </c>
      <c r="AL102" s="162">
        <f t="shared" si="224"/>
        <v>3.2103200546599164</v>
      </c>
      <c r="AM102" s="162">
        <f t="shared" si="224"/>
        <v>4.2496371420859802</v>
      </c>
      <c r="AN102" s="162">
        <f t="shared" si="224"/>
        <v>5.5838781280519623</v>
      </c>
      <c r="AO102" s="162">
        <f t="shared" si="224"/>
        <v>6.536264906280671</v>
      </c>
      <c r="AP102" s="162">
        <f t="shared" si="224"/>
        <v>6.5618770904865382</v>
      </c>
      <c r="AQ102" s="162">
        <f t="shared" si="224"/>
        <v>5.8283032893166329</v>
      </c>
      <c r="AR102" s="162">
        <f t="shared" si="224"/>
        <v>4.7563696098705019</v>
      </c>
      <c r="AS102" s="162">
        <f t="shared" si="224"/>
        <v>3.9015255964034536</v>
      </c>
      <c r="AT102" s="162">
        <f t="shared" si="224"/>
        <v>3.2890887050132047</v>
      </c>
      <c r="AU102" s="162">
        <f t="shared" si="224"/>
        <v>2.8486465633840918</v>
      </c>
      <c r="AV102" s="162">
        <f t="shared" si="224"/>
        <v>2.5229481085899597</v>
      </c>
      <c r="AW102" s="162">
        <f t="shared" si="224"/>
        <v>2.274741534759305</v>
      </c>
      <c r="AX102" s="162">
        <f t="shared" si="224"/>
        <v>2.0803949878791861</v>
      </c>
      <c r="AY102" s="162">
        <f t="shared" si="224"/>
        <v>1.9246409174621322</v>
      </c>
      <c r="AZ102" s="162">
        <f t="shared" si="224"/>
        <v>1.7973280730835068</v>
      </c>
      <c r="BA102" s="162">
        <f t="shared" si="224"/>
        <v>1.6915035214697591</v>
      </c>
      <c r="BB102" s="162">
        <f t="shared" si="224"/>
        <v>1.6022709678425973</v>
      </c>
      <c r="BC102" s="162">
        <f t="shared" si="224"/>
        <v>1.5260949961030321</v>
      </c>
      <c r="BD102" s="162">
        <f t="shared" si="224"/>
        <v>1.4603652308008392</v>
      </c>
      <c r="BE102" s="162">
        <f t="shared" si="224"/>
        <v>1.4031157251568276</v>
      </c>
      <c r="BF102" s="162">
        <f t="shared" si="224"/>
        <v>1.3528395535321116</v>
      </c>
      <c r="BG102" s="162">
        <f t="shared" si="224"/>
        <v>1.3083633497339899</v>
      </c>
      <c r="BH102" s="162">
        <f t="shared" si="224"/>
        <v>1.2687605397323707</v>
      </c>
      <c r="BI102" s="162">
        <f t="shared" si="224"/>
        <v>1.2332901336794484</v>
      </c>
      <c r="BJ102" s="162">
        <f t="shared" si="224"/>
        <v>1.2013527629548135</v>
      </c>
      <c r="BK102" s="162">
        <f t="shared" si="224"/>
        <v>1.1724585811910933</v>
      </c>
      <c r="BL102" s="162">
        <f t="shared" si="224"/>
        <v>1.1462034742108889</v>
      </c>
      <c r="BM102" s="162">
        <f t="shared" si="224"/>
        <v>1.1222511850942101</v>
      </c>
      <c r="BN102" s="162">
        <f t="shared" si="224"/>
        <v>1.1003197140231982</v>
      </c>
      <c r="BO102" s="162">
        <f t="shared" ref="BO102:CG102" si="225">1/((1+(BO$23*(1-(1/(BO$25^2)))))^2+(BO98*(BO$25-(1/BO$25)))^2)^0.5</f>
        <v>1.0801708504954202</v>
      </c>
      <c r="BP102" s="162">
        <f t="shared" si="225"/>
        <v>1.0616020302914293</v>
      </c>
      <c r="BQ102" s="162">
        <f t="shared" si="225"/>
        <v>1.0444399382984499</v>
      </c>
      <c r="BR102" s="162">
        <f t="shared" si="225"/>
        <v>1.0285354368708968</v>
      </c>
      <c r="BS102" s="162">
        <f t="shared" si="225"/>
        <v>1.0137595108827029</v>
      </c>
      <c r="BT102" s="162">
        <f t="shared" si="225"/>
        <v>1</v>
      </c>
      <c r="BU102" s="162">
        <f t="shared" si="225"/>
        <v>0.92665336681927202</v>
      </c>
      <c r="BV102" s="162">
        <f t="shared" si="225"/>
        <v>0.87723439196059105</v>
      </c>
      <c r="BW102" s="162">
        <f t="shared" si="225"/>
        <v>0.8419167945280317</v>
      </c>
      <c r="BX102" s="162">
        <f t="shared" si="225"/>
        <v>0.81554655568301382</v>
      </c>
      <c r="BY102" s="162">
        <f t="shared" si="225"/>
        <v>0.79517065201017434</v>
      </c>
      <c r="BZ102" s="162">
        <f t="shared" si="225"/>
        <v>0.77898159085307739</v>
      </c>
      <c r="CA102" s="162">
        <f t="shared" si="225"/>
        <v>0.7658147608597462</v>
      </c>
      <c r="CB102" s="162">
        <f t="shared" si="225"/>
        <v>0.75488830753491964</v>
      </c>
      <c r="CC102" s="162">
        <f t="shared" si="225"/>
        <v>0.74565938166910939</v>
      </c>
      <c r="CD102" s="162">
        <f t="shared" si="225"/>
        <v>0.73774035279165173</v>
      </c>
      <c r="CE102" s="162">
        <f t="shared" si="225"/>
        <v>0.73084777111781829</v>
      </c>
      <c r="CF102" s="162">
        <f t="shared" si="225"/>
        <v>0.72477010086468752</v>
      </c>
      <c r="CG102" s="162">
        <f t="shared" si="225"/>
        <v>0.71934666275294945</v>
      </c>
    </row>
    <row r="103" spans="1:86" ht="16.5" customHeight="1">
      <c r="A103" s="165"/>
      <c r="B103" s="165"/>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c r="AA103" s="165"/>
      <c r="AB103" s="165"/>
      <c r="AC103" s="165"/>
      <c r="AD103" s="165"/>
      <c r="AE103" s="165"/>
      <c r="AF103" s="165"/>
      <c r="AG103" s="165"/>
      <c r="AH103" s="165"/>
      <c r="AI103" s="165"/>
      <c r="AJ103" s="165"/>
      <c r="AK103" s="165"/>
      <c r="AL103" s="165"/>
      <c r="AM103" s="165"/>
      <c r="AN103" s="165"/>
      <c r="AO103" s="165"/>
      <c r="AP103" s="165"/>
      <c r="AQ103" s="165"/>
      <c r="AR103" s="165"/>
      <c r="AS103" s="165"/>
      <c r="AT103" s="165"/>
      <c r="AU103" s="165"/>
      <c r="AV103" s="165"/>
      <c r="AW103" s="165"/>
      <c r="AX103" s="165"/>
      <c r="AY103" s="165"/>
      <c r="AZ103" s="165"/>
      <c r="BA103" s="165"/>
      <c r="BB103" s="165"/>
      <c r="BC103" s="165"/>
      <c r="BD103" s="165"/>
      <c r="BE103" s="165"/>
      <c r="BF103" s="165"/>
      <c r="BG103" s="165"/>
      <c r="BH103" s="165"/>
      <c r="BI103" s="165"/>
      <c r="BJ103" s="165"/>
      <c r="BK103" s="165"/>
      <c r="BL103" s="165"/>
      <c r="BM103" s="165"/>
      <c r="BN103" s="165"/>
      <c r="BO103" s="165"/>
      <c r="BP103" s="165"/>
      <c r="BQ103" s="165"/>
      <c r="BR103" s="165"/>
      <c r="BS103" s="165"/>
      <c r="BT103" s="165"/>
      <c r="BU103" s="165"/>
      <c r="BV103" s="165"/>
      <c r="BW103" s="165"/>
      <c r="BX103" s="165"/>
      <c r="BY103" s="165"/>
      <c r="BZ103" s="165"/>
      <c r="CA103" s="165"/>
      <c r="CB103" s="165"/>
      <c r="CC103" s="165"/>
      <c r="CD103" s="165"/>
      <c r="CE103" s="165"/>
      <c r="CF103" s="165"/>
      <c r="CG103" s="165"/>
      <c r="CH103" s="165"/>
    </row>
    <row r="104" spans="1:86" ht="16.5" customHeight="1">
      <c r="B104" s="162" t="s">
        <v>856</v>
      </c>
      <c r="C104" s="162">
        <f t="shared" ref="C104:AH104" si="226">(C$40/(C$10^2))*((PI()^2)/4)*(C12*100/C$39)*(((SIN(C$36))^2)/(C$5+C$11*C$6)^2)</f>
        <v>0.25007396843652824</v>
      </c>
      <c r="D104" s="162">
        <f t="shared" si="226"/>
        <v>0.25007396843652824</v>
      </c>
      <c r="E104" s="162">
        <f t="shared" si="226"/>
        <v>0.25007396843652824</v>
      </c>
      <c r="F104" s="162">
        <f t="shared" si="226"/>
        <v>0.25007396843652824</v>
      </c>
      <c r="G104" s="162">
        <f t="shared" si="226"/>
        <v>0.25007396843652824</v>
      </c>
      <c r="H104" s="162">
        <f t="shared" si="226"/>
        <v>0.25007396843652824</v>
      </c>
      <c r="I104" s="162">
        <f t="shared" si="226"/>
        <v>0.25007396843652824</v>
      </c>
      <c r="J104" s="162">
        <f t="shared" si="226"/>
        <v>0.25007396843652824</v>
      </c>
      <c r="K104" s="162">
        <f t="shared" si="226"/>
        <v>0.25007396843652824</v>
      </c>
      <c r="L104" s="162">
        <f t="shared" si="226"/>
        <v>0.25007396843652824</v>
      </c>
      <c r="M104" s="162">
        <f t="shared" si="226"/>
        <v>0.25007396843652824</v>
      </c>
      <c r="N104" s="162">
        <f t="shared" si="226"/>
        <v>0.25007396843652824</v>
      </c>
      <c r="O104" s="162">
        <f t="shared" si="226"/>
        <v>0.25007396843652824</v>
      </c>
      <c r="P104" s="162">
        <f t="shared" si="226"/>
        <v>0.25007396843652824</v>
      </c>
      <c r="Q104" s="162">
        <f t="shared" si="226"/>
        <v>0.25007396843652824</v>
      </c>
      <c r="R104" s="162">
        <f t="shared" si="226"/>
        <v>0.25007396843652824</v>
      </c>
      <c r="S104" s="162">
        <f t="shared" si="226"/>
        <v>0.25007396843652824</v>
      </c>
      <c r="T104" s="162">
        <f t="shared" si="226"/>
        <v>0.25007396843652824</v>
      </c>
      <c r="U104" s="162">
        <f t="shared" si="226"/>
        <v>0.25007396843652824</v>
      </c>
      <c r="V104" s="162">
        <f t="shared" si="226"/>
        <v>0.25007396843652824</v>
      </c>
      <c r="W104" s="162">
        <f t="shared" si="226"/>
        <v>0.25007396843652824</v>
      </c>
      <c r="X104" s="162">
        <f t="shared" si="226"/>
        <v>0.25007396843652824</v>
      </c>
      <c r="Y104" s="162">
        <f t="shared" si="226"/>
        <v>0.25007396843652824</v>
      </c>
      <c r="Z104" s="162">
        <f t="shared" si="226"/>
        <v>0.25007396843652824</v>
      </c>
      <c r="AA104" s="162">
        <f t="shared" si="226"/>
        <v>0.25007396843652824</v>
      </c>
      <c r="AB104" s="162">
        <f t="shared" si="226"/>
        <v>0.25007396843652824</v>
      </c>
      <c r="AC104" s="162">
        <f t="shared" si="226"/>
        <v>0.25007396843652824</v>
      </c>
      <c r="AD104" s="162">
        <f t="shared" si="226"/>
        <v>0.25007396843652824</v>
      </c>
      <c r="AE104" s="162">
        <f t="shared" si="226"/>
        <v>0.25007396843652824</v>
      </c>
      <c r="AF104" s="162">
        <f t="shared" si="226"/>
        <v>0.25007396843652824</v>
      </c>
      <c r="AG104" s="162">
        <f t="shared" si="226"/>
        <v>0.25007396843652824</v>
      </c>
      <c r="AH104" s="162">
        <f t="shared" si="226"/>
        <v>0.25007396843652824</v>
      </c>
      <c r="AI104" s="162">
        <f t="shared" ref="AI104:BN104" si="227">(AI$40/(AI$10^2))*((PI()^2)/4)*(AI12*100/AI$39)*(((SIN(AI$36))^2)/(AI$5+AI$11*AI$6)^2)</f>
        <v>0.25007396843652824</v>
      </c>
      <c r="AJ104" s="162">
        <f t="shared" si="227"/>
        <v>0.25007396843652824</v>
      </c>
      <c r="AK104" s="162">
        <f t="shared" si="227"/>
        <v>0.25007396843652824</v>
      </c>
      <c r="AL104" s="162">
        <f t="shared" si="227"/>
        <v>0.25007396843652824</v>
      </c>
      <c r="AM104" s="162">
        <f t="shared" si="227"/>
        <v>0.25007396843652824</v>
      </c>
      <c r="AN104" s="162">
        <f t="shared" si="227"/>
        <v>0.25007396843652824</v>
      </c>
      <c r="AO104" s="162">
        <f t="shared" si="227"/>
        <v>0.25007396843652824</v>
      </c>
      <c r="AP104" s="162">
        <f t="shared" si="227"/>
        <v>0.25007396843652824</v>
      </c>
      <c r="AQ104" s="162">
        <f t="shared" si="227"/>
        <v>0.25007396843652824</v>
      </c>
      <c r="AR104" s="162">
        <f t="shared" si="227"/>
        <v>0.25007396843652824</v>
      </c>
      <c r="AS104" s="162">
        <f t="shared" si="227"/>
        <v>0.25007396843652824</v>
      </c>
      <c r="AT104" s="162">
        <f t="shared" si="227"/>
        <v>0.25007396843652824</v>
      </c>
      <c r="AU104" s="162">
        <f t="shared" si="227"/>
        <v>0.25007396843652824</v>
      </c>
      <c r="AV104" s="162">
        <f t="shared" si="227"/>
        <v>0.25007396843652824</v>
      </c>
      <c r="AW104" s="162">
        <f t="shared" si="227"/>
        <v>0.25007396843652824</v>
      </c>
      <c r="AX104" s="162">
        <f t="shared" si="227"/>
        <v>0.25007396843652824</v>
      </c>
      <c r="AY104" s="162">
        <f t="shared" si="227"/>
        <v>0.25007396843652824</v>
      </c>
      <c r="AZ104" s="162">
        <f t="shared" si="227"/>
        <v>0.25007396843652824</v>
      </c>
      <c r="BA104" s="162">
        <f t="shared" si="227"/>
        <v>0.25007396843652824</v>
      </c>
      <c r="BB104" s="162">
        <f t="shared" si="227"/>
        <v>0.25007396843652824</v>
      </c>
      <c r="BC104" s="162">
        <f t="shared" si="227"/>
        <v>0.25007396843652824</v>
      </c>
      <c r="BD104" s="162">
        <f t="shared" si="227"/>
        <v>0.25007396843652824</v>
      </c>
      <c r="BE104" s="162">
        <f t="shared" si="227"/>
        <v>0.25007396843652824</v>
      </c>
      <c r="BF104" s="162">
        <f t="shared" si="227"/>
        <v>0.25007396843652824</v>
      </c>
      <c r="BG104" s="162">
        <f t="shared" si="227"/>
        <v>0.25007396843652824</v>
      </c>
      <c r="BH104" s="162">
        <f t="shared" si="227"/>
        <v>0.25007396843652824</v>
      </c>
      <c r="BI104" s="162">
        <f t="shared" si="227"/>
        <v>0.25007396843652824</v>
      </c>
      <c r="BJ104" s="162">
        <f t="shared" si="227"/>
        <v>0.25007396843652824</v>
      </c>
      <c r="BK104" s="162">
        <f t="shared" si="227"/>
        <v>0.25007396843652824</v>
      </c>
      <c r="BL104" s="162">
        <f t="shared" si="227"/>
        <v>0.25007396843652824</v>
      </c>
      <c r="BM104" s="162">
        <f t="shared" si="227"/>
        <v>0.25007396843652824</v>
      </c>
      <c r="BN104" s="162">
        <f t="shared" si="227"/>
        <v>0.25007396843652824</v>
      </c>
      <c r="BO104" s="162">
        <f t="shared" ref="BO104:CG104" si="228">(BO$40/(BO$10^2))*((PI()^2)/4)*(BO12*100/BO$39)*(((SIN(BO$36))^2)/(BO$5+BO$11*BO$6)^2)</f>
        <v>0.25007396843652824</v>
      </c>
      <c r="BP104" s="162">
        <f t="shared" si="228"/>
        <v>0.25007396843652824</v>
      </c>
      <c r="BQ104" s="162">
        <f t="shared" si="228"/>
        <v>0.25007396843652824</v>
      </c>
      <c r="BR104" s="162">
        <f t="shared" si="228"/>
        <v>0.25007396843652824</v>
      </c>
      <c r="BS104" s="162">
        <f t="shared" si="228"/>
        <v>0.25007396843652824</v>
      </c>
      <c r="BT104" s="162">
        <f t="shared" si="228"/>
        <v>0.25007396843652824</v>
      </c>
      <c r="BU104" s="162">
        <f t="shared" si="228"/>
        <v>0.25007396843652824</v>
      </c>
      <c r="BV104" s="162">
        <f t="shared" si="228"/>
        <v>0.25007396843652824</v>
      </c>
      <c r="BW104" s="162">
        <f t="shared" si="228"/>
        <v>0.25007396843652824</v>
      </c>
      <c r="BX104" s="162">
        <f t="shared" si="228"/>
        <v>0.25007396843652824</v>
      </c>
      <c r="BY104" s="162">
        <f t="shared" si="228"/>
        <v>0.25007396843652824</v>
      </c>
      <c r="BZ104" s="162">
        <f t="shared" si="228"/>
        <v>0.25007396843652824</v>
      </c>
      <c r="CA104" s="162">
        <f t="shared" si="228"/>
        <v>0.25007396843652824</v>
      </c>
      <c r="CB104" s="162">
        <f t="shared" si="228"/>
        <v>0.25007396843652824</v>
      </c>
      <c r="CC104" s="162">
        <f t="shared" si="228"/>
        <v>0.25007396843652824</v>
      </c>
      <c r="CD104" s="162">
        <f t="shared" si="228"/>
        <v>0.25007396843652824</v>
      </c>
      <c r="CE104" s="162">
        <f t="shared" si="228"/>
        <v>0.25007396843652824</v>
      </c>
      <c r="CF104" s="162">
        <f t="shared" si="228"/>
        <v>0.25007396843652824</v>
      </c>
      <c r="CG104" s="162">
        <f t="shared" si="228"/>
        <v>0.25007396843652824</v>
      </c>
      <c r="CH104" s="162"/>
    </row>
    <row r="105" spans="1:86" ht="16.5" customHeight="1">
      <c r="B105" s="162" t="s">
        <v>857</v>
      </c>
      <c r="C105" s="162">
        <f t="shared" ref="C105:AH105" si="229">(C$40/(C$10^2))*((PI()^2)/4)*(C13*100/C$39)*(((SIN(C$36))^2)/(C$5+C$11*C$6)^2)</f>
        <v>0.18755547632739622</v>
      </c>
      <c r="D105" s="162">
        <f t="shared" si="229"/>
        <v>0.18755547632739622</v>
      </c>
      <c r="E105" s="162">
        <f t="shared" si="229"/>
        <v>0.18755547632739622</v>
      </c>
      <c r="F105" s="162">
        <f t="shared" si="229"/>
        <v>0.18755547632739622</v>
      </c>
      <c r="G105" s="162">
        <f t="shared" si="229"/>
        <v>0.18755547632739622</v>
      </c>
      <c r="H105" s="162">
        <f t="shared" si="229"/>
        <v>0.18755547632739622</v>
      </c>
      <c r="I105" s="162">
        <f t="shared" si="229"/>
        <v>0.18755547632739622</v>
      </c>
      <c r="J105" s="162">
        <f t="shared" si="229"/>
        <v>0.18755547632739622</v>
      </c>
      <c r="K105" s="162">
        <f t="shared" si="229"/>
        <v>0.18755547632739622</v>
      </c>
      <c r="L105" s="162">
        <f t="shared" si="229"/>
        <v>0.18755547632739622</v>
      </c>
      <c r="M105" s="162">
        <f t="shared" si="229"/>
        <v>0.18755547632739622</v>
      </c>
      <c r="N105" s="162">
        <f t="shared" si="229"/>
        <v>0.18755547632739622</v>
      </c>
      <c r="O105" s="162">
        <f t="shared" si="229"/>
        <v>0.18755547632739622</v>
      </c>
      <c r="P105" s="162">
        <f t="shared" si="229"/>
        <v>0.18755547632739622</v>
      </c>
      <c r="Q105" s="162">
        <f t="shared" si="229"/>
        <v>0.18755547632739622</v>
      </c>
      <c r="R105" s="162">
        <f t="shared" si="229"/>
        <v>0.18755547632739622</v>
      </c>
      <c r="S105" s="162">
        <f t="shared" si="229"/>
        <v>0.18755547632739622</v>
      </c>
      <c r="T105" s="162">
        <f t="shared" si="229"/>
        <v>0.18755547632739622</v>
      </c>
      <c r="U105" s="162">
        <f t="shared" si="229"/>
        <v>0.18755547632739622</v>
      </c>
      <c r="V105" s="162">
        <f t="shared" si="229"/>
        <v>0.18755547632739622</v>
      </c>
      <c r="W105" s="162">
        <f t="shared" si="229"/>
        <v>0.18755547632739622</v>
      </c>
      <c r="X105" s="162">
        <f t="shared" si="229"/>
        <v>0.18755547632739622</v>
      </c>
      <c r="Y105" s="162">
        <f t="shared" si="229"/>
        <v>0.18755547632739622</v>
      </c>
      <c r="Z105" s="162">
        <f t="shared" si="229"/>
        <v>0.18755547632739622</v>
      </c>
      <c r="AA105" s="162">
        <f t="shared" si="229"/>
        <v>0.18755547632739622</v>
      </c>
      <c r="AB105" s="162">
        <f t="shared" si="229"/>
        <v>0.18755547632739622</v>
      </c>
      <c r="AC105" s="162">
        <f t="shared" si="229"/>
        <v>0.18755547632739622</v>
      </c>
      <c r="AD105" s="162">
        <f t="shared" si="229"/>
        <v>0.18755547632739622</v>
      </c>
      <c r="AE105" s="162">
        <f t="shared" si="229"/>
        <v>0.18755547632739622</v>
      </c>
      <c r="AF105" s="162">
        <f t="shared" si="229"/>
        <v>0.18755547632739622</v>
      </c>
      <c r="AG105" s="162">
        <f t="shared" si="229"/>
        <v>0.18755547632739622</v>
      </c>
      <c r="AH105" s="162">
        <f t="shared" si="229"/>
        <v>0.18755547632739622</v>
      </c>
      <c r="AI105" s="162">
        <f t="shared" ref="AI105:BN105" si="230">(AI$40/(AI$10^2))*((PI()^2)/4)*(AI13*100/AI$39)*(((SIN(AI$36))^2)/(AI$5+AI$11*AI$6)^2)</f>
        <v>0.18755547632739622</v>
      </c>
      <c r="AJ105" s="162">
        <f t="shared" si="230"/>
        <v>0.18755547632739622</v>
      </c>
      <c r="AK105" s="162">
        <f t="shared" si="230"/>
        <v>0.18755547632739622</v>
      </c>
      <c r="AL105" s="162">
        <f t="shared" si="230"/>
        <v>0.18755547632739622</v>
      </c>
      <c r="AM105" s="162">
        <f t="shared" si="230"/>
        <v>0.18755547632739622</v>
      </c>
      <c r="AN105" s="162">
        <f t="shared" si="230"/>
        <v>0.18755547632739622</v>
      </c>
      <c r="AO105" s="162">
        <f t="shared" si="230"/>
        <v>0.18755547632739622</v>
      </c>
      <c r="AP105" s="162">
        <f t="shared" si="230"/>
        <v>0.18755547632739622</v>
      </c>
      <c r="AQ105" s="162">
        <f t="shared" si="230"/>
        <v>0.18755547632739622</v>
      </c>
      <c r="AR105" s="162">
        <f t="shared" si="230"/>
        <v>0.18755547632739622</v>
      </c>
      <c r="AS105" s="162">
        <f t="shared" si="230"/>
        <v>0.18755547632739622</v>
      </c>
      <c r="AT105" s="162">
        <f t="shared" si="230"/>
        <v>0.18755547632739622</v>
      </c>
      <c r="AU105" s="162">
        <f t="shared" si="230"/>
        <v>0.18755547632739622</v>
      </c>
      <c r="AV105" s="162">
        <f t="shared" si="230"/>
        <v>0.18755547632739622</v>
      </c>
      <c r="AW105" s="162">
        <f t="shared" si="230"/>
        <v>0.18755547632739622</v>
      </c>
      <c r="AX105" s="162">
        <f t="shared" si="230"/>
        <v>0.18755547632739622</v>
      </c>
      <c r="AY105" s="162">
        <f t="shared" si="230"/>
        <v>0.18755547632739622</v>
      </c>
      <c r="AZ105" s="162">
        <f t="shared" si="230"/>
        <v>0.18755547632739622</v>
      </c>
      <c r="BA105" s="162">
        <f t="shared" si="230"/>
        <v>0.18755547632739622</v>
      </c>
      <c r="BB105" s="162">
        <f t="shared" si="230"/>
        <v>0.18755547632739622</v>
      </c>
      <c r="BC105" s="162">
        <f t="shared" si="230"/>
        <v>0.18755547632739622</v>
      </c>
      <c r="BD105" s="162">
        <f t="shared" si="230"/>
        <v>0.18755547632739622</v>
      </c>
      <c r="BE105" s="162">
        <f t="shared" si="230"/>
        <v>0.18755547632739622</v>
      </c>
      <c r="BF105" s="162">
        <f t="shared" si="230"/>
        <v>0.18755547632739622</v>
      </c>
      <c r="BG105" s="162">
        <f t="shared" si="230"/>
        <v>0.18755547632739622</v>
      </c>
      <c r="BH105" s="162">
        <f t="shared" si="230"/>
        <v>0.18755547632739622</v>
      </c>
      <c r="BI105" s="162">
        <f t="shared" si="230"/>
        <v>0.18755547632739622</v>
      </c>
      <c r="BJ105" s="162">
        <f t="shared" si="230"/>
        <v>0.18755547632739622</v>
      </c>
      <c r="BK105" s="162">
        <f t="shared" si="230"/>
        <v>0.18755547632739622</v>
      </c>
      <c r="BL105" s="162">
        <f t="shared" si="230"/>
        <v>0.18755547632739622</v>
      </c>
      <c r="BM105" s="162">
        <f t="shared" si="230"/>
        <v>0.18755547632739622</v>
      </c>
      <c r="BN105" s="162">
        <f t="shared" si="230"/>
        <v>0.18755547632739622</v>
      </c>
      <c r="BO105" s="162">
        <f t="shared" ref="BO105:CG105" si="231">(BO$40/(BO$10^2))*((PI()^2)/4)*(BO13*100/BO$39)*(((SIN(BO$36))^2)/(BO$5+BO$11*BO$6)^2)</f>
        <v>0.18755547632739622</v>
      </c>
      <c r="BP105" s="162">
        <f t="shared" si="231"/>
        <v>0.18755547632739622</v>
      </c>
      <c r="BQ105" s="162">
        <f t="shared" si="231"/>
        <v>0.18755547632739622</v>
      </c>
      <c r="BR105" s="162">
        <f t="shared" si="231"/>
        <v>0.18755547632739622</v>
      </c>
      <c r="BS105" s="162">
        <f t="shared" si="231"/>
        <v>0.18755547632739622</v>
      </c>
      <c r="BT105" s="162">
        <f t="shared" si="231"/>
        <v>0.18755547632739622</v>
      </c>
      <c r="BU105" s="162">
        <f t="shared" si="231"/>
        <v>0.18755547632739622</v>
      </c>
      <c r="BV105" s="162">
        <f t="shared" si="231"/>
        <v>0.18755547632739622</v>
      </c>
      <c r="BW105" s="162">
        <f t="shared" si="231"/>
        <v>0.18755547632739622</v>
      </c>
      <c r="BX105" s="162">
        <f t="shared" si="231"/>
        <v>0.18755547632739622</v>
      </c>
      <c r="BY105" s="162">
        <f t="shared" si="231"/>
        <v>0.18755547632739622</v>
      </c>
      <c r="BZ105" s="162">
        <f t="shared" si="231"/>
        <v>0.18755547632739622</v>
      </c>
      <c r="CA105" s="162">
        <f t="shared" si="231"/>
        <v>0.18755547632739622</v>
      </c>
      <c r="CB105" s="162">
        <f t="shared" si="231"/>
        <v>0.18755547632739622</v>
      </c>
      <c r="CC105" s="162">
        <f t="shared" si="231"/>
        <v>0.18755547632739622</v>
      </c>
      <c r="CD105" s="162">
        <f t="shared" si="231"/>
        <v>0.18755547632739622</v>
      </c>
      <c r="CE105" s="162">
        <f t="shared" si="231"/>
        <v>0.18755547632739622</v>
      </c>
      <c r="CF105" s="162">
        <f t="shared" si="231"/>
        <v>0.18755547632739622</v>
      </c>
      <c r="CG105" s="162">
        <f t="shared" si="231"/>
        <v>0.18755547632739622</v>
      </c>
      <c r="CH105" s="162"/>
    </row>
    <row r="106" spans="1:86" ht="16.5" customHeight="1">
      <c r="B106" s="162" t="s">
        <v>858</v>
      </c>
      <c r="C106" s="162">
        <f t="shared" ref="C106:AH106" si="232">(C$40/(C$10^2))*((PI()^2)/4)*(C14*100/C$39)*(((SIN(C$36))^2)/(C$5+C$11*C$6)^2)</f>
        <v>0.12503698421826412</v>
      </c>
      <c r="D106" s="162">
        <f t="shared" si="232"/>
        <v>0.12503698421826412</v>
      </c>
      <c r="E106" s="162">
        <f t="shared" si="232"/>
        <v>0.12503698421826412</v>
      </c>
      <c r="F106" s="162">
        <f t="shared" si="232"/>
        <v>0.12503698421826412</v>
      </c>
      <c r="G106" s="162">
        <f t="shared" si="232"/>
        <v>0.12503698421826412</v>
      </c>
      <c r="H106" s="162">
        <f t="shared" si="232"/>
        <v>0.12503698421826412</v>
      </c>
      <c r="I106" s="162">
        <f t="shared" si="232"/>
        <v>0.12503698421826412</v>
      </c>
      <c r="J106" s="162">
        <f t="shared" si="232"/>
        <v>0.12503698421826412</v>
      </c>
      <c r="K106" s="162">
        <f t="shared" si="232"/>
        <v>0.12503698421826412</v>
      </c>
      <c r="L106" s="162">
        <f t="shared" si="232"/>
        <v>0.12503698421826412</v>
      </c>
      <c r="M106" s="162">
        <f t="shared" si="232"/>
        <v>0.12503698421826412</v>
      </c>
      <c r="N106" s="162">
        <f t="shared" si="232"/>
        <v>0.12503698421826412</v>
      </c>
      <c r="O106" s="162">
        <f t="shared" si="232"/>
        <v>0.12503698421826412</v>
      </c>
      <c r="P106" s="162">
        <f t="shared" si="232"/>
        <v>0.12503698421826412</v>
      </c>
      <c r="Q106" s="162">
        <f t="shared" si="232"/>
        <v>0.12503698421826412</v>
      </c>
      <c r="R106" s="162">
        <f t="shared" si="232"/>
        <v>0.12503698421826412</v>
      </c>
      <c r="S106" s="162">
        <f t="shared" si="232"/>
        <v>0.12503698421826412</v>
      </c>
      <c r="T106" s="162">
        <f t="shared" si="232"/>
        <v>0.12503698421826412</v>
      </c>
      <c r="U106" s="162">
        <f t="shared" si="232"/>
        <v>0.12503698421826412</v>
      </c>
      <c r="V106" s="162">
        <f t="shared" si="232"/>
        <v>0.12503698421826412</v>
      </c>
      <c r="W106" s="162">
        <f t="shared" si="232"/>
        <v>0.12503698421826412</v>
      </c>
      <c r="X106" s="162">
        <f t="shared" si="232"/>
        <v>0.12503698421826412</v>
      </c>
      <c r="Y106" s="162">
        <f t="shared" si="232"/>
        <v>0.12503698421826412</v>
      </c>
      <c r="Z106" s="162">
        <f t="shared" si="232"/>
        <v>0.12503698421826412</v>
      </c>
      <c r="AA106" s="162">
        <f t="shared" si="232"/>
        <v>0.12503698421826412</v>
      </c>
      <c r="AB106" s="162">
        <f t="shared" si="232"/>
        <v>0.12503698421826412</v>
      </c>
      <c r="AC106" s="162">
        <f t="shared" si="232"/>
        <v>0.12503698421826412</v>
      </c>
      <c r="AD106" s="162">
        <f t="shared" si="232"/>
        <v>0.12503698421826412</v>
      </c>
      <c r="AE106" s="162">
        <f t="shared" si="232"/>
        <v>0.12503698421826412</v>
      </c>
      <c r="AF106" s="162">
        <f t="shared" si="232"/>
        <v>0.12503698421826412</v>
      </c>
      <c r="AG106" s="162">
        <f t="shared" si="232"/>
        <v>0.12503698421826412</v>
      </c>
      <c r="AH106" s="162">
        <f t="shared" si="232"/>
        <v>0.12503698421826412</v>
      </c>
      <c r="AI106" s="162">
        <f t="shared" ref="AI106:BN106" si="233">(AI$40/(AI$10^2))*((PI()^2)/4)*(AI14*100/AI$39)*(((SIN(AI$36))^2)/(AI$5+AI$11*AI$6)^2)</f>
        <v>0.12503698421826412</v>
      </c>
      <c r="AJ106" s="162">
        <f t="shared" si="233"/>
        <v>0.12503698421826412</v>
      </c>
      <c r="AK106" s="162">
        <f t="shared" si="233"/>
        <v>0.12503698421826412</v>
      </c>
      <c r="AL106" s="162">
        <f t="shared" si="233"/>
        <v>0.12503698421826412</v>
      </c>
      <c r="AM106" s="162">
        <f t="shared" si="233"/>
        <v>0.12503698421826412</v>
      </c>
      <c r="AN106" s="162">
        <f t="shared" si="233"/>
        <v>0.12503698421826412</v>
      </c>
      <c r="AO106" s="162">
        <f t="shared" si="233"/>
        <v>0.12503698421826412</v>
      </c>
      <c r="AP106" s="162">
        <f t="shared" si="233"/>
        <v>0.12503698421826412</v>
      </c>
      <c r="AQ106" s="162">
        <f t="shared" si="233"/>
        <v>0.12503698421826412</v>
      </c>
      <c r="AR106" s="162">
        <f t="shared" si="233"/>
        <v>0.12503698421826412</v>
      </c>
      <c r="AS106" s="162">
        <f t="shared" si="233"/>
        <v>0.12503698421826412</v>
      </c>
      <c r="AT106" s="162">
        <f t="shared" si="233"/>
        <v>0.12503698421826412</v>
      </c>
      <c r="AU106" s="162">
        <f t="shared" si="233"/>
        <v>0.12503698421826412</v>
      </c>
      <c r="AV106" s="162">
        <f t="shared" si="233"/>
        <v>0.12503698421826412</v>
      </c>
      <c r="AW106" s="162">
        <f t="shared" si="233"/>
        <v>0.12503698421826412</v>
      </c>
      <c r="AX106" s="162">
        <f t="shared" si="233"/>
        <v>0.12503698421826412</v>
      </c>
      <c r="AY106" s="162">
        <f t="shared" si="233"/>
        <v>0.12503698421826412</v>
      </c>
      <c r="AZ106" s="162">
        <f t="shared" si="233"/>
        <v>0.12503698421826412</v>
      </c>
      <c r="BA106" s="162">
        <f t="shared" si="233"/>
        <v>0.12503698421826412</v>
      </c>
      <c r="BB106" s="162">
        <f t="shared" si="233"/>
        <v>0.12503698421826412</v>
      </c>
      <c r="BC106" s="162">
        <f t="shared" si="233"/>
        <v>0.12503698421826412</v>
      </c>
      <c r="BD106" s="162">
        <f t="shared" si="233"/>
        <v>0.12503698421826412</v>
      </c>
      <c r="BE106" s="162">
        <f t="shared" si="233"/>
        <v>0.12503698421826412</v>
      </c>
      <c r="BF106" s="162">
        <f t="shared" si="233"/>
        <v>0.12503698421826412</v>
      </c>
      <c r="BG106" s="162">
        <f t="shared" si="233"/>
        <v>0.12503698421826412</v>
      </c>
      <c r="BH106" s="162">
        <f t="shared" si="233"/>
        <v>0.12503698421826412</v>
      </c>
      <c r="BI106" s="162">
        <f t="shared" si="233"/>
        <v>0.12503698421826412</v>
      </c>
      <c r="BJ106" s="162">
        <f t="shared" si="233"/>
        <v>0.12503698421826412</v>
      </c>
      <c r="BK106" s="162">
        <f t="shared" si="233"/>
        <v>0.12503698421826412</v>
      </c>
      <c r="BL106" s="162">
        <f t="shared" si="233"/>
        <v>0.12503698421826412</v>
      </c>
      <c r="BM106" s="162">
        <f t="shared" si="233"/>
        <v>0.12503698421826412</v>
      </c>
      <c r="BN106" s="162">
        <f t="shared" si="233"/>
        <v>0.12503698421826412</v>
      </c>
      <c r="BO106" s="162">
        <f t="shared" ref="BO106:CG106" si="234">(BO$40/(BO$10^2))*((PI()^2)/4)*(BO14*100/BO$39)*(((SIN(BO$36))^2)/(BO$5+BO$11*BO$6)^2)</f>
        <v>0.12503698421826412</v>
      </c>
      <c r="BP106" s="162">
        <f t="shared" si="234"/>
        <v>0.12503698421826412</v>
      </c>
      <c r="BQ106" s="162">
        <f t="shared" si="234"/>
        <v>0.12503698421826412</v>
      </c>
      <c r="BR106" s="162">
        <f t="shared" si="234"/>
        <v>0.12503698421826412</v>
      </c>
      <c r="BS106" s="162">
        <f t="shared" si="234"/>
        <v>0.12503698421826412</v>
      </c>
      <c r="BT106" s="162">
        <f t="shared" si="234"/>
        <v>0.12503698421826412</v>
      </c>
      <c r="BU106" s="162">
        <f t="shared" si="234"/>
        <v>0.12503698421826412</v>
      </c>
      <c r="BV106" s="162">
        <f t="shared" si="234"/>
        <v>0.12503698421826412</v>
      </c>
      <c r="BW106" s="162">
        <f t="shared" si="234"/>
        <v>0.12503698421826412</v>
      </c>
      <c r="BX106" s="162">
        <f t="shared" si="234"/>
        <v>0.12503698421826412</v>
      </c>
      <c r="BY106" s="162">
        <f t="shared" si="234"/>
        <v>0.12503698421826412</v>
      </c>
      <c r="BZ106" s="162">
        <f t="shared" si="234"/>
        <v>0.12503698421826412</v>
      </c>
      <c r="CA106" s="162">
        <f t="shared" si="234"/>
        <v>0.12503698421826412</v>
      </c>
      <c r="CB106" s="162">
        <f t="shared" si="234"/>
        <v>0.12503698421826412</v>
      </c>
      <c r="CC106" s="162">
        <f t="shared" si="234"/>
        <v>0.12503698421826412</v>
      </c>
      <c r="CD106" s="162">
        <f t="shared" si="234"/>
        <v>0.12503698421826412</v>
      </c>
      <c r="CE106" s="162">
        <f t="shared" si="234"/>
        <v>0.12503698421826412</v>
      </c>
      <c r="CF106" s="162">
        <f t="shared" si="234"/>
        <v>0.12503698421826412</v>
      </c>
      <c r="CG106" s="162">
        <f t="shared" si="234"/>
        <v>0.12503698421826412</v>
      </c>
      <c r="CH106" s="162"/>
    </row>
    <row r="107" spans="1:86" ht="16.5" customHeight="1">
      <c r="B107" s="162" t="s">
        <v>859</v>
      </c>
      <c r="C107" s="162">
        <f t="shared" ref="C107:AH107" si="235">(C$40/(C$10^2))*((PI()^2)/4)*(C15*100/C$39)*(((SIN(C$36))^2)/(C$5+C$11*C$6)^2)</f>
        <v>6.2518492109132059E-2</v>
      </c>
      <c r="D107" s="162">
        <f t="shared" si="235"/>
        <v>6.2518492109132059E-2</v>
      </c>
      <c r="E107" s="162">
        <f t="shared" si="235"/>
        <v>6.2518492109132059E-2</v>
      </c>
      <c r="F107" s="162">
        <f t="shared" si="235"/>
        <v>6.2518492109132059E-2</v>
      </c>
      <c r="G107" s="162">
        <f t="shared" si="235"/>
        <v>6.2518492109132059E-2</v>
      </c>
      <c r="H107" s="162">
        <f t="shared" si="235"/>
        <v>6.2518492109132059E-2</v>
      </c>
      <c r="I107" s="162">
        <f t="shared" si="235"/>
        <v>6.2518492109132059E-2</v>
      </c>
      <c r="J107" s="162">
        <f t="shared" si="235"/>
        <v>6.2518492109132059E-2</v>
      </c>
      <c r="K107" s="162">
        <f t="shared" si="235"/>
        <v>6.2518492109132059E-2</v>
      </c>
      <c r="L107" s="162">
        <f t="shared" si="235"/>
        <v>6.2518492109132059E-2</v>
      </c>
      <c r="M107" s="162">
        <f t="shared" si="235"/>
        <v>6.2518492109132059E-2</v>
      </c>
      <c r="N107" s="162">
        <f t="shared" si="235"/>
        <v>6.2518492109132059E-2</v>
      </c>
      <c r="O107" s="162">
        <f t="shared" si="235"/>
        <v>6.2518492109132059E-2</v>
      </c>
      <c r="P107" s="162">
        <f t="shared" si="235"/>
        <v>6.2518492109132059E-2</v>
      </c>
      <c r="Q107" s="162">
        <f t="shared" si="235"/>
        <v>6.2518492109132059E-2</v>
      </c>
      <c r="R107" s="162">
        <f t="shared" si="235"/>
        <v>6.2518492109132059E-2</v>
      </c>
      <c r="S107" s="162">
        <f t="shared" si="235"/>
        <v>6.2518492109132059E-2</v>
      </c>
      <c r="T107" s="162">
        <f t="shared" si="235"/>
        <v>6.2518492109132059E-2</v>
      </c>
      <c r="U107" s="162">
        <f t="shared" si="235"/>
        <v>6.2518492109132059E-2</v>
      </c>
      <c r="V107" s="162">
        <f t="shared" si="235"/>
        <v>6.2518492109132059E-2</v>
      </c>
      <c r="W107" s="162">
        <f t="shared" si="235"/>
        <v>6.2518492109132059E-2</v>
      </c>
      <c r="X107" s="162">
        <f t="shared" si="235"/>
        <v>6.2518492109132059E-2</v>
      </c>
      <c r="Y107" s="162">
        <f t="shared" si="235"/>
        <v>6.2518492109132059E-2</v>
      </c>
      <c r="Z107" s="162">
        <f t="shared" si="235"/>
        <v>6.2518492109132059E-2</v>
      </c>
      <c r="AA107" s="162">
        <f t="shared" si="235"/>
        <v>6.2518492109132059E-2</v>
      </c>
      <c r="AB107" s="162">
        <f t="shared" si="235"/>
        <v>6.2518492109132059E-2</v>
      </c>
      <c r="AC107" s="162">
        <f t="shared" si="235"/>
        <v>6.2518492109132059E-2</v>
      </c>
      <c r="AD107" s="162">
        <f t="shared" si="235"/>
        <v>6.2518492109132059E-2</v>
      </c>
      <c r="AE107" s="162">
        <f t="shared" si="235"/>
        <v>6.2518492109132059E-2</v>
      </c>
      <c r="AF107" s="162">
        <f t="shared" si="235"/>
        <v>6.2518492109132059E-2</v>
      </c>
      <c r="AG107" s="162">
        <f t="shared" si="235"/>
        <v>6.2518492109132059E-2</v>
      </c>
      <c r="AH107" s="162">
        <f t="shared" si="235"/>
        <v>6.2518492109132059E-2</v>
      </c>
      <c r="AI107" s="162">
        <f t="shared" ref="AI107:BN107" si="236">(AI$40/(AI$10^2))*((PI()^2)/4)*(AI15*100/AI$39)*(((SIN(AI$36))^2)/(AI$5+AI$11*AI$6)^2)</f>
        <v>6.2518492109132059E-2</v>
      </c>
      <c r="AJ107" s="162">
        <f t="shared" si="236"/>
        <v>6.2518492109132059E-2</v>
      </c>
      <c r="AK107" s="162">
        <f t="shared" si="236"/>
        <v>6.2518492109132059E-2</v>
      </c>
      <c r="AL107" s="162">
        <f t="shared" si="236"/>
        <v>6.2518492109132059E-2</v>
      </c>
      <c r="AM107" s="162">
        <f t="shared" si="236"/>
        <v>6.2518492109132059E-2</v>
      </c>
      <c r="AN107" s="162">
        <f t="shared" si="236"/>
        <v>6.2518492109132059E-2</v>
      </c>
      <c r="AO107" s="162">
        <f t="shared" si="236"/>
        <v>6.2518492109132059E-2</v>
      </c>
      <c r="AP107" s="162">
        <f t="shared" si="236"/>
        <v>6.2518492109132059E-2</v>
      </c>
      <c r="AQ107" s="162">
        <f t="shared" si="236"/>
        <v>6.2518492109132059E-2</v>
      </c>
      <c r="AR107" s="162">
        <f t="shared" si="236"/>
        <v>6.2518492109132059E-2</v>
      </c>
      <c r="AS107" s="162">
        <f t="shared" si="236"/>
        <v>6.2518492109132059E-2</v>
      </c>
      <c r="AT107" s="162">
        <f t="shared" si="236"/>
        <v>6.2518492109132059E-2</v>
      </c>
      <c r="AU107" s="162">
        <f t="shared" si="236"/>
        <v>6.2518492109132059E-2</v>
      </c>
      <c r="AV107" s="162">
        <f t="shared" si="236"/>
        <v>6.2518492109132059E-2</v>
      </c>
      <c r="AW107" s="162">
        <f t="shared" si="236"/>
        <v>6.2518492109132059E-2</v>
      </c>
      <c r="AX107" s="162">
        <f t="shared" si="236"/>
        <v>6.2518492109132059E-2</v>
      </c>
      <c r="AY107" s="162">
        <f t="shared" si="236"/>
        <v>6.2518492109132059E-2</v>
      </c>
      <c r="AZ107" s="162">
        <f t="shared" si="236"/>
        <v>6.2518492109132059E-2</v>
      </c>
      <c r="BA107" s="162">
        <f t="shared" si="236"/>
        <v>6.2518492109132059E-2</v>
      </c>
      <c r="BB107" s="162">
        <f t="shared" si="236"/>
        <v>6.2518492109132059E-2</v>
      </c>
      <c r="BC107" s="162">
        <f t="shared" si="236"/>
        <v>6.2518492109132059E-2</v>
      </c>
      <c r="BD107" s="162">
        <f t="shared" si="236"/>
        <v>6.2518492109132059E-2</v>
      </c>
      <c r="BE107" s="162">
        <f t="shared" si="236"/>
        <v>6.2518492109132059E-2</v>
      </c>
      <c r="BF107" s="162">
        <f t="shared" si="236"/>
        <v>6.2518492109132059E-2</v>
      </c>
      <c r="BG107" s="162">
        <f t="shared" si="236"/>
        <v>6.2518492109132059E-2</v>
      </c>
      <c r="BH107" s="162">
        <f t="shared" si="236"/>
        <v>6.2518492109132059E-2</v>
      </c>
      <c r="BI107" s="162">
        <f t="shared" si="236"/>
        <v>6.2518492109132059E-2</v>
      </c>
      <c r="BJ107" s="162">
        <f t="shared" si="236"/>
        <v>6.2518492109132059E-2</v>
      </c>
      <c r="BK107" s="162">
        <f t="shared" si="236"/>
        <v>6.2518492109132059E-2</v>
      </c>
      <c r="BL107" s="162">
        <f t="shared" si="236"/>
        <v>6.2518492109132059E-2</v>
      </c>
      <c r="BM107" s="162">
        <f t="shared" si="236"/>
        <v>6.2518492109132059E-2</v>
      </c>
      <c r="BN107" s="162">
        <f t="shared" si="236"/>
        <v>6.2518492109132059E-2</v>
      </c>
      <c r="BO107" s="162">
        <f t="shared" ref="BO107:CG107" si="237">(BO$40/(BO$10^2))*((PI()^2)/4)*(BO15*100/BO$39)*(((SIN(BO$36))^2)/(BO$5+BO$11*BO$6)^2)</f>
        <v>6.2518492109132059E-2</v>
      </c>
      <c r="BP107" s="162">
        <f t="shared" si="237"/>
        <v>6.2518492109132059E-2</v>
      </c>
      <c r="BQ107" s="162">
        <f t="shared" si="237"/>
        <v>6.2518492109132059E-2</v>
      </c>
      <c r="BR107" s="162">
        <f t="shared" si="237"/>
        <v>6.2518492109132059E-2</v>
      </c>
      <c r="BS107" s="162">
        <f t="shared" si="237"/>
        <v>6.2518492109132059E-2</v>
      </c>
      <c r="BT107" s="162">
        <f t="shared" si="237"/>
        <v>6.2518492109132059E-2</v>
      </c>
      <c r="BU107" s="162">
        <f t="shared" si="237"/>
        <v>6.2518492109132059E-2</v>
      </c>
      <c r="BV107" s="162">
        <f t="shared" si="237"/>
        <v>6.2518492109132059E-2</v>
      </c>
      <c r="BW107" s="162">
        <f t="shared" si="237"/>
        <v>6.2518492109132059E-2</v>
      </c>
      <c r="BX107" s="162">
        <f t="shared" si="237"/>
        <v>6.2518492109132059E-2</v>
      </c>
      <c r="BY107" s="162">
        <f t="shared" si="237"/>
        <v>6.2518492109132059E-2</v>
      </c>
      <c r="BZ107" s="162">
        <f t="shared" si="237"/>
        <v>6.2518492109132059E-2</v>
      </c>
      <c r="CA107" s="162">
        <f t="shared" si="237"/>
        <v>6.2518492109132059E-2</v>
      </c>
      <c r="CB107" s="162">
        <f t="shared" si="237"/>
        <v>6.2518492109132059E-2</v>
      </c>
      <c r="CC107" s="162">
        <f t="shared" si="237"/>
        <v>6.2518492109132059E-2</v>
      </c>
      <c r="CD107" s="162">
        <f t="shared" si="237"/>
        <v>6.2518492109132059E-2</v>
      </c>
      <c r="CE107" s="162">
        <f t="shared" si="237"/>
        <v>6.2518492109132059E-2</v>
      </c>
      <c r="CF107" s="162">
        <f t="shared" si="237"/>
        <v>6.2518492109132059E-2</v>
      </c>
      <c r="CG107" s="162">
        <f t="shared" si="237"/>
        <v>6.2518492109132059E-2</v>
      </c>
      <c r="CH107" s="162"/>
    </row>
    <row r="108" spans="1:86" ht="16.5" customHeight="1">
      <c r="B108" s="162" t="s">
        <v>860</v>
      </c>
      <c r="C108" s="162">
        <f t="shared" ref="C108:AH108" si="238">1/((1+(C$23*(1-(1/(C$25^2)))))^2+(C104*(C$25-(1/C$25)))^2)^0.5</f>
        <v>2.1818182479920704E-8</v>
      </c>
      <c r="D108" s="162">
        <f t="shared" si="238"/>
        <v>1.2885285829841006E-3</v>
      </c>
      <c r="E108" s="162">
        <f t="shared" si="238"/>
        <v>3.2950119481721194E-3</v>
      </c>
      <c r="F108" s="162">
        <f t="shared" si="238"/>
        <v>6.2440144033623097E-3</v>
      </c>
      <c r="G108" s="162">
        <f t="shared" si="238"/>
        <v>1.0158553191859945E-2</v>
      </c>
      <c r="H108" s="162">
        <f t="shared" si="238"/>
        <v>1.5069602622699301E-2</v>
      </c>
      <c r="I108" s="162">
        <f t="shared" si="238"/>
        <v>2.1016704876682134E-2</v>
      </c>
      <c r="J108" s="162">
        <f t="shared" si="238"/>
        <v>2.8048768388947723E-2</v>
      </c>
      <c r="K108" s="162">
        <f t="shared" si="238"/>
        <v>3.6225083729408088E-2</v>
      </c>
      <c r="L108" s="162">
        <f t="shared" si="238"/>
        <v>4.5616596356075428E-2</v>
      </c>
      <c r="M108" s="162">
        <f t="shared" si="238"/>
        <v>5.6307487501055131E-2</v>
      </c>
      <c r="N108" s="162">
        <f t="shared" si="238"/>
        <v>6.83971296301875E-2</v>
      </c>
      <c r="O108" s="162">
        <f t="shared" si="238"/>
        <v>8.2002502564154742E-2</v>
      </c>
      <c r="P108" s="162">
        <f t="shared" si="238"/>
        <v>9.7261182059277002E-2</v>
      </c>
      <c r="Q108" s="162">
        <f t="shared" si="238"/>
        <v>0.11433504662530793</v>
      </c>
      <c r="R108" s="162">
        <f t="shared" si="238"/>
        <v>0.13341489367348136</v>
      </c>
      <c r="S108" s="162">
        <f t="shared" si="238"/>
        <v>0.15472621704054584</v>
      </c>
      <c r="T108" s="162">
        <f t="shared" si="238"/>
        <v>0.17853648058534624</v>
      </c>
      <c r="U108" s="162">
        <f t="shared" si="238"/>
        <v>0.20516433548851423</v>
      </c>
      <c r="V108" s="162">
        <f t="shared" si="238"/>
        <v>0.23499138428974772</v>
      </c>
      <c r="W108" s="162">
        <f t="shared" si="238"/>
        <v>0.26847730985236462</v>
      </c>
      <c r="X108" s="162">
        <f t="shared" si="238"/>
        <v>0.30617948669159406</v>
      </c>
      <c r="Y108" s="162">
        <f t="shared" si="238"/>
        <v>0.34877860915110864</v>
      </c>
      <c r="Z108" s="162">
        <f t="shared" si="238"/>
        <v>0.39711245078414564</v>
      </c>
      <c r="AA108" s="162">
        <f t="shared" si="238"/>
        <v>0.45222066752110879</v>
      </c>
      <c r="AB108" s="162">
        <f t="shared" si="238"/>
        <v>0.51540462938092035</v>
      </c>
      <c r="AC108" s="162">
        <f t="shared" si="238"/>
        <v>0.58830762840615813</v>
      </c>
      <c r="AD108" s="162">
        <f t="shared" si="238"/>
        <v>0.67302232488870162</v>
      </c>
      <c r="AE108" s="162">
        <f t="shared" si="238"/>
        <v>0.77223333712321429</v>
      </c>
      <c r="AF108" s="162">
        <f t="shared" si="238"/>
        <v>0.88940146434470002</v>
      </c>
      <c r="AG108" s="162">
        <f t="shared" si="238"/>
        <v>1.0289864824494521</v>
      </c>
      <c r="AH108" s="162">
        <f t="shared" si="238"/>
        <v>1.1966724314094623</v>
      </c>
      <c r="AI108" s="162">
        <f t="shared" ref="AI108:BN108" si="239">1/((1+(AI$23*(1-(1/(AI$25^2)))))^2+(AI104*(AI$25-(1/AI$25)))^2)^0.5</f>
        <v>1.3994632574174968</v>
      </c>
      <c r="AJ108" s="162">
        <f t="shared" si="239"/>
        <v>1.6452628496952006</v>
      </c>
      <c r="AK108" s="162">
        <f t="shared" si="239"/>
        <v>1.9409529095430136</v>
      </c>
      <c r="AL108" s="162">
        <f t="shared" si="239"/>
        <v>2.286856711332343</v>
      </c>
      <c r="AM108" s="162">
        <f t="shared" si="239"/>
        <v>2.664689739148864</v>
      </c>
      <c r="AN108" s="162">
        <f t="shared" si="239"/>
        <v>3.0210297534050943</v>
      </c>
      <c r="AO108" s="162">
        <f t="shared" si="239"/>
        <v>3.2681466330811526</v>
      </c>
      <c r="AP108" s="162">
        <f t="shared" si="239"/>
        <v>3.3110252196145522</v>
      </c>
      <c r="AQ108" s="162">
        <f t="shared" si="239"/>
        <v>3.3156909367168934</v>
      </c>
      <c r="AR108" s="162">
        <f t="shared" si="239"/>
        <v>3.165485129035889</v>
      </c>
      <c r="AS108" s="162">
        <f t="shared" si="239"/>
        <v>2.9379147301897302</v>
      </c>
      <c r="AT108" s="162">
        <f t="shared" si="239"/>
        <v>2.6956469422014004</v>
      </c>
      <c r="AU108" s="162">
        <f t="shared" si="239"/>
        <v>2.4705166769883413</v>
      </c>
      <c r="AV108" s="162">
        <f t="shared" si="239"/>
        <v>2.2731978578150067</v>
      </c>
      <c r="AW108" s="162">
        <f t="shared" si="239"/>
        <v>2.1043137440172504</v>
      </c>
      <c r="AX108" s="162">
        <f t="shared" si="239"/>
        <v>1.9607997258777867</v>
      </c>
      <c r="AY108" s="162">
        <f t="shared" si="239"/>
        <v>1.8387414801727384</v>
      </c>
      <c r="AZ108" s="162">
        <f t="shared" si="239"/>
        <v>1.7344475901781762</v>
      </c>
      <c r="BA108" s="162">
        <f t="shared" si="239"/>
        <v>1.6447671953798582</v>
      </c>
      <c r="BB108" s="162">
        <f t="shared" si="239"/>
        <v>1.5671176092543677</v>
      </c>
      <c r="BC108" s="162">
        <f t="shared" si="239"/>
        <v>1.4994159312519777</v>
      </c>
      <c r="BD108" s="162">
        <f t="shared" si="239"/>
        <v>1.4399901776491046</v>
      </c>
      <c r="BE108" s="162">
        <f t="shared" si="239"/>
        <v>1.3874966034904137</v>
      </c>
      <c r="BF108" s="162">
        <f t="shared" si="239"/>
        <v>1.3408506390314692</v>
      </c>
      <c r="BG108" s="162">
        <f t="shared" si="239"/>
        <v>1.2991717638123261</v>
      </c>
      <c r="BH108" s="162">
        <f t="shared" si="239"/>
        <v>1.2617403838170929</v>
      </c>
      <c r="BI108" s="162">
        <f t="shared" si="239"/>
        <v>1.2279643637936826</v>
      </c>
      <c r="BJ108" s="162">
        <f t="shared" si="239"/>
        <v>1.1973530893088902</v>
      </c>
      <c r="BK108" s="162">
        <f t="shared" si="239"/>
        <v>1.1694973196907215</v>
      </c>
      <c r="BL108" s="162">
        <f t="shared" si="239"/>
        <v>1.1440534718277999</v>
      </c>
      <c r="BM108" s="162">
        <f t="shared" si="239"/>
        <v>1.1207312935183062</v>
      </c>
      <c r="BN108" s="162">
        <f t="shared" si="239"/>
        <v>1.0992841366401696</v>
      </c>
      <c r="BO108" s="162">
        <f t="shared" ref="BO108:CG108" si="240">1/((1+(BO$23*(1-(1/(BO$25^2)))))^2+(BO104*(BO$25-(1/BO$25)))^2)^0.5</f>
        <v>1.0795012330280616</v>
      </c>
      <c r="BP108" s="162">
        <f t="shared" si="240"/>
        <v>1.0612015212514392</v>
      </c>
      <c r="BQ108" s="162">
        <f t="shared" si="240"/>
        <v>1.0442286814174895</v>
      </c>
      <c r="BR108" s="162">
        <f t="shared" si="240"/>
        <v>1.028447116660097</v>
      </c>
      <c r="BS108" s="162">
        <f t="shared" si="240"/>
        <v>1.0137386810967635</v>
      </c>
      <c r="BT108" s="162">
        <f t="shared" si="240"/>
        <v>1</v>
      </c>
      <c r="BU108" s="162">
        <f t="shared" si="240"/>
        <v>0.9259862501827153</v>
      </c>
      <c r="BV108" s="162">
        <f t="shared" si="240"/>
        <v>0.87515050886117685</v>
      </c>
      <c r="BW108" s="162">
        <f t="shared" si="240"/>
        <v>0.83806761170528898</v>
      </c>
      <c r="BX108" s="162">
        <f t="shared" si="240"/>
        <v>0.80972746125639039</v>
      </c>
      <c r="BY108" s="162">
        <f t="shared" si="240"/>
        <v>0.78723671009002483</v>
      </c>
      <c r="BZ108" s="162">
        <f t="shared" si="240"/>
        <v>0.76881622259455229</v>
      </c>
      <c r="CA108" s="162">
        <f t="shared" si="240"/>
        <v>0.75331704608022088</v>
      </c>
      <c r="CB108" s="162">
        <f t="shared" si="240"/>
        <v>0.73996753261833481</v>
      </c>
      <c r="CC108" s="162">
        <f t="shared" si="240"/>
        <v>0.72823262046716475</v>
      </c>
      <c r="CD108" s="162">
        <f t="shared" si="240"/>
        <v>0.71773138144407611</v>
      </c>
      <c r="CE108" s="162">
        <f t="shared" si="240"/>
        <v>0.70818658508753285</v>
      </c>
      <c r="CF108" s="162">
        <f t="shared" si="240"/>
        <v>0.69939270288926503</v>
      </c>
      <c r="CG108" s="162">
        <f t="shared" si="240"/>
        <v>0.69119496620994025</v>
      </c>
      <c r="CH108" s="162"/>
    </row>
    <row r="109" spans="1:86" ht="16.5" customHeight="1">
      <c r="B109" s="162" t="s">
        <v>861</v>
      </c>
      <c r="C109" s="162">
        <f t="shared" ref="C109:AH109" si="241">1/((1+(C$23*(1-(1/(C$25^2)))))^2+(C105*(C$25-(1/C$25)))^2)^0.5</f>
        <v>2.1818182494128961E-8</v>
      </c>
      <c r="D109" s="162">
        <f t="shared" si="241"/>
        <v>1.288578171574027E-3</v>
      </c>
      <c r="E109" s="162">
        <f t="shared" si="241"/>
        <v>3.2953365564165381E-3</v>
      </c>
      <c r="F109" s="162">
        <f t="shared" si="241"/>
        <v>6.2451818527583169E-3</v>
      </c>
      <c r="G109" s="162">
        <f t="shared" si="241"/>
        <v>1.0161649593314151E-2</v>
      </c>
      <c r="H109" s="162">
        <f t="shared" si="241"/>
        <v>1.5076433975065679E-2</v>
      </c>
      <c r="I109" s="162">
        <f t="shared" si="241"/>
        <v>2.1030033274098695E-2</v>
      </c>
      <c r="J109" s="162">
        <f t="shared" si="241"/>
        <v>2.8072595420429815E-2</v>
      </c>
      <c r="K109" s="162">
        <f t="shared" si="241"/>
        <v>3.6264996999625973E-2</v>
      </c>
      <c r="L109" s="162">
        <f t="shared" si="241"/>
        <v>4.5680199715147266E-2</v>
      </c>
      <c r="M109" s="162">
        <f t="shared" si="241"/>
        <v>5.640494203549281E-2</v>
      </c>
      <c r="N109" s="162">
        <f t="shared" si="241"/>
        <v>6.854184145450834E-2</v>
      </c>
      <c r="O109" s="162">
        <f t="shared" si="241"/>
        <v>8.2212006016100361E-2</v>
      </c>
      <c r="P109" s="162">
        <f t="shared" si="241"/>
        <v>9.7558284599454398E-2</v>
      </c>
      <c r="Q109" s="162">
        <f t="shared" si="241"/>
        <v>0.11474932690509751</v>
      </c>
      <c r="R109" s="162">
        <f t="shared" si="241"/>
        <v>0.13398468039047992</v>
      </c>
      <c r="S109" s="162">
        <f t="shared" si="241"/>
        <v>0.15550122875600239</v>
      </c>
      <c r="T109" s="162">
        <f t="shared" si="241"/>
        <v>0.17958138403859605</v>
      </c>
      <c r="U109" s="162">
        <f t="shared" si="241"/>
        <v>0.20656359537070312</v>
      </c>
      <c r="V109" s="162">
        <f t="shared" si="241"/>
        <v>0.23685595218794511</v>
      </c>
      <c r="W109" s="162">
        <f t="shared" si="241"/>
        <v>0.27095396878595501</v>
      </c>
      <c r="X109" s="162">
        <f t="shared" si="241"/>
        <v>0.30946408779780116</v>
      </c>
      <c r="Y109" s="162">
        <f t="shared" si="241"/>
        <v>0.35313510574261586</v>
      </c>
      <c r="Z109" s="162">
        <f t="shared" si="241"/>
        <v>0.40290071951848322</v>
      </c>
      <c r="AA109" s="162">
        <f t="shared" si="241"/>
        <v>0.45993790091907139</v>
      </c>
      <c r="AB109" s="162">
        <f t="shared" si="241"/>
        <v>0.52574811603441041</v>
      </c>
      <c r="AC109" s="162">
        <f t="shared" si="241"/>
        <v>0.60227197223209405</v>
      </c>
      <c r="AD109" s="162">
        <f t="shared" si="241"/>
        <v>0.69205339033255242</v>
      </c>
      <c r="AE109" s="162">
        <f t="shared" si="241"/>
        <v>0.79847783432444808</v>
      </c>
      <c r="AF109" s="162">
        <f t="shared" si="241"/>
        <v>0.92612151818432153</v>
      </c>
      <c r="AG109" s="162">
        <f t="shared" si="241"/>
        <v>1.0812646200199973</v>
      </c>
      <c r="AH109" s="162">
        <f t="shared" si="241"/>
        <v>1.2726343216532146</v>
      </c>
      <c r="AI109" s="162">
        <f t="shared" ref="AI109:BN109" si="242">1/((1+(AI$23*(1-(1/(AI$25^2)))))^2+(AI105*(AI$25-(1/AI$25)))^2)^0.5</f>
        <v>1.5124180898398729</v>
      </c>
      <c r="AJ109" s="162">
        <f t="shared" si="242"/>
        <v>1.8173855912326224</v>
      </c>
      <c r="AK109" s="162">
        <f t="shared" si="242"/>
        <v>2.2090801713925834</v>
      </c>
      <c r="AL109" s="162">
        <f t="shared" si="242"/>
        <v>2.7089090039799784</v>
      </c>
      <c r="AM109" s="162">
        <f t="shared" si="242"/>
        <v>3.3153045546675202</v>
      </c>
      <c r="AN109" s="162">
        <f t="shared" si="242"/>
        <v>3.9416922154280147</v>
      </c>
      <c r="AO109" s="162">
        <f t="shared" si="242"/>
        <v>4.357523942376635</v>
      </c>
      <c r="AP109" s="162">
        <f t="shared" si="242"/>
        <v>4.4041940885742372</v>
      </c>
      <c r="AQ109" s="162">
        <f t="shared" si="242"/>
        <v>4.2612033432527046</v>
      </c>
      <c r="AR109" s="162">
        <f t="shared" si="242"/>
        <v>3.8527942441394005</v>
      </c>
      <c r="AS109" s="162">
        <f t="shared" si="242"/>
        <v>3.3982236476184218</v>
      </c>
      <c r="AT109" s="162">
        <f t="shared" si="242"/>
        <v>2.9979567124083721</v>
      </c>
      <c r="AU109" s="162">
        <f t="shared" si="242"/>
        <v>2.6711570417583141</v>
      </c>
      <c r="AV109" s="162">
        <f t="shared" si="242"/>
        <v>2.4092786879197372</v>
      </c>
      <c r="AW109" s="162">
        <f t="shared" si="242"/>
        <v>2.1988449901644733</v>
      </c>
      <c r="AX109" s="162">
        <f t="shared" si="242"/>
        <v>2.0279628274312711</v>
      </c>
      <c r="AY109" s="162">
        <f t="shared" si="242"/>
        <v>1.8874111529356545</v>
      </c>
      <c r="AZ109" s="162">
        <f t="shared" si="242"/>
        <v>1.7703076368044173</v>
      </c>
      <c r="BA109" s="162">
        <f t="shared" si="242"/>
        <v>1.671550850643214</v>
      </c>
      <c r="BB109" s="162">
        <f t="shared" si="242"/>
        <v>1.5873385715548483</v>
      </c>
      <c r="BC109" s="162">
        <f t="shared" si="242"/>
        <v>1.5148067641068692</v>
      </c>
      <c r="BD109" s="162">
        <f t="shared" si="242"/>
        <v>1.4517710548787346</v>
      </c>
      <c r="BE109" s="162">
        <f t="shared" si="242"/>
        <v>1.396543915521502</v>
      </c>
      <c r="BF109" s="162">
        <f t="shared" si="242"/>
        <v>1.3478052167776442</v>
      </c>
      <c r="BG109" s="162">
        <f t="shared" si="242"/>
        <v>1.3045098739697338</v>
      </c>
      <c r="BH109" s="162">
        <f t="shared" si="242"/>
        <v>1.2658212630462244</v>
      </c>
      <c r="BI109" s="162">
        <f t="shared" si="242"/>
        <v>1.2310626548488726</v>
      </c>
      <c r="BJ109" s="162">
        <f t="shared" si="242"/>
        <v>1.1996813670832631</v>
      </c>
      <c r="BK109" s="162">
        <f t="shared" si="242"/>
        <v>1.1712219910308832</v>
      </c>
      <c r="BL109" s="162">
        <f t="shared" si="242"/>
        <v>1.1453061677974472</v>
      </c>
      <c r="BM109" s="162">
        <f t="shared" si="242"/>
        <v>1.1216171458202568</v>
      </c>
      <c r="BN109" s="162">
        <f t="shared" si="242"/>
        <v>1.099887867894062</v>
      </c>
      <c r="BO109" s="162">
        <f t="shared" ref="BO109:CG109" si="243">1/((1+(BO$23*(1-(1/(BO$25^2)))))^2+(BO105*(BO$25-(1/BO$25)))^2)^0.5</f>
        <v>1.0798916918159434</v>
      </c>
      <c r="BP109" s="162">
        <f t="shared" si="243"/>
        <v>1.0614350964231427</v>
      </c>
      <c r="BQ109" s="162">
        <f t="shared" si="243"/>
        <v>1.044351899017198</v>
      </c>
      <c r="BR109" s="162">
        <f t="shared" si="243"/>
        <v>1.0284986340178952</v>
      </c>
      <c r="BS109" s="162">
        <f t="shared" si="243"/>
        <v>1.0137508316491879</v>
      </c>
      <c r="BT109" s="162">
        <f t="shared" si="243"/>
        <v>1</v>
      </c>
      <c r="BU109" s="162">
        <f t="shared" si="243"/>
        <v>0.92637522637472969</v>
      </c>
      <c r="BV109" s="162">
        <f t="shared" si="243"/>
        <v>0.87636429979908725</v>
      </c>
      <c r="BW109" s="162">
        <f t="shared" si="243"/>
        <v>0.84030653357038576</v>
      </c>
      <c r="BX109" s="162">
        <f t="shared" si="243"/>
        <v>0.8131067261316709</v>
      </c>
      <c r="BY109" s="162">
        <f t="shared" si="243"/>
        <v>0.79183579693340045</v>
      </c>
      <c r="BZ109" s="162">
        <f t="shared" si="243"/>
        <v>0.77469725207046947</v>
      </c>
      <c r="CA109" s="162">
        <f t="shared" si="243"/>
        <v>0.76053224006517439</v>
      </c>
      <c r="CB109" s="162">
        <f t="shared" si="243"/>
        <v>0.7485624272603979</v>
      </c>
      <c r="CC109" s="162">
        <f t="shared" si="243"/>
        <v>0.73824750526586647</v>
      </c>
      <c r="CD109" s="162">
        <f t="shared" si="243"/>
        <v>0.72920196164554796</v>
      </c>
      <c r="CE109" s="162">
        <f t="shared" si="243"/>
        <v>0.72114429664412516</v>
      </c>
      <c r="CF109" s="162">
        <f t="shared" si="243"/>
        <v>0.71386487398730347</v>
      </c>
      <c r="CG109" s="162">
        <f t="shared" si="243"/>
        <v>0.70720491604949265</v>
      </c>
      <c r="CH109" s="162"/>
    </row>
    <row r="110" spans="1:86" ht="16.5" customHeight="1">
      <c r="B110" s="162" t="s">
        <v>862</v>
      </c>
      <c r="C110" s="162">
        <f t="shared" ref="C110:AH110" si="244">1/((1+(C$23*(1-(1/(C$25^2)))))^2+(C106*(C$25-(1/C$25)))^2)^0.5</f>
        <v>2.1818182504277716E-8</v>
      </c>
      <c r="D110" s="162">
        <f t="shared" si="244"/>
        <v>1.2886135955008332E-3</v>
      </c>
      <c r="E110" s="162">
        <f t="shared" si="244"/>
        <v>3.2955684781936466E-3</v>
      </c>
      <c r="F110" s="162">
        <f t="shared" si="244"/>
        <v>6.2460161462191653E-3</v>
      </c>
      <c r="G110" s="162">
        <f t="shared" si="244"/>
        <v>1.0163863042965088E-2</v>
      </c>
      <c r="H110" s="162">
        <f t="shared" si="244"/>
        <v>1.5081319204381372E-2</v>
      </c>
      <c r="I110" s="162">
        <f t="shared" si="244"/>
        <v>2.1039569098202388E-2</v>
      </c>
      <c r="J110" s="162">
        <f t="shared" si="244"/>
        <v>2.8089651953662267E-2</v>
      </c>
      <c r="K110" s="162">
        <f t="shared" si="244"/>
        <v>3.6293587388214997E-2</v>
      </c>
      <c r="L110" s="162">
        <f t="shared" si="244"/>
        <v>4.5725793918706494E-2</v>
      </c>
      <c r="M110" s="162">
        <f t="shared" si="244"/>
        <v>5.647486303862221E-2</v>
      </c>
      <c r="N110" s="162">
        <f t="shared" si="244"/>
        <v>6.8645771225195648E-2</v>
      </c>
      <c r="O110" s="162">
        <f t="shared" si="244"/>
        <v>8.2362638290634962E-2</v>
      </c>
      <c r="P110" s="162">
        <f t="shared" si="244"/>
        <v>9.777217543465197E-2</v>
      </c>
      <c r="Q110" s="162">
        <f t="shared" si="244"/>
        <v>0.11504801381981522</v>
      </c>
      <c r="R110" s="162">
        <f t="shared" si="244"/>
        <v>0.1343961697659459</v>
      </c>
      <c r="S110" s="162">
        <f t="shared" si="244"/>
        <v>0.15606199356055589</v>
      </c>
      <c r="T110" s="162">
        <f t="shared" si="244"/>
        <v>0.18033907712619268</v>
      </c>
      <c r="U110" s="162">
        <f t="shared" si="244"/>
        <v>0.20758077920643064</v>
      </c>
      <c r="V110" s="162">
        <f t="shared" si="244"/>
        <v>0.23821529291505833</v>
      </c>
      <c r="W110" s="162">
        <f t="shared" si="244"/>
        <v>0.27276557284516439</v>
      </c>
      <c r="X110" s="162">
        <f t="shared" si="244"/>
        <v>0.3118760270307826</v>
      </c>
      <c r="Y110" s="162">
        <f t="shared" si="244"/>
        <v>0.35634877663150372</v>
      </c>
      <c r="Z110" s="162">
        <f t="shared" si="244"/>
        <v>0.40719368317894933</v>
      </c>
      <c r="AA110" s="162">
        <f t="shared" si="244"/>
        <v>0.46569856393000625</v>
      </c>
      <c r="AB110" s="162">
        <f t="shared" si="244"/>
        <v>0.53352962776885804</v>
      </c>
      <c r="AC110" s="162">
        <f t="shared" si="244"/>
        <v>0.61287818547722495</v>
      </c>
      <c r="AD110" s="162">
        <f t="shared" si="244"/>
        <v>0.70667999489874977</v>
      </c>
      <c r="AE110" s="162">
        <f t="shared" si="244"/>
        <v>0.81895174017762684</v>
      </c>
      <c r="AF110" s="162">
        <f t="shared" si="244"/>
        <v>0.95532197886781722</v>
      </c>
      <c r="AG110" s="162">
        <f t="shared" si="244"/>
        <v>1.1238949075668698</v>
      </c>
      <c r="AH110" s="162">
        <f t="shared" si="244"/>
        <v>1.336700784700356</v>
      </c>
      <c r="AI110" s="162">
        <f t="shared" ref="AI110:BN110" si="245">1/((1+(AI$23*(1-(1/(AI$25^2)))))^2+(AI106*(AI$25-(1/AI$25)))^2)^0.5</f>
        <v>1.6122041821848843</v>
      </c>
      <c r="AJ110" s="162">
        <f t="shared" si="245"/>
        <v>1.9797167331940804</v>
      </c>
      <c r="AK110" s="162">
        <f t="shared" si="245"/>
        <v>2.4869471935964955</v>
      </c>
      <c r="AL110" s="162">
        <f t="shared" si="245"/>
        <v>3.2103200546599169</v>
      </c>
      <c r="AM110" s="162">
        <f t="shared" si="245"/>
        <v>4.2496371420859811</v>
      </c>
      <c r="AN110" s="162">
        <f t="shared" si="245"/>
        <v>5.5838781280519632</v>
      </c>
      <c r="AO110" s="162">
        <f t="shared" si="245"/>
        <v>6.5362649062806746</v>
      </c>
      <c r="AP110" s="162">
        <f t="shared" si="245"/>
        <v>6.56187709048654</v>
      </c>
      <c r="AQ110" s="162">
        <f t="shared" si="245"/>
        <v>5.8283032893166347</v>
      </c>
      <c r="AR110" s="162">
        <f t="shared" si="245"/>
        <v>4.7563696098705019</v>
      </c>
      <c r="AS110" s="162">
        <f t="shared" si="245"/>
        <v>3.9015255964034536</v>
      </c>
      <c r="AT110" s="162">
        <f t="shared" si="245"/>
        <v>3.2890887050132047</v>
      </c>
      <c r="AU110" s="162">
        <f t="shared" si="245"/>
        <v>2.8486465633840918</v>
      </c>
      <c r="AV110" s="162">
        <f t="shared" si="245"/>
        <v>2.5229481085899601</v>
      </c>
      <c r="AW110" s="162">
        <f t="shared" si="245"/>
        <v>2.274741534759305</v>
      </c>
      <c r="AX110" s="162">
        <f t="shared" si="245"/>
        <v>2.0803949878791861</v>
      </c>
      <c r="AY110" s="162">
        <f t="shared" si="245"/>
        <v>1.9246409174621322</v>
      </c>
      <c r="AZ110" s="162">
        <f t="shared" si="245"/>
        <v>1.7973280730835068</v>
      </c>
      <c r="BA110" s="162">
        <f t="shared" si="245"/>
        <v>1.6915035214697591</v>
      </c>
      <c r="BB110" s="162">
        <f t="shared" si="245"/>
        <v>1.6022709678425973</v>
      </c>
      <c r="BC110" s="162">
        <f t="shared" si="245"/>
        <v>1.5260949961030321</v>
      </c>
      <c r="BD110" s="162">
        <f t="shared" si="245"/>
        <v>1.4603652308008392</v>
      </c>
      <c r="BE110" s="162">
        <f t="shared" si="245"/>
        <v>1.4031157251568276</v>
      </c>
      <c r="BF110" s="162">
        <f t="shared" si="245"/>
        <v>1.3528395535321116</v>
      </c>
      <c r="BG110" s="162">
        <f t="shared" si="245"/>
        <v>1.3083633497339899</v>
      </c>
      <c r="BH110" s="162">
        <f t="shared" si="245"/>
        <v>1.2687605397323707</v>
      </c>
      <c r="BI110" s="162">
        <f t="shared" si="245"/>
        <v>1.2332901336794484</v>
      </c>
      <c r="BJ110" s="162">
        <f t="shared" si="245"/>
        <v>1.2013527629548135</v>
      </c>
      <c r="BK110" s="162">
        <f t="shared" si="245"/>
        <v>1.1724585811910933</v>
      </c>
      <c r="BL110" s="162">
        <f t="shared" si="245"/>
        <v>1.1462034742108889</v>
      </c>
      <c r="BM110" s="162">
        <f t="shared" si="245"/>
        <v>1.1222511850942101</v>
      </c>
      <c r="BN110" s="162">
        <f t="shared" si="245"/>
        <v>1.1003197140231982</v>
      </c>
      <c r="BO110" s="162">
        <f t="shared" ref="BO110:CG110" si="246">1/((1+(BO$23*(1-(1/(BO$25^2)))))^2+(BO106*(BO$25-(1/BO$25)))^2)^0.5</f>
        <v>1.0801708504954202</v>
      </c>
      <c r="BP110" s="162">
        <f t="shared" si="246"/>
        <v>1.0616020302914293</v>
      </c>
      <c r="BQ110" s="162">
        <f t="shared" si="246"/>
        <v>1.0444399382984499</v>
      </c>
      <c r="BR110" s="162">
        <f t="shared" si="246"/>
        <v>1.0285354368708968</v>
      </c>
      <c r="BS110" s="162">
        <f t="shared" si="246"/>
        <v>1.0137595108827029</v>
      </c>
      <c r="BT110" s="162">
        <f t="shared" si="246"/>
        <v>1</v>
      </c>
      <c r="BU110" s="162">
        <f t="shared" si="246"/>
        <v>0.92665336681927202</v>
      </c>
      <c r="BV110" s="162">
        <f t="shared" si="246"/>
        <v>0.87723439196059105</v>
      </c>
      <c r="BW110" s="162">
        <f t="shared" si="246"/>
        <v>0.8419167945280317</v>
      </c>
      <c r="BX110" s="162">
        <f t="shared" si="246"/>
        <v>0.81554655568301382</v>
      </c>
      <c r="BY110" s="162">
        <f t="shared" si="246"/>
        <v>0.79517065201017434</v>
      </c>
      <c r="BZ110" s="162">
        <f t="shared" si="246"/>
        <v>0.77898159085307739</v>
      </c>
      <c r="CA110" s="162">
        <f t="shared" si="246"/>
        <v>0.7658147608597462</v>
      </c>
      <c r="CB110" s="162">
        <f t="shared" si="246"/>
        <v>0.75488830753491964</v>
      </c>
      <c r="CC110" s="162">
        <f t="shared" si="246"/>
        <v>0.74565938166910939</v>
      </c>
      <c r="CD110" s="162">
        <f t="shared" si="246"/>
        <v>0.73774035279165173</v>
      </c>
      <c r="CE110" s="162">
        <f t="shared" si="246"/>
        <v>0.73084777111781829</v>
      </c>
      <c r="CF110" s="162">
        <f t="shared" si="246"/>
        <v>0.72477010086468752</v>
      </c>
      <c r="CG110" s="162">
        <f t="shared" si="246"/>
        <v>0.71934666275294945</v>
      </c>
      <c r="CH110" s="162"/>
    </row>
    <row r="111" spans="1:86" ht="16.5" customHeight="1">
      <c r="B111" s="162" t="s">
        <v>863</v>
      </c>
      <c r="C111" s="162">
        <f t="shared" ref="C111:AH111" si="247">1/((1+(C$23*(1-(1/(C$25^2)))))^2+(C107*(C$25-(1/C$25)))^2)^0.5</f>
        <v>2.1818182510366966E-8</v>
      </c>
      <c r="D111" s="162">
        <f t="shared" si="247"/>
        <v>1.2886348512592819E-3</v>
      </c>
      <c r="E111" s="162">
        <f t="shared" si="247"/>
        <v>3.2957076547663338E-3</v>
      </c>
      <c r="F111" s="162">
        <f t="shared" si="247"/>
        <v>6.2465168828168913E-3</v>
      </c>
      <c r="G111" s="162">
        <f t="shared" si="247"/>
        <v>1.0165191807242017E-2</v>
      </c>
      <c r="H111" s="162">
        <f t="shared" si="247"/>
        <v>1.5084252622425465E-2</v>
      </c>
      <c r="I111" s="162">
        <f t="shared" si="247"/>
        <v>2.1045296822859667E-2</v>
      </c>
      <c r="J111" s="162">
        <f t="shared" si="247"/>
        <v>2.8099900808883832E-2</v>
      </c>
      <c r="K111" s="162">
        <f t="shared" si="247"/>
        <v>3.6310774113015254E-2</v>
      </c>
      <c r="L111" s="162">
        <f t="shared" si="247"/>
        <v>4.5753216060223069E-2</v>
      </c>
      <c r="M111" s="162">
        <f t="shared" si="247"/>
        <v>5.651694066037502E-2</v>
      </c>
      <c r="N111" s="162">
        <f t="shared" si="247"/>
        <v>6.8708356474590837E-2</v>
      </c>
      <c r="O111" s="162">
        <f t="shared" si="247"/>
        <v>8.245341606112816E-2</v>
      </c>
      <c r="P111" s="162">
        <f t="shared" si="247"/>
        <v>9.7901187193779174E-2</v>
      </c>
      <c r="Q111" s="162">
        <f t="shared" si="247"/>
        <v>0.11522834942108219</v>
      </c>
      <c r="R111" s="162">
        <f t="shared" si="247"/>
        <v>0.13464489067808946</v>
      </c>
      <c r="S111" s="162">
        <f t="shared" si="247"/>
        <v>0.15640137850524516</v>
      </c>
      <c r="T111" s="162">
        <f t="shared" si="247"/>
        <v>0.18079832252130565</v>
      </c>
      <c r="U111" s="162">
        <f t="shared" si="247"/>
        <v>0.2081983500445049</v>
      </c>
      <c r="V111" s="162">
        <f t="shared" si="247"/>
        <v>0.23904221799806005</v>
      </c>
      <c r="W111" s="162">
        <f t="shared" si="247"/>
        <v>0.2738701340767794</v>
      </c>
      <c r="X111" s="162">
        <f t="shared" si="247"/>
        <v>0.31335054466435652</v>
      </c>
      <c r="Y111" s="162">
        <f t="shared" si="247"/>
        <v>0.35831961032449089</v>
      </c>
      <c r="Z111" s="162">
        <f t="shared" si="247"/>
        <v>0.40983627949521473</v>
      </c>
      <c r="AA111" s="162">
        <f t="shared" si="247"/>
        <v>0.46926062493655119</v>
      </c>
      <c r="AB111" s="162">
        <f t="shared" si="247"/>
        <v>0.53836772348952122</v>
      </c>
      <c r="AC111" s="162">
        <f t="shared" si="247"/>
        <v>0.61951734450923646</v>
      </c>
      <c r="AD111" s="162">
        <f t="shared" si="247"/>
        <v>0.71591402471029431</v>
      </c>
      <c r="AE111" s="162">
        <f t="shared" si="247"/>
        <v>0.83201882091516144</v>
      </c>
      <c r="AF111" s="162">
        <f t="shared" si="247"/>
        <v>0.97422626176868343</v>
      </c>
      <c r="AG111" s="162">
        <f t="shared" si="247"/>
        <v>1.1520277706949573</v>
      </c>
      <c r="AH111" s="162">
        <f t="shared" si="247"/>
        <v>1.3801195101761581</v>
      </c>
      <c r="AI111" s="162">
        <f t="shared" ref="AI111:BN111" si="248">1/((1+(AI$23*(1-(1/(AI$25^2)))))^2+(AI107*(AI$25-(1/AI$25)))^2)^0.5</f>
        <v>1.6824722676826387</v>
      </c>
      <c r="AJ111" s="162">
        <f t="shared" si="248"/>
        <v>2.1008248093461006</v>
      </c>
      <c r="AK111" s="162">
        <f t="shared" si="248"/>
        <v>2.7141828103905814</v>
      </c>
      <c r="AL111" s="162">
        <f t="shared" si="248"/>
        <v>3.688982648204016</v>
      </c>
      <c r="AM111" s="162">
        <f t="shared" si="248"/>
        <v>5.4226604572562698</v>
      </c>
      <c r="AN111" s="162">
        <f t="shared" si="248"/>
        <v>8.874334292070964</v>
      </c>
      <c r="AO111" s="162">
        <f t="shared" si="248"/>
        <v>13.072302940891014</v>
      </c>
      <c r="AP111" s="162">
        <f t="shared" si="248"/>
        <v>12.673218577658734</v>
      </c>
      <c r="AQ111" s="162">
        <f t="shared" si="248"/>
        <v>8.4340745660325585</v>
      </c>
      <c r="AR111" s="162">
        <f t="shared" si="248"/>
        <v>5.7444694203075599</v>
      </c>
      <c r="AS111" s="162">
        <f t="shared" si="248"/>
        <v>4.3374128318841692</v>
      </c>
      <c r="AT111" s="162">
        <f t="shared" si="248"/>
        <v>3.5105520922385378</v>
      </c>
      <c r="AU111" s="162">
        <f t="shared" si="248"/>
        <v>2.9737766287718053</v>
      </c>
      <c r="AV111" s="162">
        <f t="shared" si="248"/>
        <v>2.5993913032860352</v>
      </c>
      <c r="AW111" s="162">
        <f t="shared" si="248"/>
        <v>2.3242339271319574</v>
      </c>
      <c r="AX111" s="162">
        <f t="shared" si="248"/>
        <v>2.1138760975918665</v>
      </c>
      <c r="AY111" s="162">
        <f t="shared" si="248"/>
        <v>1.9480648411822659</v>
      </c>
      <c r="AZ111" s="162">
        <f t="shared" si="248"/>
        <v>1.8141465550045413</v>
      </c>
      <c r="BA111" s="162">
        <f t="shared" si="248"/>
        <v>1.7038236330198682</v>
      </c>
      <c r="BB111" s="162">
        <f t="shared" si="248"/>
        <v>1.6114352549773965</v>
      </c>
      <c r="BC111" s="162">
        <f t="shared" si="248"/>
        <v>1.5329902825925217</v>
      </c>
      <c r="BD111" s="162">
        <f t="shared" si="248"/>
        <v>1.4655955802662384</v>
      </c>
      <c r="BE111" s="162">
        <f t="shared" si="248"/>
        <v>1.4071036247169475</v>
      </c>
      <c r="BF111" s="162">
        <f t="shared" si="248"/>
        <v>1.3558873693313063</v>
      </c>
      <c r="BG111" s="162">
        <f t="shared" si="248"/>
        <v>1.3106918915748877</v>
      </c>
      <c r="BH111" s="162">
        <f t="shared" si="248"/>
        <v>1.2705339644015305</v>
      </c>
      <c r="BI111" s="162">
        <f t="shared" si="248"/>
        <v>1.2346324387746255</v>
      </c>
      <c r="BJ111" s="162">
        <f t="shared" si="248"/>
        <v>1.2023589598856741</v>
      </c>
      <c r="BK111" s="162">
        <f t="shared" si="248"/>
        <v>1.1732024180112508</v>
      </c>
      <c r="BL111" s="162">
        <f t="shared" si="248"/>
        <v>1.1467428714483408</v>
      </c>
      <c r="BM111" s="162">
        <f t="shared" si="248"/>
        <v>1.1226321251672753</v>
      </c>
      <c r="BN111" s="162">
        <f t="shared" si="248"/>
        <v>1.100579065987231</v>
      </c>
      <c r="BO111" s="162">
        <f t="shared" ref="BO111:CG111" si="249">1/((1+(BO$23*(1-(1/(BO$25^2)))))^2+(BO107*(BO$25-(1/BO$25)))^2)^0.5</f>
        <v>1.0803384496554489</v>
      </c>
      <c r="BP111" s="162">
        <f t="shared" si="249"/>
        <v>1.0617022284260897</v>
      </c>
      <c r="BQ111" s="162">
        <f t="shared" si="249"/>
        <v>1.0444927725557174</v>
      </c>
      <c r="BR111" s="162">
        <f t="shared" si="249"/>
        <v>1.0285575204791526</v>
      </c>
      <c r="BS111" s="162">
        <f t="shared" si="249"/>
        <v>1.013764718529816</v>
      </c>
      <c r="BT111" s="162">
        <f t="shared" si="249"/>
        <v>1</v>
      </c>
      <c r="BU111" s="162">
        <f t="shared" si="249"/>
        <v>0.92682037138935403</v>
      </c>
      <c r="BV111" s="162">
        <f t="shared" si="249"/>
        <v>0.87775769287192829</v>
      </c>
      <c r="BW111" s="162">
        <f t="shared" si="249"/>
        <v>0.84288740590427746</v>
      </c>
      <c r="BX111" s="162">
        <f t="shared" si="249"/>
        <v>0.81702103802787973</v>
      </c>
      <c r="BY111" s="162">
        <f t="shared" si="249"/>
        <v>0.79719190393826278</v>
      </c>
      <c r="BZ111" s="162">
        <f t="shared" si="249"/>
        <v>0.78158656674389648</v>
      </c>
      <c r="CA111" s="162">
        <f t="shared" si="249"/>
        <v>0.76903760296553292</v>
      </c>
      <c r="CB111" s="162">
        <f t="shared" si="249"/>
        <v>0.75876169282562234</v>
      </c>
      <c r="CC111" s="162">
        <f t="shared" si="249"/>
        <v>0.75021511775673544</v>
      </c>
      <c r="CD111" s="162">
        <f t="shared" si="249"/>
        <v>0.74300963954348787</v>
      </c>
      <c r="CE111" s="162">
        <f t="shared" si="249"/>
        <v>0.73686130745775735</v>
      </c>
      <c r="CF111" s="162">
        <f t="shared" si="249"/>
        <v>0.73155811827664896</v>
      </c>
      <c r="CG111" s="162">
        <f t="shared" si="249"/>
        <v>0.72693892402849414</v>
      </c>
      <c r="CH111" s="162"/>
    </row>
    <row r="113" spans="2:90" ht="17.25" customHeight="1"/>
    <row r="114" spans="2:90" ht="16.5" customHeight="1">
      <c r="B114" s="166" t="s">
        <v>864</v>
      </c>
      <c r="C114" s="166">
        <f t="shared" ref="C114:AH114" si="250">ABS(C99-C53)</f>
        <v>1.5209591618552871</v>
      </c>
      <c r="D114" s="166">
        <f t="shared" si="250"/>
        <v>1.5196709949723763</v>
      </c>
      <c r="E114" s="166">
        <f t="shared" si="250"/>
        <v>1.5176663950292382</v>
      </c>
      <c r="F114" s="166">
        <f t="shared" si="250"/>
        <v>1.5147231570388633</v>
      </c>
      <c r="G114" s="166">
        <f t="shared" si="250"/>
        <v>1.5108217869693041</v>
      </c>
      <c r="H114" s="166">
        <f t="shared" si="250"/>
        <v>1.5059361757779406</v>
      </c>
      <c r="I114" s="166">
        <f t="shared" si="250"/>
        <v>1.5000331958946771</v>
      </c>
      <c r="J114" s="166">
        <f t="shared" si="250"/>
        <v>1.4930721823971083</v>
      </c>
      <c r="K114" s="166">
        <f t="shared" si="250"/>
        <v>1.4850042861341304</v>
      </c>
      <c r="L114" s="166">
        <f t="shared" si="250"/>
        <v>1.4757716828559233</v>
      </c>
      <c r="M114" s="166">
        <f t="shared" si="250"/>
        <v>1.4653066188381423</v>
      </c>
      <c r="N114" s="166">
        <f t="shared" si="250"/>
        <v>1.4535302695213468</v>
      </c>
      <c r="O114" s="166">
        <f t="shared" si="250"/>
        <v>1.4403513833420145</v>
      </c>
      <c r="P114" s="166">
        <f t="shared" si="250"/>
        <v>1.4256646783084683</v>
      </c>
      <c r="Q114" s="166">
        <f t="shared" si="250"/>
        <v>1.4093489542148299</v>
      </c>
      <c r="R114" s="166">
        <f t="shared" si="250"/>
        <v>1.391264879173052</v>
      </c>
      <c r="S114" s="166">
        <f t="shared" si="250"/>
        <v>1.3712524062715423</v>
      </c>
      <c r="T114" s="166">
        <f t="shared" si="250"/>
        <v>1.3491277762160658</v>
      </c>
      <c r="U114" s="166">
        <f t="shared" si="250"/>
        <v>1.3246800674782291</v>
      </c>
      <c r="V114" s="166">
        <f t="shared" si="250"/>
        <v>1.2976672713158293</v>
      </c>
      <c r="W114" s="166">
        <f t="shared" si="250"/>
        <v>1.267811902576893</v>
      </c>
      <c r="X114" s="166">
        <f t="shared" si="250"/>
        <v>1.2347962208080054</v>
      </c>
      <c r="Y114" s="166">
        <f t="shared" si="250"/>
        <v>1.1982572498599025</v>
      </c>
      <c r="Z114" s="166">
        <f t="shared" si="250"/>
        <v>1.1577819798676963</v>
      </c>
      <c r="AA114" s="166">
        <f t="shared" si="250"/>
        <v>1.1129034632814621</v>
      </c>
      <c r="AB114" s="166">
        <f t="shared" si="250"/>
        <v>1.0630990530135127</v>
      </c>
      <c r="AC114" s="166">
        <f t="shared" si="250"/>
        <v>1.0077928875809852</v>
      </c>
      <c r="AD114" s="166">
        <f t="shared" si="250"/>
        <v>0.94636605709444832</v>
      </c>
      <c r="AE114" s="166">
        <f t="shared" si="250"/>
        <v>0.87817986206387577</v>
      </c>
      <c r="AF114" s="166">
        <f t="shared" si="250"/>
        <v>0.80262033676227651</v>
      </c>
      <c r="AG114" s="166">
        <f t="shared" si="250"/>
        <v>0.71917563770222825</v>
      </c>
      <c r="AH114" s="166">
        <f t="shared" si="250"/>
        <v>0.62756117229963171</v>
      </c>
      <c r="AI114" s="166">
        <f t="shared" ref="AI114:BN114" si="251">ABS(AI99-AI53)</f>
        <v>0.5279080331029381</v>
      </c>
      <c r="AJ114" s="166">
        <f t="shared" si="251"/>
        <v>0.42102306802974909</v>
      </c>
      <c r="AK114" s="166">
        <f t="shared" si="251"/>
        <v>0.30870470407961603</v>
      </c>
      <c r="AL114" s="166">
        <f t="shared" si="251"/>
        <v>0.19404754908537258</v>
      </c>
      <c r="AM114" s="166">
        <f t="shared" si="251"/>
        <v>8.159252239373993E-2</v>
      </c>
      <c r="AN114" s="166">
        <f t="shared" si="251"/>
        <v>2.2884534432071391E-2</v>
      </c>
      <c r="AO114" s="166">
        <f t="shared" si="251"/>
        <v>0.11311590537412752</v>
      </c>
      <c r="AP114" s="166">
        <f t="shared" si="251"/>
        <v>0.13837937172186332</v>
      </c>
      <c r="AQ114" s="166">
        <f t="shared" si="251"/>
        <v>0.20152177600184773</v>
      </c>
      <c r="AR114" s="166">
        <f t="shared" si="251"/>
        <v>0.2408266228607403</v>
      </c>
      <c r="AS114" s="166">
        <f t="shared" si="251"/>
        <v>0.25654157697419011</v>
      </c>
      <c r="AT114" s="166">
        <f t="shared" si="251"/>
        <v>0.25141791000855185</v>
      </c>
      <c r="AU114" s="166">
        <f t="shared" si="251"/>
        <v>0.22970961953372959</v>
      </c>
      <c r="AV114" s="166">
        <f t="shared" si="251"/>
        <v>0.19607602581433414</v>
      </c>
      <c r="AW114" s="166">
        <f t="shared" si="251"/>
        <v>0.15477626005296163</v>
      </c>
      <c r="AX114" s="166">
        <f t="shared" si="251"/>
        <v>0.10926627970636771</v>
      </c>
      <c r="AY114" s="166">
        <f t="shared" si="251"/>
        <v>6.2115012072380349E-2</v>
      </c>
      <c r="AZ114" s="166">
        <f t="shared" si="251"/>
        <v>1.5100453877845421E-2</v>
      </c>
      <c r="BA114" s="166">
        <f t="shared" si="251"/>
        <v>3.06267282587811E-2</v>
      </c>
      <c r="BB114" s="166">
        <f t="shared" si="251"/>
        <v>7.4377469717008537E-2</v>
      </c>
      <c r="BC114" s="166">
        <f t="shared" si="251"/>
        <v>0.11578466941701571</v>
      </c>
      <c r="BD114" s="166">
        <f t="shared" si="251"/>
        <v>0.1546963637935268</v>
      </c>
      <c r="BE114" s="166">
        <f t="shared" si="251"/>
        <v>0.19109867986312246</v>
      </c>
      <c r="BF114" s="166">
        <f t="shared" si="251"/>
        <v>0.22506242601342397</v>
      </c>
      <c r="BG114" s="166">
        <f t="shared" si="251"/>
        <v>0.25670714222044788</v>
      </c>
      <c r="BH114" s="166">
        <f t="shared" si="251"/>
        <v>0.28617749538237303</v>
      </c>
      <c r="BI114" s="166">
        <f t="shared" si="251"/>
        <v>0.31362815698600888</v>
      </c>
      <c r="BJ114" s="166">
        <f t="shared" si="251"/>
        <v>0.33921439147070731</v>
      </c>
      <c r="BK114" s="166">
        <f t="shared" si="251"/>
        <v>0.36308642790990442</v>
      </c>
      <c r="BL114" s="166">
        <f t="shared" si="251"/>
        <v>0.38538630164627485</v>
      </c>
      <c r="BM114" s="166">
        <f t="shared" si="251"/>
        <v>0.40624628333548207</v>
      </c>
      <c r="BN114" s="166">
        <f t="shared" si="251"/>
        <v>0.42578830853522831</v>
      </c>
      <c r="BO114" s="166">
        <f t="shared" ref="BO114:CG114" si="252">ABS(BO99-BO53)</f>
        <v>0.44412402106890592</v>
      </c>
      <c r="BP114" s="166">
        <f t="shared" si="252"/>
        <v>0.46135517753608379</v>
      </c>
      <c r="BQ114" s="166">
        <f t="shared" si="252"/>
        <v>0.47757424967631867</v>
      </c>
      <c r="BR114" s="166">
        <f t="shared" si="252"/>
        <v>0.49286512047187858</v>
      </c>
      <c r="BS114" s="166">
        <f t="shared" si="252"/>
        <v>0.50730380888257964</v>
      </c>
      <c r="BT114" s="166">
        <f t="shared" si="252"/>
        <v>0.52095918367346949</v>
      </c>
      <c r="BU114" s="166">
        <f t="shared" si="252"/>
        <v>0.59762706413646827</v>
      </c>
      <c r="BV114" s="166">
        <f t="shared" si="252"/>
        <v>0.6539981253322219</v>
      </c>
      <c r="BW114" s="166">
        <f t="shared" si="252"/>
        <v>0.69777670276823955</v>
      </c>
      <c r="BX114" s="166">
        <f t="shared" si="252"/>
        <v>0.73332159263958985</v>
      </c>
      <c r="BY114" s="166">
        <f t="shared" si="252"/>
        <v>0.76323789052088498</v>
      </c>
      <c r="BZ114" s="166">
        <f t="shared" si="252"/>
        <v>0.78915649357262507</v>
      </c>
      <c r="CA114" s="166">
        <f t="shared" si="252"/>
        <v>0.81213836551011553</v>
      </c>
      <c r="CB114" s="166">
        <f t="shared" si="252"/>
        <v>0.83289606753594747</v>
      </c>
      <c r="CC114" s="166">
        <f t="shared" si="252"/>
        <v>0.85192120337711519</v>
      </c>
      <c r="CD114" s="166">
        <f t="shared" si="252"/>
        <v>0.86956087503612556</v>
      </c>
      <c r="CE114" s="166">
        <f t="shared" si="252"/>
        <v>0.88606522254175402</v>
      </c>
      <c r="CF114" s="166">
        <f t="shared" si="252"/>
        <v>0.90161790115307483</v>
      </c>
      <c r="CG114" s="166">
        <f t="shared" si="252"/>
        <v>0.91635613559301732</v>
      </c>
      <c r="CH114" s="166"/>
      <c r="CI114" s="167" t="s">
        <v>692</v>
      </c>
      <c r="CJ114" s="168" t="s">
        <v>865</v>
      </c>
      <c r="CK114" s="33" t="s">
        <v>866</v>
      </c>
      <c r="CL114" s="34"/>
    </row>
    <row r="115" spans="2:90" ht="16.5" customHeight="1">
      <c r="B115" s="166" t="s">
        <v>867</v>
      </c>
      <c r="C115" s="166">
        <f t="shared" ref="C115:AH115" si="253">IF(C114&lt;0.05,C25,0)</f>
        <v>0</v>
      </c>
      <c r="D115" s="166">
        <f t="shared" si="253"/>
        <v>0</v>
      </c>
      <c r="E115" s="166">
        <f t="shared" si="253"/>
        <v>0</v>
      </c>
      <c r="F115" s="166">
        <f t="shared" si="253"/>
        <v>0</v>
      </c>
      <c r="G115" s="166">
        <f t="shared" si="253"/>
        <v>0</v>
      </c>
      <c r="H115" s="166">
        <f t="shared" si="253"/>
        <v>0</v>
      </c>
      <c r="I115" s="166">
        <f t="shared" si="253"/>
        <v>0</v>
      </c>
      <c r="J115" s="166">
        <f t="shared" si="253"/>
        <v>0</v>
      </c>
      <c r="K115" s="166">
        <f t="shared" si="253"/>
        <v>0</v>
      </c>
      <c r="L115" s="166">
        <f t="shared" si="253"/>
        <v>0</v>
      </c>
      <c r="M115" s="166">
        <f t="shared" si="253"/>
        <v>0</v>
      </c>
      <c r="N115" s="166">
        <f t="shared" si="253"/>
        <v>0</v>
      </c>
      <c r="O115" s="166">
        <f t="shared" si="253"/>
        <v>0</v>
      </c>
      <c r="P115" s="166">
        <f t="shared" si="253"/>
        <v>0</v>
      </c>
      <c r="Q115" s="166">
        <f t="shared" si="253"/>
        <v>0</v>
      </c>
      <c r="R115" s="166">
        <f t="shared" si="253"/>
        <v>0</v>
      </c>
      <c r="S115" s="166">
        <f t="shared" si="253"/>
        <v>0</v>
      </c>
      <c r="T115" s="166">
        <f t="shared" si="253"/>
        <v>0</v>
      </c>
      <c r="U115" s="166">
        <f t="shared" si="253"/>
        <v>0</v>
      </c>
      <c r="V115" s="166">
        <f t="shared" si="253"/>
        <v>0</v>
      </c>
      <c r="W115" s="166">
        <f t="shared" si="253"/>
        <v>0</v>
      </c>
      <c r="X115" s="166">
        <f t="shared" si="253"/>
        <v>0</v>
      </c>
      <c r="Y115" s="166">
        <f t="shared" si="253"/>
        <v>0</v>
      </c>
      <c r="Z115" s="166">
        <f t="shared" si="253"/>
        <v>0</v>
      </c>
      <c r="AA115" s="166">
        <f t="shared" si="253"/>
        <v>0</v>
      </c>
      <c r="AB115" s="166">
        <f t="shared" si="253"/>
        <v>0</v>
      </c>
      <c r="AC115" s="166">
        <f t="shared" si="253"/>
        <v>0</v>
      </c>
      <c r="AD115" s="166">
        <f t="shared" si="253"/>
        <v>0</v>
      </c>
      <c r="AE115" s="166">
        <f t="shared" si="253"/>
        <v>0</v>
      </c>
      <c r="AF115" s="166">
        <f t="shared" si="253"/>
        <v>0</v>
      </c>
      <c r="AG115" s="166">
        <f t="shared" si="253"/>
        <v>0</v>
      </c>
      <c r="AH115" s="166">
        <f t="shared" si="253"/>
        <v>0</v>
      </c>
      <c r="AI115" s="166">
        <f t="shared" ref="AI115:BN115" si="254">IF(AI114&lt;0.05,AI25,0)</f>
        <v>0</v>
      </c>
      <c r="AJ115" s="166">
        <f t="shared" si="254"/>
        <v>0</v>
      </c>
      <c r="AK115" s="166">
        <f t="shared" si="254"/>
        <v>0</v>
      </c>
      <c r="AL115" s="166">
        <f t="shared" si="254"/>
        <v>0</v>
      </c>
      <c r="AM115" s="166">
        <f t="shared" si="254"/>
        <v>0</v>
      </c>
      <c r="AN115" s="166">
        <f t="shared" si="254"/>
        <v>0.54601915695819969</v>
      </c>
      <c r="AO115" s="166">
        <f t="shared" si="254"/>
        <v>0</v>
      </c>
      <c r="AP115" s="166">
        <f t="shared" si="254"/>
        <v>0</v>
      </c>
      <c r="AQ115" s="166">
        <f t="shared" si="254"/>
        <v>0</v>
      </c>
      <c r="AR115" s="166">
        <f t="shared" si="254"/>
        <v>0</v>
      </c>
      <c r="AS115" s="166">
        <f t="shared" si="254"/>
        <v>0</v>
      </c>
      <c r="AT115" s="166">
        <f t="shared" si="254"/>
        <v>0</v>
      </c>
      <c r="AU115" s="166">
        <f t="shared" si="254"/>
        <v>0</v>
      </c>
      <c r="AV115" s="166">
        <f t="shared" si="254"/>
        <v>0</v>
      </c>
      <c r="AW115" s="166">
        <f t="shared" si="254"/>
        <v>0</v>
      </c>
      <c r="AX115" s="166">
        <f t="shared" si="254"/>
        <v>0</v>
      </c>
      <c r="AY115" s="166">
        <f t="shared" si="254"/>
        <v>0</v>
      </c>
      <c r="AZ115" s="166">
        <f t="shared" si="254"/>
        <v>0.71014492753623282</v>
      </c>
      <c r="BA115" s="166">
        <f t="shared" si="254"/>
        <v>0.72463768115942118</v>
      </c>
      <c r="BB115" s="166">
        <f t="shared" si="254"/>
        <v>0</v>
      </c>
      <c r="BC115" s="166">
        <f t="shared" si="254"/>
        <v>0</v>
      </c>
      <c r="BD115" s="166">
        <f t="shared" si="254"/>
        <v>0</v>
      </c>
      <c r="BE115" s="166">
        <f t="shared" si="254"/>
        <v>0</v>
      </c>
      <c r="BF115" s="166">
        <f t="shared" si="254"/>
        <v>0</v>
      </c>
      <c r="BG115" s="166">
        <f t="shared" si="254"/>
        <v>0</v>
      </c>
      <c r="BH115" s="166">
        <f t="shared" si="254"/>
        <v>0</v>
      </c>
      <c r="BI115" s="166">
        <f t="shared" si="254"/>
        <v>0</v>
      </c>
      <c r="BJ115" s="166">
        <f t="shared" si="254"/>
        <v>0</v>
      </c>
      <c r="BK115" s="166">
        <f t="shared" si="254"/>
        <v>0</v>
      </c>
      <c r="BL115" s="166">
        <f t="shared" si="254"/>
        <v>0</v>
      </c>
      <c r="BM115" s="166">
        <f t="shared" si="254"/>
        <v>0</v>
      </c>
      <c r="BN115" s="166">
        <f t="shared" si="254"/>
        <v>0</v>
      </c>
      <c r="BO115" s="166">
        <f t="shared" ref="BO115:CG115" si="255">IF(BO114&lt;0.05,BO25,0)</f>
        <v>0</v>
      </c>
      <c r="BP115" s="166">
        <f t="shared" si="255"/>
        <v>0</v>
      </c>
      <c r="BQ115" s="166">
        <f t="shared" si="255"/>
        <v>0</v>
      </c>
      <c r="BR115" s="166">
        <f t="shared" si="255"/>
        <v>0</v>
      </c>
      <c r="BS115" s="166">
        <f t="shared" si="255"/>
        <v>0</v>
      </c>
      <c r="BT115" s="166">
        <f t="shared" si="255"/>
        <v>0</v>
      </c>
      <c r="BU115" s="166">
        <f t="shared" si="255"/>
        <v>0</v>
      </c>
      <c r="BV115" s="166">
        <f t="shared" si="255"/>
        <v>0</v>
      </c>
      <c r="BW115" s="166">
        <f t="shared" si="255"/>
        <v>0</v>
      </c>
      <c r="BX115" s="166">
        <f t="shared" si="255"/>
        <v>0</v>
      </c>
      <c r="BY115" s="166">
        <f t="shared" si="255"/>
        <v>0</v>
      </c>
      <c r="BZ115" s="166">
        <f t="shared" si="255"/>
        <v>0</v>
      </c>
      <c r="CA115" s="166">
        <f t="shared" si="255"/>
        <v>0</v>
      </c>
      <c r="CB115" s="166">
        <f t="shared" si="255"/>
        <v>0</v>
      </c>
      <c r="CC115" s="166">
        <f t="shared" si="255"/>
        <v>0</v>
      </c>
      <c r="CD115" s="166">
        <f t="shared" si="255"/>
        <v>0</v>
      </c>
      <c r="CE115" s="166">
        <f t="shared" si="255"/>
        <v>0</v>
      </c>
      <c r="CF115" s="166">
        <f t="shared" si="255"/>
        <v>0</v>
      </c>
      <c r="CG115" s="166">
        <f t="shared" si="255"/>
        <v>0</v>
      </c>
      <c r="CH115" s="166"/>
      <c r="CI115" s="167">
        <f>MAX(C115:CG115)</f>
        <v>0.72463768115942118</v>
      </c>
      <c r="CJ115" s="169">
        <f>SUM(CI115:CI121)/4</f>
        <v>0.74275362318840654</v>
      </c>
      <c r="CK115" s="21">
        <f>CJ115*'Design Spec'!D102</f>
        <v>111.41304347826099</v>
      </c>
      <c r="CL115" s="37" t="s">
        <v>187</v>
      </c>
    </row>
    <row r="116" spans="2:90" ht="16.5" customHeight="1">
      <c r="B116" s="166" t="s">
        <v>868</v>
      </c>
      <c r="C116" s="166">
        <f t="shared" ref="C116:AH116" si="256">ABS(C100-C53)</f>
        <v>1.5209591618552871</v>
      </c>
      <c r="D116" s="166">
        <f t="shared" si="256"/>
        <v>1.5196707967406313</v>
      </c>
      <c r="E116" s="166">
        <f t="shared" si="256"/>
        <v>1.5176650986491125</v>
      </c>
      <c r="F116" s="166">
        <f t="shared" si="256"/>
        <v>1.5147185012356295</v>
      </c>
      <c r="G116" s="166">
        <f t="shared" si="256"/>
        <v>1.5108094617701489</v>
      </c>
      <c r="H116" s="166">
        <f t="shared" si="256"/>
        <v>1.5059090481496185</v>
      </c>
      <c r="I116" s="166">
        <f t="shared" si="256"/>
        <v>1.4999804207432665</v>
      </c>
      <c r="J116" s="166">
        <f t="shared" si="256"/>
        <v>1.4929781596489309</v>
      </c>
      <c r="K116" s="166">
        <f t="shared" si="256"/>
        <v>1.4848474157412286</v>
      </c>
      <c r="L116" s="166">
        <f t="shared" si="256"/>
        <v>1.4755228575765937</v>
      </c>
      <c r="M116" s="166">
        <f t="shared" si="256"/>
        <v>1.4649273785756962</v>
      </c>
      <c r="N116" s="166">
        <f t="shared" si="256"/>
        <v>1.4529705195415032</v>
      </c>
      <c r="O116" s="166">
        <f t="shared" si="256"/>
        <v>1.4395465500119817</v>
      </c>
      <c r="P116" s="166">
        <f t="shared" si="256"/>
        <v>1.4245321376034421</v>
      </c>
      <c r="Q116" s="166">
        <f t="shared" si="256"/>
        <v>1.4077835166672461</v>
      </c>
      <c r="R116" s="166">
        <f t="shared" si="256"/>
        <v>1.3891330454345698</v>
      </c>
      <c r="S116" s="166">
        <f t="shared" si="256"/>
        <v>1.3683850134547224</v>
      </c>
      <c r="T116" s="166">
        <f t="shared" si="256"/>
        <v>1.3453105276626458</v>
      </c>
      <c r="U116" s="166">
        <f t="shared" si="256"/>
        <v>1.3196412652457863</v>
      </c>
      <c r="V116" s="166">
        <f t="shared" si="256"/>
        <v>1.2910618348621747</v>
      </c>
      <c r="W116" s="166">
        <f t="shared" si="256"/>
        <v>1.2592004368996066</v>
      </c>
      <c r="X116" s="166">
        <f t="shared" si="256"/>
        <v>1.2236174647790632</v>
      </c>
      <c r="Y116" s="166">
        <f t="shared" si="256"/>
        <v>1.1837916578029803</v>
      </c>
      <c r="Z116" s="166">
        <f t="shared" si="256"/>
        <v>1.1391034337936474</v>
      </c>
      <c r="AA116" s="166">
        <f t="shared" si="256"/>
        <v>1.0888151620817375</v>
      </c>
      <c r="AB116" s="166">
        <f t="shared" si="256"/>
        <v>1.0320485135919855</v>
      </c>
      <c r="AC116" s="166">
        <f t="shared" si="256"/>
        <v>0.96775989546984198</v>
      </c>
      <c r="AD116" s="166">
        <f t="shared" si="256"/>
        <v>0.89471681916836254</v>
      </c>
      <c r="AE116" s="166">
        <f t="shared" si="256"/>
        <v>0.81148174549227126</v>
      </c>
      <c r="AF116" s="166">
        <f t="shared" si="256"/>
        <v>0.71641706749036405</v>
      </c>
      <c r="AG116" s="166">
        <f t="shared" si="256"/>
        <v>0.60773802379950514</v>
      </c>
      <c r="AH116" s="166">
        <f t="shared" si="256"/>
        <v>0.4836631172288044</v>
      </c>
      <c r="AI116" s="166">
        <f t="shared" ref="AI116:BN116" si="257">ABS(AI100-AI53)</f>
        <v>0.34274704625943309</v>
      </c>
      <c r="AJ116" s="166">
        <f t="shared" si="257"/>
        <v>0.18452420559054117</v>
      </c>
      <c r="AK116" s="166">
        <f t="shared" si="257"/>
        <v>1.0606916417035483E-2</v>
      </c>
      <c r="AL116" s="166">
        <f t="shared" si="257"/>
        <v>0.17373417850190886</v>
      </c>
      <c r="AM116" s="166">
        <f t="shared" si="257"/>
        <v>0.3579281093990494</v>
      </c>
      <c r="AN116" s="166">
        <f t="shared" si="257"/>
        <v>0.52569620621785274</v>
      </c>
      <c r="AO116" s="166">
        <f t="shared" si="257"/>
        <v>0.65780698900411116</v>
      </c>
      <c r="AP116" s="166">
        <f t="shared" si="257"/>
        <v>0.69016627914378037</v>
      </c>
      <c r="AQ116" s="166">
        <f t="shared" si="257"/>
        <v>0.75237497825006172</v>
      </c>
      <c r="AR116" s="166">
        <f t="shared" si="257"/>
        <v>0.75851663198414454</v>
      </c>
      <c r="AS116" s="166">
        <f t="shared" si="257"/>
        <v>0.71813259326206214</v>
      </c>
      <c r="AT116" s="166">
        <f t="shared" si="257"/>
        <v>0.64621730147113232</v>
      </c>
      <c r="AU116" s="166">
        <f t="shared" si="257"/>
        <v>0.55730729908302856</v>
      </c>
      <c r="AV116" s="166">
        <f t="shared" si="257"/>
        <v>0.46238997473010901</v>
      </c>
      <c r="AW116" s="166">
        <f t="shared" si="257"/>
        <v>0.36847784298902631</v>
      </c>
      <c r="AX116" s="166">
        <f t="shared" si="257"/>
        <v>0.27944442858126584</v>
      </c>
      <c r="AY116" s="166">
        <f t="shared" si="257"/>
        <v>0.19707711152273921</v>
      </c>
      <c r="AZ116" s="166">
        <f t="shared" si="257"/>
        <v>0.1219208698732408</v>
      </c>
      <c r="BA116" s="166">
        <f t="shared" si="257"/>
        <v>5.3844191451997814E-2</v>
      </c>
      <c r="BB116" s="166">
        <f t="shared" si="257"/>
        <v>7.6162960787560241E-3</v>
      </c>
      <c r="BC116" s="166">
        <f t="shared" si="257"/>
        <v>6.3058991774172402E-2</v>
      </c>
      <c r="BD116" s="166">
        <f t="shared" si="257"/>
        <v>0.11311094626773222</v>
      </c>
      <c r="BE116" s="166">
        <f t="shared" si="257"/>
        <v>0.15837406230770723</v>
      </c>
      <c r="BF116" s="166">
        <f t="shared" si="257"/>
        <v>0.19940073927236179</v>
      </c>
      <c r="BG116" s="166">
        <f t="shared" si="257"/>
        <v>0.23668543903049888</v>
      </c>
      <c r="BH116" s="166">
        <f t="shared" si="257"/>
        <v>0.27066448411128086</v>
      </c>
      <c r="BI116" s="166">
        <f t="shared" si="257"/>
        <v>0.30171981085305677</v>
      </c>
      <c r="BJ116" s="166">
        <f t="shared" si="257"/>
        <v>0.33018435239854882</v>
      </c>
      <c r="BK116" s="166">
        <f t="shared" si="257"/>
        <v>0.35634782696752776</v>
      </c>
      <c r="BL116" s="166">
        <f t="shared" si="257"/>
        <v>0.38046231917142248</v>
      </c>
      <c r="BM116" s="166">
        <f t="shared" si="257"/>
        <v>0.40274737751064271</v>
      </c>
      <c r="BN116" s="166">
        <f t="shared" si="257"/>
        <v>0.42339453067557842</v>
      </c>
      <c r="BO116" s="166">
        <f t="shared" ref="BO116:CG116" si="258">ABS(BO100-BO53)</f>
        <v>0.44257121769752739</v>
      </c>
      <c r="BP116" s="166">
        <f t="shared" si="258"/>
        <v>0.46042417133983093</v>
      </c>
      <c r="BQ116" s="166">
        <f t="shared" si="258"/>
        <v>0.47708231236653975</v>
      </c>
      <c r="BR116" s="166">
        <f t="shared" si="258"/>
        <v>0.49265921681790514</v>
      </c>
      <c r="BS116" s="166">
        <f t="shared" si="258"/>
        <v>0.5072552160335142</v>
      </c>
      <c r="BT116" s="166">
        <f t="shared" si="258"/>
        <v>0.52095918367346949</v>
      </c>
      <c r="BU116" s="166">
        <f t="shared" si="258"/>
        <v>0.59608159990035869</v>
      </c>
      <c r="BV116" s="166">
        <f t="shared" si="258"/>
        <v>0.64924905336555572</v>
      </c>
      <c r="BW116" s="166">
        <f t="shared" si="258"/>
        <v>0.6891911995862442</v>
      </c>
      <c r="BX116" s="166">
        <f t="shared" si="258"/>
        <v>0.72065941456604787</v>
      </c>
      <c r="BY116" s="166">
        <f t="shared" si="258"/>
        <v>0.74643382679031034</v>
      </c>
      <c r="BZ116" s="166">
        <f t="shared" si="258"/>
        <v>0.76823531878954254</v>
      </c>
      <c r="CA116" s="166">
        <f t="shared" si="258"/>
        <v>0.78717749171155194</v>
      </c>
      <c r="CB116" s="166">
        <f t="shared" si="258"/>
        <v>0.80400706283833112</v>
      </c>
      <c r="CC116" s="166">
        <f t="shared" si="258"/>
        <v>0.81923938730221391</v>
      </c>
      <c r="CD116" s="166">
        <f t="shared" si="258"/>
        <v>0.83323864591655161</v>
      </c>
      <c r="CE116" s="166">
        <f t="shared" si="258"/>
        <v>0.84626726705058164</v>
      </c>
      <c r="CF116" s="166">
        <f t="shared" si="258"/>
        <v>0.8585174629247061</v>
      </c>
      <c r="CG116" s="166">
        <f t="shared" si="258"/>
        <v>0.87013196215891042</v>
      </c>
      <c r="CH116" s="166"/>
      <c r="CI116" s="167"/>
      <c r="CJ116" s="169"/>
      <c r="CL116" s="37"/>
    </row>
    <row r="117" spans="2:90" ht="16.5" customHeight="1">
      <c r="B117" s="166" t="s">
        <v>867</v>
      </c>
      <c r="C117" s="166">
        <f t="shared" ref="C117:AH117" si="259">IF(C116&lt;0.05,C25,0)</f>
        <v>0</v>
      </c>
      <c r="D117" s="166">
        <f t="shared" si="259"/>
        <v>0</v>
      </c>
      <c r="E117" s="166">
        <f t="shared" si="259"/>
        <v>0</v>
      </c>
      <c r="F117" s="166">
        <f t="shared" si="259"/>
        <v>0</v>
      </c>
      <c r="G117" s="166">
        <f t="shared" si="259"/>
        <v>0</v>
      </c>
      <c r="H117" s="166">
        <f t="shared" si="259"/>
        <v>0</v>
      </c>
      <c r="I117" s="166">
        <f t="shared" si="259"/>
        <v>0</v>
      </c>
      <c r="J117" s="166">
        <f t="shared" si="259"/>
        <v>0</v>
      </c>
      <c r="K117" s="166">
        <f t="shared" si="259"/>
        <v>0</v>
      </c>
      <c r="L117" s="166">
        <f t="shared" si="259"/>
        <v>0</v>
      </c>
      <c r="M117" s="166">
        <f t="shared" si="259"/>
        <v>0</v>
      </c>
      <c r="N117" s="166">
        <f t="shared" si="259"/>
        <v>0</v>
      </c>
      <c r="O117" s="166">
        <f t="shared" si="259"/>
        <v>0</v>
      </c>
      <c r="P117" s="166">
        <f t="shared" si="259"/>
        <v>0</v>
      </c>
      <c r="Q117" s="166">
        <f t="shared" si="259"/>
        <v>0</v>
      </c>
      <c r="R117" s="166">
        <f t="shared" si="259"/>
        <v>0</v>
      </c>
      <c r="S117" s="166">
        <f t="shared" si="259"/>
        <v>0</v>
      </c>
      <c r="T117" s="166">
        <f t="shared" si="259"/>
        <v>0</v>
      </c>
      <c r="U117" s="166">
        <f t="shared" si="259"/>
        <v>0</v>
      </c>
      <c r="V117" s="166">
        <f t="shared" si="259"/>
        <v>0</v>
      </c>
      <c r="W117" s="166">
        <f t="shared" si="259"/>
        <v>0</v>
      </c>
      <c r="X117" s="166">
        <f t="shared" si="259"/>
        <v>0</v>
      </c>
      <c r="Y117" s="166">
        <f t="shared" si="259"/>
        <v>0</v>
      </c>
      <c r="Z117" s="166">
        <f t="shared" si="259"/>
        <v>0</v>
      </c>
      <c r="AA117" s="166">
        <f t="shared" si="259"/>
        <v>0</v>
      </c>
      <c r="AB117" s="166">
        <f t="shared" si="259"/>
        <v>0</v>
      </c>
      <c r="AC117" s="166">
        <f t="shared" si="259"/>
        <v>0</v>
      </c>
      <c r="AD117" s="166">
        <f t="shared" si="259"/>
        <v>0</v>
      </c>
      <c r="AE117" s="166">
        <f t="shared" si="259"/>
        <v>0</v>
      </c>
      <c r="AF117" s="166">
        <f t="shared" si="259"/>
        <v>0</v>
      </c>
      <c r="AG117" s="166">
        <f t="shared" si="259"/>
        <v>0</v>
      </c>
      <c r="AH117" s="166">
        <f t="shared" si="259"/>
        <v>0</v>
      </c>
      <c r="AI117" s="166">
        <f t="shared" ref="AI117:BN117" si="260">IF(AI116&lt;0.05,AI25,0)</f>
        <v>0</v>
      </c>
      <c r="AJ117" s="166">
        <f t="shared" si="260"/>
        <v>0</v>
      </c>
      <c r="AK117" s="166">
        <f t="shared" si="260"/>
        <v>0.50254089608863461</v>
      </c>
      <c r="AL117" s="166">
        <f t="shared" si="260"/>
        <v>0</v>
      </c>
      <c r="AM117" s="166">
        <f t="shared" si="260"/>
        <v>0</v>
      </c>
      <c r="AN117" s="166">
        <f t="shared" si="260"/>
        <v>0</v>
      </c>
      <c r="AO117" s="166">
        <f t="shared" si="260"/>
        <v>0</v>
      </c>
      <c r="AP117" s="166">
        <f t="shared" si="260"/>
        <v>0</v>
      </c>
      <c r="AQ117" s="166">
        <f t="shared" si="260"/>
        <v>0</v>
      </c>
      <c r="AR117" s="166">
        <f t="shared" si="260"/>
        <v>0</v>
      </c>
      <c r="AS117" s="166">
        <f t="shared" si="260"/>
        <v>0</v>
      </c>
      <c r="AT117" s="166">
        <f t="shared" si="260"/>
        <v>0</v>
      </c>
      <c r="AU117" s="166">
        <f t="shared" si="260"/>
        <v>0</v>
      </c>
      <c r="AV117" s="166">
        <f t="shared" si="260"/>
        <v>0</v>
      </c>
      <c r="AW117" s="166">
        <f t="shared" si="260"/>
        <v>0</v>
      </c>
      <c r="AX117" s="166">
        <f t="shared" si="260"/>
        <v>0</v>
      </c>
      <c r="AY117" s="166">
        <f t="shared" si="260"/>
        <v>0</v>
      </c>
      <c r="AZ117" s="166">
        <f t="shared" si="260"/>
        <v>0</v>
      </c>
      <c r="BA117" s="166">
        <f t="shared" si="260"/>
        <v>0</v>
      </c>
      <c r="BB117" s="166">
        <f t="shared" si="260"/>
        <v>0.73913043478260954</v>
      </c>
      <c r="BC117" s="166">
        <f t="shared" si="260"/>
        <v>0</v>
      </c>
      <c r="BD117" s="166">
        <f t="shared" si="260"/>
        <v>0</v>
      </c>
      <c r="BE117" s="166">
        <f t="shared" si="260"/>
        <v>0</v>
      </c>
      <c r="BF117" s="166">
        <f t="shared" si="260"/>
        <v>0</v>
      </c>
      <c r="BG117" s="166">
        <f t="shared" si="260"/>
        <v>0</v>
      </c>
      <c r="BH117" s="166">
        <f t="shared" si="260"/>
        <v>0</v>
      </c>
      <c r="BI117" s="166">
        <f t="shared" si="260"/>
        <v>0</v>
      </c>
      <c r="BJ117" s="166">
        <f t="shared" si="260"/>
        <v>0</v>
      </c>
      <c r="BK117" s="166">
        <f t="shared" si="260"/>
        <v>0</v>
      </c>
      <c r="BL117" s="166">
        <f t="shared" si="260"/>
        <v>0</v>
      </c>
      <c r="BM117" s="166">
        <f t="shared" si="260"/>
        <v>0</v>
      </c>
      <c r="BN117" s="166">
        <f t="shared" si="260"/>
        <v>0</v>
      </c>
      <c r="BO117" s="166">
        <f t="shared" ref="BO117:CG117" si="261">IF(BO116&lt;0.05,BO25,0)</f>
        <v>0</v>
      </c>
      <c r="BP117" s="166">
        <f t="shared" si="261"/>
        <v>0</v>
      </c>
      <c r="BQ117" s="166">
        <f t="shared" si="261"/>
        <v>0</v>
      </c>
      <c r="BR117" s="166">
        <f t="shared" si="261"/>
        <v>0</v>
      </c>
      <c r="BS117" s="166">
        <f t="shared" si="261"/>
        <v>0</v>
      </c>
      <c r="BT117" s="166">
        <f t="shared" si="261"/>
        <v>0</v>
      </c>
      <c r="BU117" s="166">
        <f t="shared" si="261"/>
        <v>0</v>
      </c>
      <c r="BV117" s="166">
        <f t="shared" si="261"/>
        <v>0</v>
      </c>
      <c r="BW117" s="166">
        <f t="shared" si="261"/>
        <v>0</v>
      </c>
      <c r="BX117" s="166">
        <f t="shared" si="261"/>
        <v>0</v>
      </c>
      <c r="BY117" s="166">
        <f t="shared" si="261"/>
        <v>0</v>
      </c>
      <c r="BZ117" s="166">
        <f t="shared" si="261"/>
        <v>0</v>
      </c>
      <c r="CA117" s="166">
        <f t="shared" si="261"/>
        <v>0</v>
      </c>
      <c r="CB117" s="166">
        <f t="shared" si="261"/>
        <v>0</v>
      </c>
      <c r="CC117" s="166">
        <f t="shared" si="261"/>
        <v>0</v>
      </c>
      <c r="CD117" s="166">
        <f t="shared" si="261"/>
        <v>0</v>
      </c>
      <c r="CE117" s="166">
        <f t="shared" si="261"/>
        <v>0</v>
      </c>
      <c r="CF117" s="166">
        <f t="shared" si="261"/>
        <v>0</v>
      </c>
      <c r="CG117" s="166">
        <f t="shared" si="261"/>
        <v>0</v>
      </c>
      <c r="CH117" s="166"/>
      <c r="CI117" s="167">
        <f>MAX(C117:CG117)</f>
        <v>0.73913043478260954</v>
      </c>
      <c r="CJ117" s="169"/>
      <c r="CL117" s="37"/>
    </row>
    <row r="118" spans="2:90" ht="16.5" customHeight="1">
      <c r="B118" s="166" t="s">
        <v>869</v>
      </c>
      <c r="C118" s="166">
        <f t="shared" ref="C118:AH118" si="262">ABS(C101-C53)</f>
        <v>1.5209591618552871</v>
      </c>
      <c r="D118" s="166">
        <f t="shared" si="262"/>
        <v>1.5196706550904855</v>
      </c>
      <c r="E118" s="166">
        <f t="shared" si="262"/>
        <v>1.5176641717252974</v>
      </c>
      <c r="F118" s="166">
        <f t="shared" si="262"/>
        <v>1.5147151692701071</v>
      </c>
      <c r="G118" s="166">
        <f t="shared" si="262"/>
        <v>1.5108006304816095</v>
      </c>
      <c r="H118" s="166">
        <f t="shared" si="262"/>
        <v>1.5058895810507702</v>
      </c>
      <c r="I118" s="166">
        <f t="shared" si="262"/>
        <v>1.4999424787967874</v>
      </c>
      <c r="J118" s="166">
        <f t="shared" si="262"/>
        <v>1.4929104152845218</v>
      </c>
      <c r="K118" s="166">
        <f t="shared" si="262"/>
        <v>1.4847340999440615</v>
      </c>
      <c r="L118" s="166">
        <f t="shared" si="262"/>
        <v>1.475342587317394</v>
      </c>
      <c r="M118" s="166">
        <f t="shared" si="262"/>
        <v>1.4646516961724143</v>
      </c>
      <c r="N118" s="166">
        <f t="shared" si="262"/>
        <v>1.452562054043282</v>
      </c>
      <c r="O118" s="166">
        <f t="shared" si="262"/>
        <v>1.4389566811093149</v>
      </c>
      <c r="P118" s="166">
        <f t="shared" si="262"/>
        <v>1.4236980016141925</v>
      </c>
      <c r="Q118" s="166">
        <f t="shared" si="262"/>
        <v>1.4066241370481616</v>
      </c>
      <c r="R118" s="166">
        <f t="shared" si="262"/>
        <v>1.3875442899999881</v>
      </c>
      <c r="S118" s="166">
        <f t="shared" si="262"/>
        <v>1.3662329666329236</v>
      </c>
      <c r="T118" s="166">
        <f t="shared" si="262"/>
        <v>1.3424227030881233</v>
      </c>
      <c r="U118" s="166">
        <f t="shared" si="262"/>
        <v>1.3157948481849553</v>
      </c>
      <c r="V118" s="166">
        <f t="shared" si="262"/>
        <v>1.2859677993837217</v>
      </c>
      <c r="W118" s="166">
        <f t="shared" si="262"/>
        <v>1.2524818738211048</v>
      </c>
      <c r="X118" s="166">
        <f t="shared" si="262"/>
        <v>1.2147796969818754</v>
      </c>
      <c r="Y118" s="166">
        <f t="shared" si="262"/>
        <v>1.1721805745223608</v>
      </c>
      <c r="Z118" s="166">
        <f t="shared" si="262"/>
        <v>1.1238467328893238</v>
      </c>
      <c r="AA118" s="166">
        <f t="shared" si="262"/>
        <v>1.0687385161523606</v>
      </c>
      <c r="AB118" s="166">
        <f t="shared" si="262"/>
        <v>1.0055545542925493</v>
      </c>
      <c r="AC118" s="166">
        <f t="shared" si="262"/>
        <v>0.93265155526731147</v>
      </c>
      <c r="AD118" s="166">
        <f t="shared" si="262"/>
        <v>0.84793685878476788</v>
      </c>
      <c r="AE118" s="166">
        <f t="shared" si="262"/>
        <v>0.7487258465502552</v>
      </c>
      <c r="AF118" s="166">
        <f t="shared" si="262"/>
        <v>0.63155771932876947</v>
      </c>
      <c r="AG118" s="166">
        <f t="shared" si="262"/>
        <v>0.49197270122401759</v>
      </c>
      <c r="AH118" s="166">
        <f t="shared" si="262"/>
        <v>0.32428675226400716</v>
      </c>
      <c r="AI118" s="166">
        <f t="shared" ref="AI118:BN118" si="263">ABS(AI101-AI53)</f>
        <v>0.12149592625597294</v>
      </c>
      <c r="AJ118" s="166">
        <f t="shared" si="263"/>
        <v>0.12430366602173093</v>
      </c>
      <c r="AK118" s="166">
        <f t="shared" si="263"/>
        <v>0.4199937258695432</v>
      </c>
      <c r="AL118" s="166">
        <f t="shared" si="263"/>
        <v>0.76589752765887309</v>
      </c>
      <c r="AM118" s="166">
        <f t="shared" si="263"/>
        <v>1.1437305554753936</v>
      </c>
      <c r="AN118" s="166">
        <f t="shared" si="263"/>
        <v>1.5000705697316234</v>
      </c>
      <c r="AO118" s="166">
        <f t="shared" si="263"/>
        <v>1.7471874494076813</v>
      </c>
      <c r="AP118" s="166">
        <f t="shared" si="263"/>
        <v>1.7900660359410814</v>
      </c>
      <c r="AQ118" s="166">
        <f t="shared" si="263"/>
        <v>1.7947317530434226</v>
      </c>
      <c r="AR118" s="166">
        <f t="shared" si="263"/>
        <v>1.6445259453624186</v>
      </c>
      <c r="AS118" s="166">
        <f t="shared" si="263"/>
        <v>1.4169555465162598</v>
      </c>
      <c r="AT118" s="166">
        <f t="shared" si="263"/>
        <v>1.1746877585279305</v>
      </c>
      <c r="AU118" s="166">
        <f t="shared" si="263"/>
        <v>0.94955749331487138</v>
      </c>
      <c r="AV118" s="166">
        <f t="shared" si="263"/>
        <v>0.75223867414153722</v>
      </c>
      <c r="AW118" s="166">
        <f t="shared" si="263"/>
        <v>0.58335456034378086</v>
      </c>
      <c r="AX118" s="166">
        <f t="shared" si="263"/>
        <v>0.43984054220431679</v>
      </c>
      <c r="AY118" s="166">
        <f t="shared" si="263"/>
        <v>0.31778229649926892</v>
      </c>
      <c r="AZ118" s="166">
        <f t="shared" si="263"/>
        <v>0.21348840650470624</v>
      </c>
      <c r="BA118" s="166">
        <f t="shared" si="263"/>
        <v>0.12380801170638867</v>
      </c>
      <c r="BB118" s="166">
        <f t="shared" si="263"/>
        <v>4.6158425580897999E-2</v>
      </c>
      <c r="BC118" s="166">
        <f t="shared" si="263"/>
        <v>2.1543252421491799E-2</v>
      </c>
      <c r="BD118" s="166">
        <f t="shared" si="263"/>
        <v>8.0969006024364854E-2</v>
      </c>
      <c r="BE118" s="166">
        <f t="shared" si="263"/>
        <v>0.13346258018305579</v>
      </c>
      <c r="BF118" s="166">
        <f t="shared" si="263"/>
        <v>0.18010854464200032</v>
      </c>
      <c r="BG118" s="166">
        <f t="shared" si="263"/>
        <v>0.22178741986114336</v>
      </c>
      <c r="BH118" s="166">
        <f t="shared" si="263"/>
        <v>0.25921879985637664</v>
      </c>
      <c r="BI118" s="166">
        <f t="shared" si="263"/>
        <v>0.29299481987978693</v>
      </c>
      <c r="BJ118" s="166">
        <f t="shared" si="263"/>
        <v>0.32360609436457932</v>
      </c>
      <c r="BK118" s="166">
        <f t="shared" si="263"/>
        <v>0.35146186398274804</v>
      </c>
      <c r="BL118" s="166">
        <f t="shared" si="263"/>
        <v>0.37690571184566957</v>
      </c>
      <c r="BM118" s="166">
        <f t="shared" si="263"/>
        <v>0.40022789015516325</v>
      </c>
      <c r="BN118" s="166">
        <f t="shared" si="263"/>
        <v>0.42167504703329994</v>
      </c>
      <c r="BO118" s="166">
        <f t="shared" ref="BO118:CG118" si="264">ABS(BO101-BO53)</f>
        <v>0.44145795064540794</v>
      </c>
      <c r="BP118" s="166">
        <f t="shared" si="264"/>
        <v>0.45975766242203031</v>
      </c>
      <c r="BQ118" s="166">
        <f t="shared" si="264"/>
        <v>0.47673050225598002</v>
      </c>
      <c r="BR118" s="166">
        <f t="shared" si="264"/>
        <v>0.49251206701337247</v>
      </c>
      <c r="BS118" s="166">
        <f t="shared" si="264"/>
        <v>0.50722050257670603</v>
      </c>
      <c r="BT118" s="166">
        <f t="shared" si="264"/>
        <v>0.52095918367346949</v>
      </c>
      <c r="BU118" s="166">
        <f t="shared" si="264"/>
        <v>0.5949729334907542</v>
      </c>
      <c r="BV118" s="166">
        <f t="shared" si="264"/>
        <v>0.64580867481229265</v>
      </c>
      <c r="BW118" s="166">
        <f t="shared" si="264"/>
        <v>0.68289157196818051</v>
      </c>
      <c r="BX118" s="166">
        <f t="shared" si="264"/>
        <v>0.7112317224170791</v>
      </c>
      <c r="BY118" s="166">
        <f t="shared" si="264"/>
        <v>0.73372247358344467</v>
      </c>
      <c r="BZ118" s="166">
        <f t="shared" si="264"/>
        <v>0.7521429610789172</v>
      </c>
      <c r="CA118" s="166">
        <f t="shared" si="264"/>
        <v>0.76764213759324862</v>
      </c>
      <c r="CB118" s="166">
        <f t="shared" si="264"/>
        <v>0.78099165105513468</v>
      </c>
      <c r="CC118" s="166">
        <f t="shared" si="264"/>
        <v>0.79272656320630475</v>
      </c>
      <c r="CD118" s="166">
        <f t="shared" si="264"/>
        <v>0.80322780222939338</v>
      </c>
      <c r="CE118" s="166">
        <f t="shared" si="264"/>
        <v>0.81277259858593665</v>
      </c>
      <c r="CF118" s="166">
        <f t="shared" si="264"/>
        <v>0.82156648078420447</v>
      </c>
      <c r="CG118" s="166">
        <f t="shared" si="264"/>
        <v>0.82976421746352935</v>
      </c>
      <c r="CH118" s="166"/>
      <c r="CI118" s="167"/>
      <c r="CJ118" s="169"/>
      <c r="CL118" s="37"/>
    </row>
    <row r="119" spans="2:90" ht="16.5" customHeight="1">
      <c r="B119" s="166" t="s">
        <v>867</v>
      </c>
      <c r="C119" s="166">
        <f t="shared" ref="C119:AH119" si="265">IF(C118&lt;0.05,C25,0)</f>
        <v>0</v>
      </c>
      <c r="D119" s="166">
        <f t="shared" si="265"/>
        <v>0</v>
      </c>
      <c r="E119" s="166">
        <f t="shared" si="265"/>
        <v>0</v>
      </c>
      <c r="F119" s="166">
        <f t="shared" si="265"/>
        <v>0</v>
      </c>
      <c r="G119" s="166">
        <f t="shared" si="265"/>
        <v>0</v>
      </c>
      <c r="H119" s="166">
        <f t="shared" si="265"/>
        <v>0</v>
      </c>
      <c r="I119" s="166">
        <f t="shared" si="265"/>
        <v>0</v>
      </c>
      <c r="J119" s="166">
        <f t="shared" si="265"/>
        <v>0</v>
      </c>
      <c r="K119" s="166">
        <f t="shared" si="265"/>
        <v>0</v>
      </c>
      <c r="L119" s="166">
        <f t="shared" si="265"/>
        <v>0</v>
      </c>
      <c r="M119" s="166">
        <f t="shared" si="265"/>
        <v>0</v>
      </c>
      <c r="N119" s="166">
        <f t="shared" si="265"/>
        <v>0</v>
      </c>
      <c r="O119" s="166">
        <f t="shared" si="265"/>
        <v>0</v>
      </c>
      <c r="P119" s="166">
        <f t="shared" si="265"/>
        <v>0</v>
      </c>
      <c r="Q119" s="166">
        <f t="shared" si="265"/>
        <v>0</v>
      </c>
      <c r="R119" s="166">
        <f t="shared" si="265"/>
        <v>0</v>
      </c>
      <c r="S119" s="166">
        <f t="shared" si="265"/>
        <v>0</v>
      </c>
      <c r="T119" s="166">
        <f t="shared" si="265"/>
        <v>0</v>
      </c>
      <c r="U119" s="166">
        <f t="shared" si="265"/>
        <v>0</v>
      </c>
      <c r="V119" s="166">
        <f t="shared" si="265"/>
        <v>0</v>
      </c>
      <c r="W119" s="166">
        <f t="shared" si="265"/>
        <v>0</v>
      </c>
      <c r="X119" s="166">
        <f t="shared" si="265"/>
        <v>0</v>
      </c>
      <c r="Y119" s="166">
        <f t="shared" si="265"/>
        <v>0</v>
      </c>
      <c r="Z119" s="166">
        <f t="shared" si="265"/>
        <v>0</v>
      </c>
      <c r="AA119" s="166">
        <f t="shared" si="265"/>
        <v>0</v>
      </c>
      <c r="AB119" s="166">
        <f t="shared" si="265"/>
        <v>0</v>
      </c>
      <c r="AC119" s="166">
        <f t="shared" si="265"/>
        <v>0</v>
      </c>
      <c r="AD119" s="166">
        <f t="shared" si="265"/>
        <v>0</v>
      </c>
      <c r="AE119" s="166">
        <f t="shared" si="265"/>
        <v>0</v>
      </c>
      <c r="AF119" s="166">
        <f t="shared" si="265"/>
        <v>0</v>
      </c>
      <c r="AG119" s="166">
        <f t="shared" si="265"/>
        <v>0</v>
      </c>
      <c r="AH119" s="166">
        <f t="shared" si="265"/>
        <v>0</v>
      </c>
      <c r="AI119" s="166">
        <f t="shared" ref="AI119:BN119" si="266">IF(AI118&lt;0.05,AI25,0)</f>
        <v>0</v>
      </c>
      <c r="AJ119" s="166">
        <f t="shared" si="266"/>
        <v>0</v>
      </c>
      <c r="AK119" s="166">
        <f t="shared" si="266"/>
        <v>0</v>
      </c>
      <c r="AL119" s="166">
        <f t="shared" si="266"/>
        <v>0</v>
      </c>
      <c r="AM119" s="166">
        <f t="shared" si="266"/>
        <v>0</v>
      </c>
      <c r="AN119" s="166">
        <f t="shared" si="266"/>
        <v>0</v>
      </c>
      <c r="AO119" s="166">
        <f t="shared" si="266"/>
        <v>0</v>
      </c>
      <c r="AP119" s="166">
        <f t="shared" si="266"/>
        <v>0</v>
      </c>
      <c r="AQ119" s="166">
        <f t="shared" si="266"/>
        <v>0</v>
      </c>
      <c r="AR119" s="166">
        <f t="shared" si="266"/>
        <v>0</v>
      </c>
      <c r="AS119" s="166">
        <f t="shared" si="266"/>
        <v>0</v>
      </c>
      <c r="AT119" s="166">
        <f t="shared" si="266"/>
        <v>0</v>
      </c>
      <c r="AU119" s="166">
        <f t="shared" si="266"/>
        <v>0</v>
      </c>
      <c r="AV119" s="166">
        <f t="shared" si="266"/>
        <v>0</v>
      </c>
      <c r="AW119" s="166">
        <f t="shared" si="266"/>
        <v>0</v>
      </c>
      <c r="AX119" s="166">
        <f t="shared" si="266"/>
        <v>0</v>
      </c>
      <c r="AY119" s="166">
        <f t="shared" si="266"/>
        <v>0</v>
      </c>
      <c r="AZ119" s="166">
        <f t="shared" si="266"/>
        <v>0</v>
      </c>
      <c r="BA119" s="166">
        <f t="shared" si="266"/>
        <v>0</v>
      </c>
      <c r="BB119" s="166">
        <f t="shared" si="266"/>
        <v>0.73913043478260954</v>
      </c>
      <c r="BC119" s="166">
        <f t="shared" si="266"/>
        <v>0.75362318840579789</v>
      </c>
      <c r="BD119" s="166">
        <f t="shared" si="266"/>
        <v>0</v>
      </c>
      <c r="BE119" s="166">
        <f t="shared" si="266"/>
        <v>0</v>
      </c>
      <c r="BF119" s="166">
        <f t="shared" si="266"/>
        <v>0</v>
      </c>
      <c r="BG119" s="166">
        <f t="shared" si="266"/>
        <v>0</v>
      </c>
      <c r="BH119" s="166">
        <f t="shared" si="266"/>
        <v>0</v>
      </c>
      <c r="BI119" s="166">
        <f t="shared" si="266"/>
        <v>0</v>
      </c>
      <c r="BJ119" s="166">
        <f t="shared" si="266"/>
        <v>0</v>
      </c>
      <c r="BK119" s="166">
        <f t="shared" si="266"/>
        <v>0</v>
      </c>
      <c r="BL119" s="166">
        <f t="shared" si="266"/>
        <v>0</v>
      </c>
      <c r="BM119" s="166">
        <f t="shared" si="266"/>
        <v>0</v>
      </c>
      <c r="BN119" s="166">
        <f t="shared" si="266"/>
        <v>0</v>
      </c>
      <c r="BO119" s="166">
        <f t="shared" ref="BO119:CG119" si="267">IF(BO118&lt;0.05,BO25,0)</f>
        <v>0</v>
      </c>
      <c r="BP119" s="166">
        <f t="shared" si="267"/>
        <v>0</v>
      </c>
      <c r="BQ119" s="166">
        <f t="shared" si="267"/>
        <v>0</v>
      </c>
      <c r="BR119" s="166">
        <f t="shared" si="267"/>
        <v>0</v>
      </c>
      <c r="BS119" s="166">
        <f t="shared" si="267"/>
        <v>0</v>
      </c>
      <c r="BT119" s="166">
        <f t="shared" si="267"/>
        <v>0</v>
      </c>
      <c r="BU119" s="166">
        <f t="shared" si="267"/>
        <v>0</v>
      </c>
      <c r="BV119" s="166">
        <f t="shared" si="267"/>
        <v>0</v>
      </c>
      <c r="BW119" s="166">
        <f t="shared" si="267"/>
        <v>0</v>
      </c>
      <c r="BX119" s="166">
        <f t="shared" si="267"/>
        <v>0</v>
      </c>
      <c r="BY119" s="166">
        <f t="shared" si="267"/>
        <v>0</v>
      </c>
      <c r="BZ119" s="166">
        <f t="shared" si="267"/>
        <v>0</v>
      </c>
      <c r="CA119" s="166">
        <f t="shared" si="267"/>
        <v>0</v>
      </c>
      <c r="CB119" s="166">
        <f t="shared" si="267"/>
        <v>0</v>
      </c>
      <c r="CC119" s="166">
        <f t="shared" si="267"/>
        <v>0</v>
      </c>
      <c r="CD119" s="166">
        <f t="shared" si="267"/>
        <v>0</v>
      </c>
      <c r="CE119" s="166">
        <f t="shared" si="267"/>
        <v>0</v>
      </c>
      <c r="CF119" s="166">
        <f t="shared" si="267"/>
        <v>0</v>
      </c>
      <c r="CG119" s="166">
        <f t="shared" si="267"/>
        <v>0</v>
      </c>
      <c r="CH119" s="166"/>
      <c r="CI119" s="167">
        <f>MAX(C119:CG119)</f>
        <v>0.75362318840579789</v>
      </c>
      <c r="CJ119" s="169"/>
      <c r="CL119" s="37"/>
    </row>
    <row r="120" spans="2:90" ht="16.5" customHeight="1">
      <c r="B120" s="166" t="s">
        <v>870</v>
      </c>
      <c r="C120" s="166">
        <f t="shared" ref="C120:AH120" si="268">ABS(C102-C53)</f>
        <v>1.5209591618552869</v>
      </c>
      <c r="D120" s="166">
        <f t="shared" si="268"/>
        <v>1.5196705700779687</v>
      </c>
      <c r="E120" s="166">
        <f t="shared" si="268"/>
        <v>1.5176636151952758</v>
      </c>
      <c r="F120" s="166">
        <f t="shared" si="268"/>
        <v>1.5147131675272503</v>
      </c>
      <c r="G120" s="166">
        <f t="shared" si="268"/>
        <v>1.5107953206305045</v>
      </c>
      <c r="H120" s="166">
        <f t="shared" si="268"/>
        <v>1.5058778644690882</v>
      </c>
      <c r="I120" s="166">
        <f t="shared" si="268"/>
        <v>1.4999196145752671</v>
      </c>
      <c r="J120" s="166">
        <f t="shared" si="268"/>
        <v>1.4928695317198073</v>
      </c>
      <c r="K120" s="166">
        <f t="shared" si="268"/>
        <v>1.4846655962852544</v>
      </c>
      <c r="L120" s="166">
        <f t="shared" si="268"/>
        <v>1.4752333897547629</v>
      </c>
      <c r="M120" s="166">
        <f t="shared" si="268"/>
        <v>1.4644843206348472</v>
      </c>
      <c r="N120" s="166">
        <f t="shared" si="268"/>
        <v>1.4523134124482739</v>
      </c>
      <c r="O120" s="166">
        <f t="shared" si="268"/>
        <v>1.4385965453828344</v>
      </c>
      <c r="P120" s="166">
        <f t="shared" si="268"/>
        <v>1.4231870082388176</v>
      </c>
      <c r="Q120" s="166">
        <f t="shared" si="268"/>
        <v>1.4059111698536544</v>
      </c>
      <c r="R120" s="166">
        <f t="shared" si="268"/>
        <v>1.3865630139075236</v>
      </c>
      <c r="S120" s="166">
        <f t="shared" si="268"/>
        <v>1.3648971901129137</v>
      </c>
      <c r="T120" s="166">
        <f t="shared" si="268"/>
        <v>1.3406201065472767</v>
      </c>
      <c r="U120" s="166">
        <f t="shared" si="268"/>
        <v>1.3133784044670389</v>
      </c>
      <c r="V120" s="166">
        <f t="shared" si="268"/>
        <v>1.2827438907584112</v>
      </c>
      <c r="W120" s="166">
        <f t="shared" si="268"/>
        <v>1.2481936108283052</v>
      </c>
      <c r="X120" s="166">
        <f t="shared" si="268"/>
        <v>1.209083156642687</v>
      </c>
      <c r="Y120" s="166">
        <f t="shared" si="268"/>
        <v>1.1646104070419658</v>
      </c>
      <c r="Z120" s="166">
        <f t="shared" si="268"/>
        <v>1.1137655004945202</v>
      </c>
      <c r="AA120" s="166">
        <f t="shared" si="268"/>
        <v>1.0552606197434633</v>
      </c>
      <c r="AB120" s="166">
        <f t="shared" si="268"/>
        <v>0.98742955590461146</v>
      </c>
      <c r="AC120" s="166">
        <f t="shared" si="268"/>
        <v>0.90808099819624455</v>
      </c>
      <c r="AD120" s="166">
        <f t="shared" si="268"/>
        <v>0.81427918877471983</v>
      </c>
      <c r="AE120" s="166">
        <f t="shared" si="268"/>
        <v>0.70200744349584265</v>
      </c>
      <c r="AF120" s="166">
        <f t="shared" si="268"/>
        <v>0.56563720480565227</v>
      </c>
      <c r="AG120" s="166">
        <f t="shared" si="268"/>
        <v>0.39706427610659967</v>
      </c>
      <c r="AH120" s="166">
        <f t="shared" si="268"/>
        <v>0.18425839897311347</v>
      </c>
      <c r="AI120" s="166">
        <f t="shared" ref="AI120:BN120" si="269">ABS(AI102-AI53)</f>
        <v>9.1244998511414765E-2</v>
      </c>
      <c r="AJ120" s="166">
        <f t="shared" si="269"/>
        <v>0.45875754952061087</v>
      </c>
      <c r="AK120" s="166">
        <f t="shared" si="269"/>
        <v>0.96598800992302603</v>
      </c>
      <c r="AL120" s="166">
        <f t="shared" si="269"/>
        <v>1.6893608709864469</v>
      </c>
      <c r="AM120" s="166">
        <f t="shared" si="269"/>
        <v>2.7286779584125105</v>
      </c>
      <c r="AN120" s="166">
        <f t="shared" si="269"/>
        <v>4.0629189443784925</v>
      </c>
      <c r="AO120" s="166">
        <f t="shared" si="269"/>
        <v>5.0153057226072013</v>
      </c>
      <c r="AP120" s="166">
        <f t="shared" si="269"/>
        <v>5.0409179068130685</v>
      </c>
      <c r="AQ120" s="166">
        <f t="shared" si="269"/>
        <v>4.3073441056431632</v>
      </c>
      <c r="AR120" s="166">
        <f t="shared" si="269"/>
        <v>3.2354104261970322</v>
      </c>
      <c r="AS120" s="166">
        <f t="shared" si="269"/>
        <v>2.3805664127299844</v>
      </c>
      <c r="AT120" s="166">
        <f t="shared" si="269"/>
        <v>1.7681295213397352</v>
      </c>
      <c r="AU120" s="166">
        <f t="shared" si="269"/>
        <v>1.3276873797106223</v>
      </c>
      <c r="AV120" s="166">
        <f t="shared" si="269"/>
        <v>1.0019889249164902</v>
      </c>
      <c r="AW120" s="166">
        <f t="shared" si="269"/>
        <v>0.75378235108583547</v>
      </c>
      <c r="AX120" s="166">
        <f t="shared" si="269"/>
        <v>0.55943580420571659</v>
      </c>
      <c r="AY120" s="166">
        <f t="shared" si="269"/>
        <v>0.40368173378866268</v>
      </c>
      <c r="AZ120" s="166">
        <f t="shared" si="269"/>
        <v>0.27636888941003734</v>
      </c>
      <c r="BA120" s="166">
        <f t="shared" si="269"/>
        <v>0.17054433779628964</v>
      </c>
      <c r="BB120" s="166">
        <f t="shared" si="269"/>
        <v>8.1311784169127765E-2</v>
      </c>
      <c r="BC120" s="166">
        <f t="shared" si="269"/>
        <v>5.1358124295626251E-3</v>
      </c>
      <c r="BD120" s="166">
        <f t="shared" si="269"/>
        <v>6.0593952872630252E-2</v>
      </c>
      <c r="BE120" s="166">
        <f t="shared" si="269"/>
        <v>0.11784345851664191</v>
      </c>
      <c r="BF120" s="166">
        <f t="shared" si="269"/>
        <v>0.16811963014135789</v>
      </c>
      <c r="BG120" s="166">
        <f t="shared" si="269"/>
        <v>0.21259583393947956</v>
      </c>
      <c r="BH120" s="166">
        <f t="shared" si="269"/>
        <v>0.25219864394109881</v>
      </c>
      <c r="BI120" s="166">
        <f t="shared" si="269"/>
        <v>0.2876690499940211</v>
      </c>
      <c r="BJ120" s="166">
        <f t="shared" si="269"/>
        <v>0.31960642071865597</v>
      </c>
      <c r="BK120" s="166">
        <f t="shared" si="269"/>
        <v>0.34850060248237624</v>
      </c>
      <c r="BL120" s="166">
        <f t="shared" si="269"/>
        <v>0.37475570946258063</v>
      </c>
      <c r="BM120" s="166">
        <f t="shared" si="269"/>
        <v>0.39870799857925943</v>
      </c>
      <c r="BN120" s="166">
        <f t="shared" si="269"/>
        <v>0.42063946965027132</v>
      </c>
      <c r="BO120" s="166">
        <f t="shared" ref="BO120:CG120" si="270">ABS(BO102-BO53)</f>
        <v>0.44078833317804933</v>
      </c>
      <c r="BP120" s="166">
        <f t="shared" si="270"/>
        <v>0.4593571533820402</v>
      </c>
      <c r="BQ120" s="166">
        <f t="shared" si="270"/>
        <v>0.47651924537501955</v>
      </c>
      <c r="BR120" s="166">
        <f t="shared" si="270"/>
        <v>0.49242374680257273</v>
      </c>
      <c r="BS120" s="166">
        <f t="shared" si="270"/>
        <v>0.50719967279076661</v>
      </c>
      <c r="BT120" s="166">
        <f t="shared" si="270"/>
        <v>0.52095918367346949</v>
      </c>
      <c r="BU120" s="166">
        <f t="shared" si="270"/>
        <v>0.59430581685419748</v>
      </c>
      <c r="BV120" s="166">
        <f t="shared" si="270"/>
        <v>0.64372479171287844</v>
      </c>
      <c r="BW120" s="166">
        <f t="shared" si="270"/>
        <v>0.6790423891454378</v>
      </c>
      <c r="BX120" s="166">
        <f t="shared" si="270"/>
        <v>0.70541262799045568</v>
      </c>
      <c r="BY120" s="166">
        <f t="shared" si="270"/>
        <v>0.72578853166329516</v>
      </c>
      <c r="BZ120" s="166">
        <f t="shared" si="270"/>
        <v>0.74197759282039211</v>
      </c>
      <c r="CA120" s="166">
        <f t="shared" si="270"/>
        <v>0.75514442281372329</v>
      </c>
      <c r="CB120" s="166">
        <f t="shared" si="270"/>
        <v>0.76607087613854985</v>
      </c>
      <c r="CC120" s="166">
        <f t="shared" si="270"/>
        <v>0.77529980200436011</v>
      </c>
      <c r="CD120" s="166">
        <f t="shared" si="270"/>
        <v>0.78321883088181776</v>
      </c>
      <c r="CE120" s="166">
        <f t="shared" si="270"/>
        <v>0.7901114125556512</v>
      </c>
      <c r="CF120" s="166">
        <f t="shared" si="270"/>
        <v>0.79618908280878198</v>
      </c>
      <c r="CG120" s="166">
        <f t="shared" si="270"/>
        <v>0.80161252092052004</v>
      </c>
      <c r="CH120" s="166"/>
      <c r="CI120" s="167"/>
      <c r="CJ120" s="169"/>
      <c r="CL120" s="37"/>
    </row>
    <row r="121" spans="2:90" ht="17.25" customHeight="1">
      <c r="B121" s="166" t="s">
        <v>867</v>
      </c>
      <c r="C121" s="166">
        <f t="shared" ref="C121:AH121" si="271">IF(C120&lt;0.05,C25,0)</f>
        <v>0</v>
      </c>
      <c r="D121" s="166">
        <f t="shared" si="271"/>
        <v>0</v>
      </c>
      <c r="E121" s="166">
        <f t="shared" si="271"/>
        <v>0</v>
      </c>
      <c r="F121" s="166">
        <f t="shared" si="271"/>
        <v>0</v>
      </c>
      <c r="G121" s="166">
        <f t="shared" si="271"/>
        <v>0</v>
      </c>
      <c r="H121" s="166">
        <f t="shared" si="271"/>
        <v>0</v>
      </c>
      <c r="I121" s="166">
        <f t="shared" si="271"/>
        <v>0</v>
      </c>
      <c r="J121" s="166">
        <f t="shared" si="271"/>
        <v>0</v>
      </c>
      <c r="K121" s="166">
        <f t="shared" si="271"/>
        <v>0</v>
      </c>
      <c r="L121" s="166">
        <f t="shared" si="271"/>
        <v>0</v>
      </c>
      <c r="M121" s="166">
        <f t="shared" si="271"/>
        <v>0</v>
      </c>
      <c r="N121" s="166">
        <f t="shared" si="271"/>
        <v>0</v>
      </c>
      <c r="O121" s="166">
        <f t="shared" si="271"/>
        <v>0</v>
      </c>
      <c r="P121" s="166">
        <f t="shared" si="271"/>
        <v>0</v>
      </c>
      <c r="Q121" s="166">
        <f t="shared" si="271"/>
        <v>0</v>
      </c>
      <c r="R121" s="166">
        <f t="shared" si="271"/>
        <v>0</v>
      </c>
      <c r="S121" s="166">
        <f t="shared" si="271"/>
        <v>0</v>
      </c>
      <c r="T121" s="166">
        <f t="shared" si="271"/>
        <v>0</v>
      </c>
      <c r="U121" s="166">
        <f t="shared" si="271"/>
        <v>0</v>
      </c>
      <c r="V121" s="166">
        <f t="shared" si="271"/>
        <v>0</v>
      </c>
      <c r="W121" s="166">
        <f t="shared" si="271"/>
        <v>0</v>
      </c>
      <c r="X121" s="166">
        <f t="shared" si="271"/>
        <v>0</v>
      </c>
      <c r="Y121" s="166">
        <f t="shared" si="271"/>
        <v>0</v>
      </c>
      <c r="Z121" s="166">
        <f t="shared" si="271"/>
        <v>0</v>
      </c>
      <c r="AA121" s="166">
        <f t="shared" si="271"/>
        <v>0</v>
      </c>
      <c r="AB121" s="166">
        <f t="shared" si="271"/>
        <v>0</v>
      </c>
      <c r="AC121" s="166">
        <f t="shared" si="271"/>
        <v>0</v>
      </c>
      <c r="AD121" s="166">
        <f t="shared" si="271"/>
        <v>0</v>
      </c>
      <c r="AE121" s="166">
        <f t="shared" si="271"/>
        <v>0</v>
      </c>
      <c r="AF121" s="166">
        <f t="shared" si="271"/>
        <v>0</v>
      </c>
      <c r="AG121" s="166">
        <f t="shared" si="271"/>
        <v>0</v>
      </c>
      <c r="AH121" s="166">
        <f t="shared" si="271"/>
        <v>0</v>
      </c>
      <c r="AI121" s="166">
        <f t="shared" ref="AI121:BN121" si="272">IF(AI120&lt;0.05,AI25,0)</f>
        <v>0</v>
      </c>
      <c r="AJ121" s="166">
        <f t="shared" si="272"/>
        <v>0</v>
      </c>
      <c r="AK121" s="166">
        <f t="shared" si="272"/>
        <v>0</v>
      </c>
      <c r="AL121" s="166">
        <f t="shared" si="272"/>
        <v>0</v>
      </c>
      <c r="AM121" s="166">
        <f t="shared" si="272"/>
        <v>0</v>
      </c>
      <c r="AN121" s="166">
        <f t="shared" si="272"/>
        <v>0</v>
      </c>
      <c r="AO121" s="166">
        <f t="shared" si="272"/>
        <v>0</v>
      </c>
      <c r="AP121" s="166">
        <f t="shared" si="272"/>
        <v>0</v>
      </c>
      <c r="AQ121" s="166">
        <f t="shared" si="272"/>
        <v>0</v>
      </c>
      <c r="AR121" s="166">
        <f t="shared" si="272"/>
        <v>0</v>
      </c>
      <c r="AS121" s="166">
        <f t="shared" si="272"/>
        <v>0</v>
      </c>
      <c r="AT121" s="166">
        <f t="shared" si="272"/>
        <v>0</v>
      </c>
      <c r="AU121" s="166">
        <f t="shared" si="272"/>
        <v>0</v>
      </c>
      <c r="AV121" s="166">
        <f t="shared" si="272"/>
        <v>0</v>
      </c>
      <c r="AW121" s="166">
        <f t="shared" si="272"/>
        <v>0</v>
      </c>
      <c r="AX121" s="166">
        <f t="shared" si="272"/>
        <v>0</v>
      </c>
      <c r="AY121" s="166">
        <f t="shared" si="272"/>
        <v>0</v>
      </c>
      <c r="AZ121" s="166">
        <f t="shared" si="272"/>
        <v>0</v>
      </c>
      <c r="BA121" s="166">
        <f t="shared" si="272"/>
        <v>0</v>
      </c>
      <c r="BB121" s="166">
        <f t="shared" si="272"/>
        <v>0</v>
      </c>
      <c r="BC121" s="166">
        <f t="shared" si="272"/>
        <v>0.75362318840579789</v>
      </c>
      <c r="BD121" s="166">
        <f t="shared" si="272"/>
        <v>0</v>
      </c>
      <c r="BE121" s="166">
        <f t="shared" si="272"/>
        <v>0</v>
      </c>
      <c r="BF121" s="166">
        <f t="shared" si="272"/>
        <v>0</v>
      </c>
      <c r="BG121" s="166">
        <f t="shared" si="272"/>
        <v>0</v>
      </c>
      <c r="BH121" s="166">
        <f t="shared" si="272"/>
        <v>0</v>
      </c>
      <c r="BI121" s="166">
        <f t="shared" si="272"/>
        <v>0</v>
      </c>
      <c r="BJ121" s="166">
        <f t="shared" si="272"/>
        <v>0</v>
      </c>
      <c r="BK121" s="166">
        <f t="shared" si="272"/>
        <v>0</v>
      </c>
      <c r="BL121" s="166">
        <f t="shared" si="272"/>
        <v>0</v>
      </c>
      <c r="BM121" s="166">
        <f t="shared" si="272"/>
        <v>0</v>
      </c>
      <c r="BN121" s="166">
        <f t="shared" si="272"/>
        <v>0</v>
      </c>
      <c r="BO121" s="166">
        <f t="shared" ref="BO121:CG121" si="273">IF(BO120&lt;0.05,BO25,0)</f>
        <v>0</v>
      </c>
      <c r="BP121" s="166">
        <f t="shared" si="273"/>
        <v>0</v>
      </c>
      <c r="BQ121" s="166">
        <f t="shared" si="273"/>
        <v>0</v>
      </c>
      <c r="BR121" s="166">
        <f t="shared" si="273"/>
        <v>0</v>
      </c>
      <c r="BS121" s="166">
        <f t="shared" si="273"/>
        <v>0</v>
      </c>
      <c r="BT121" s="166">
        <f t="shared" si="273"/>
        <v>0</v>
      </c>
      <c r="BU121" s="166">
        <f t="shared" si="273"/>
        <v>0</v>
      </c>
      <c r="BV121" s="166">
        <f t="shared" si="273"/>
        <v>0</v>
      </c>
      <c r="BW121" s="166">
        <f t="shared" si="273"/>
        <v>0</v>
      </c>
      <c r="BX121" s="166">
        <f t="shared" si="273"/>
        <v>0</v>
      </c>
      <c r="BY121" s="166">
        <f t="shared" si="273"/>
        <v>0</v>
      </c>
      <c r="BZ121" s="166">
        <f t="shared" si="273"/>
        <v>0</v>
      </c>
      <c r="CA121" s="166">
        <f t="shared" si="273"/>
        <v>0</v>
      </c>
      <c r="CB121" s="166">
        <f t="shared" si="273"/>
        <v>0</v>
      </c>
      <c r="CC121" s="166">
        <f t="shared" si="273"/>
        <v>0</v>
      </c>
      <c r="CD121" s="166">
        <f t="shared" si="273"/>
        <v>0</v>
      </c>
      <c r="CE121" s="166">
        <f t="shared" si="273"/>
        <v>0</v>
      </c>
      <c r="CF121" s="166">
        <f t="shared" si="273"/>
        <v>0</v>
      </c>
      <c r="CG121" s="166">
        <f t="shared" si="273"/>
        <v>0</v>
      </c>
      <c r="CH121" s="166"/>
      <c r="CI121" s="167">
        <f>MAX(C121:CG121)</f>
        <v>0.75362318840579789</v>
      </c>
      <c r="CJ121" s="170"/>
      <c r="CK121" s="47"/>
      <c r="CL121" s="48"/>
    </row>
    <row r="122" spans="2:90" ht="17.25" customHeight="1"/>
    <row r="123" spans="2:90" ht="16.5" customHeight="1">
      <c r="B123" s="166" t="s">
        <v>871</v>
      </c>
      <c r="C123" s="166">
        <f t="shared" ref="C123:AH123" si="274">ABS(C108-C70)</f>
        <v>1.1212456607667076</v>
      </c>
      <c r="D123" s="166">
        <f t="shared" si="274"/>
        <v>1.119957154001906</v>
      </c>
      <c r="E123" s="166">
        <f t="shared" si="274"/>
        <v>1.1179506706367179</v>
      </c>
      <c r="F123" s="166">
        <f t="shared" si="274"/>
        <v>1.1150016681815276</v>
      </c>
      <c r="G123" s="166">
        <f t="shared" si="274"/>
        <v>1.11108712939303</v>
      </c>
      <c r="H123" s="166">
        <f t="shared" si="274"/>
        <v>1.1061760799621907</v>
      </c>
      <c r="I123" s="166">
        <f t="shared" si="274"/>
        <v>1.1002289777082079</v>
      </c>
      <c r="J123" s="166">
        <f t="shared" si="274"/>
        <v>1.0931969141959423</v>
      </c>
      <c r="K123" s="166">
        <f t="shared" si="274"/>
        <v>1.085020598855482</v>
      </c>
      <c r="L123" s="166">
        <f t="shared" si="274"/>
        <v>1.0756290862288145</v>
      </c>
      <c r="M123" s="166">
        <f t="shared" si="274"/>
        <v>1.0649381950838348</v>
      </c>
      <c r="N123" s="166">
        <f t="shared" si="274"/>
        <v>1.0528485529547025</v>
      </c>
      <c r="O123" s="166">
        <f t="shared" si="274"/>
        <v>1.0392431800207353</v>
      </c>
      <c r="P123" s="166">
        <f t="shared" si="274"/>
        <v>1.023984500525613</v>
      </c>
      <c r="Q123" s="166">
        <f t="shared" si="274"/>
        <v>1.0069106359595821</v>
      </c>
      <c r="R123" s="166">
        <f t="shared" si="274"/>
        <v>0.98783078891140863</v>
      </c>
      <c r="S123" s="166">
        <f t="shared" si="274"/>
        <v>0.96651946554434409</v>
      </c>
      <c r="T123" s="166">
        <f t="shared" si="274"/>
        <v>0.94270920199954378</v>
      </c>
      <c r="U123" s="166">
        <f t="shared" si="274"/>
        <v>0.91608134709637579</v>
      </c>
      <c r="V123" s="166">
        <f t="shared" si="274"/>
        <v>0.88625429829514224</v>
      </c>
      <c r="W123" s="166">
        <f t="shared" si="274"/>
        <v>0.85276837273252537</v>
      </c>
      <c r="X123" s="166">
        <f t="shared" si="274"/>
        <v>0.81506619589329588</v>
      </c>
      <c r="Y123" s="166">
        <f t="shared" si="274"/>
        <v>0.77246707343378129</v>
      </c>
      <c r="Z123" s="166">
        <f t="shared" si="274"/>
        <v>0.72413323180074429</v>
      </c>
      <c r="AA123" s="166">
        <f t="shared" si="274"/>
        <v>0.6690250150637812</v>
      </c>
      <c r="AB123" s="166">
        <f t="shared" si="274"/>
        <v>0.60584105320396964</v>
      </c>
      <c r="AC123" s="166">
        <f t="shared" si="274"/>
        <v>0.53293805417873186</v>
      </c>
      <c r="AD123" s="166">
        <f t="shared" si="274"/>
        <v>0.44822335769618837</v>
      </c>
      <c r="AE123" s="166">
        <f t="shared" si="274"/>
        <v>0.3490123454616757</v>
      </c>
      <c r="AF123" s="166">
        <f t="shared" si="274"/>
        <v>0.23184421824018997</v>
      </c>
      <c r="AG123" s="166">
        <f t="shared" si="274"/>
        <v>9.2259200135437869E-2</v>
      </c>
      <c r="AH123" s="166">
        <f t="shared" si="274"/>
        <v>7.5426748824572343E-2</v>
      </c>
      <c r="AI123" s="166">
        <f t="shared" ref="AI123:BN123" si="275">ABS(AI108-AI70)</f>
        <v>0.27821757483260678</v>
      </c>
      <c r="AJ123" s="166">
        <f t="shared" si="275"/>
        <v>0.52401716711031066</v>
      </c>
      <c r="AK123" s="166">
        <f t="shared" si="275"/>
        <v>0.81970722695812359</v>
      </c>
      <c r="AL123" s="166">
        <f t="shared" si="275"/>
        <v>1.165611028747453</v>
      </c>
      <c r="AM123" s="166">
        <f t="shared" si="275"/>
        <v>1.543444056563974</v>
      </c>
      <c r="AN123" s="166">
        <f t="shared" si="275"/>
        <v>1.8997840708202043</v>
      </c>
      <c r="AO123" s="166">
        <f t="shared" si="275"/>
        <v>2.1469009504962626</v>
      </c>
      <c r="AP123" s="166">
        <f t="shared" si="275"/>
        <v>2.1897795370296622</v>
      </c>
      <c r="AQ123" s="166">
        <f t="shared" si="275"/>
        <v>2.1944452541320034</v>
      </c>
      <c r="AR123" s="166">
        <f t="shared" si="275"/>
        <v>2.044239446450999</v>
      </c>
      <c r="AS123" s="166">
        <f t="shared" si="275"/>
        <v>1.8166690476048402</v>
      </c>
      <c r="AT123" s="166">
        <f t="shared" si="275"/>
        <v>1.5744012596165105</v>
      </c>
      <c r="AU123" s="166">
        <f t="shared" si="275"/>
        <v>1.3492709944034513</v>
      </c>
      <c r="AV123" s="166">
        <f t="shared" si="275"/>
        <v>1.1519521752301167</v>
      </c>
      <c r="AW123" s="166">
        <f t="shared" si="275"/>
        <v>0.98306806143236036</v>
      </c>
      <c r="AX123" s="166">
        <f t="shared" si="275"/>
        <v>0.83955404329289673</v>
      </c>
      <c r="AY123" s="166">
        <f t="shared" si="275"/>
        <v>0.71749579758784843</v>
      </c>
      <c r="AZ123" s="166">
        <f t="shared" si="275"/>
        <v>0.61320190759328619</v>
      </c>
      <c r="BA123" s="166">
        <f t="shared" si="275"/>
        <v>0.52352151279496817</v>
      </c>
      <c r="BB123" s="166">
        <f t="shared" si="275"/>
        <v>0.44587192666947773</v>
      </c>
      <c r="BC123" s="166">
        <f t="shared" si="275"/>
        <v>0.37817024866708771</v>
      </c>
      <c r="BD123" s="166">
        <f t="shared" si="275"/>
        <v>0.31874449506421465</v>
      </c>
      <c r="BE123" s="166">
        <f t="shared" si="275"/>
        <v>0.26625092090552371</v>
      </c>
      <c r="BF123" s="166">
        <f t="shared" si="275"/>
        <v>0.21960495644657918</v>
      </c>
      <c r="BG123" s="166">
        <f t="shared" si="275"/>
        <v>0.17792608122743614</v>
      </c>
      <c r="BH123" s="166">
        <f t="shared" si="275"/>
        <v>0.14049470123220287</v>
      </c>
      <c r="BI123" s="166">
        <f t="shared" si="275"/>
        <v>0.10671868120879258</v>
      </c>
      <c r="BJ123" s="166">
        <f t="shared" si="275"/>
        <v>7.6107406724000182E-2</v>
      </c>
      <c r="BK123" s="166">
        <f t="shared" si="275"/>
        <v>4.8251637105831469E-2</v>
      </c>
      <c r="BL123" s="166">
        <f t="shared" si="275"/>
        <v>2.2807789242909937E-2</v>
      </c>
      <c r="BM123" s="166">
        <f t="shared" si="275"/>
        <v>5.143890665837425E-4</v>
      </c>
      <c r="BN123" s="166">
        <f t="shared" si="275"/>
        <v>2.196154594472044E-2</v>
      </c>
      <c r="BO123" s="166">
        <f t="shared" ref="BO123:CG123" si="276">ABS(BO108-BO70)</f>
        <v>4.1744449556828434E-2</v>
      </c>
      <c r="BP123" s="166">
        <f t="shared" si="276"/>
        <v>6.0044161333450807E-2</v>
      </c>
      <c r="BQ123" s="166">
        <f t="shared" si="276"/>
        <v>7.7017001167400512E-2</v>
      </c>
      <c r="BR123" s="166">
        <f t="shared" si="276"/>
        <v>9.2798565924792964E-2</v>
      </c>
      <c r="BS123" s="166">
        <f t="shared" si="276"/>
        <v>0.10750700148812653</v>
      </c>
      <c r="BT123" s="166">
        <f t="shared" si="276"/>
        <v>0.12124568258488999</v>
      </c>
      <c r="BU123" s="166">
        <f t="shared" si="276"/>
        <v>0.19525943240217469</v>
      </c>
      <c r="BV123" s="166">
        <f t="shared" si="276"/>
        <v>0.24609517372371315</v>
      </c>
      <c r="BW123" s="166">
        <f t="shared" si="276"/>
        <v>0.28317807087960101</v>
      </c>
      <c r="BX123" s="166">
        <f t="shared" si="276"/>
        <v>0.3115182213284996</v>
      </c>
      <c r="BY123" s="166">
        <f t="shared" si="276"/>
        <v>0.33400897249486516</v>
      </c>
      <c r="BZ123" s="166">
        <f t="shared" si="276"/>
        <v>0.3524294599903377</v>
      </c>
      <c r="CA123" s="166">
        <f t="shared" si="276"/>
        <v>0.36792863650466912</v>
      </c>
      <c r="CB123" s="166">
        <f t="shared" si="276"/>
        <v>0.38127814996655518</v>
      </c>
      <c r="CC123" s="166">
        <f t="shared" si="276"/>
        <v>0.39301306211772524</v>
      </c>
      <c r="CD123" s="166">
        <f t="shared" si="276"/>
        <v>0.40351430114081388</v>
      </c>
      <c r="CE123" s="166">
        <f t="shared" si="276"/>
        <v>0.41305909749735714</v>
      </c>
      <c r="CF123" s="166">
        <f t="shared" si="276"/>
        <v>0.42185297969562496</v>
      </c>
      <c r="CG123" s="166">
        <f t="shared" si="276"/>
        <v>0.43005071637494974</v>
      </c>
      <c r="CH123" s="166"/>
      <c r="CI123" s="167" t="s">
        <v>692</v>
      </c>
      <c r="CJ123" s="168" t="s">
        <v>865</v>
      </c>
      <c r="CK123" s="33" t="s">
        <v>866</v>
      </c>
      <c r="CL123" s="34"/>
    </row>
    <row r="124" spans="2:90" ht="16.5" customHeight="1">
      <c r="B124" s="166" t="s">
        <v>867</v>
      </c>
      <c r="C124" s="166">
        <f t="shared" ref="C124:AH124" si="277">IF(C123&lt;0.05,C25,0)</f>
        <v>0</v>
      </c>
      <c r="D124" s="166">
        <f t="shared" si="277"/>
        <v>0</v>
      </c>
      <c r="E124" s="166">
        <f t="shared" si="277"/>
        <v>0</v>
      </c>
      <c r="F124" s="166">
        <f t="shared" si="277"/>
        <v>0</v>
      </c>
      <c r="G124" s="166">
        <f t="shared" si="277"/>
        <v>0</v>
      </c>
      <c r="H124" s="166">
        <f t="shared" si="277"/>
        <v>0</v>
      </c>
      <c r="I124" s="166">
        <f t="shared" si="277"/>
        <v>0</v>
      </c>
      <c r="J124" s="166">
        <f t="shared" si="277"/>
        <v>0</v>
      </c>
      <c r="K124" s="166">
        <f t="shared" si="277"/>
        <v>0</v>
      </c>
      <c r="L124" s="166">
        <f t="shared" si="277"/>
        <v>0</v>
      </c>
      <c r="M124" s="166">
        <f t="shared" si="277"/>
        <v>0</v>
      </c>
      <c r="N124" s="166">
        <f t="shared" si="277"/>
        <v>0</v>
      </c>
      <c r="O124" s="166">
        <f t="shared" si="277"/>
        <v>0</v>
      </c>
      <c r="P124" s="166">
        <f t="shared" si="277"/>
        <v>0</v>
      </c>
      <c r="Q124" s="166">
        <f t="shared" si="277"/>
        <v>0</v>
      </c>
      <c r="R124" s="166">
        <f t="shared" si="277"/>
        <v>0</v>
      </c>
      <c r="S124" s="166">
        <f t="shared" si="277"/>
        <v>0</v>
      </c>
      <c r="T124" s="166">
        <f t="shared" si="277"/>
        <v>0</v>
      </c>
      <c r="U124" s="166">
        <f t="shared" si="277"/>
        <v>0</v>
      </c>
      <c r="V124" s="166">
        <f t="shared" si="277"/>
        <v>0</v>
      </c>
      <c r="W124" s="166">
        <f t="shared" si="277"/>
        <v>0</v>
      </c>
      <c r="X124" s="166">
        <f t="shared" si="277"/>
        <v>0</v>
      </c>
      <c r="Y124" s="166">
        <f t="shared" si="277"/>
        <v>0</v>
      </c>
      <c r="Z124" s="166">
        <f t="shared" si="277"/>
        <v>0</v>
      </c>
      <c r="AA124" s="166">
        <f t="shared" si="277"/>
        <v>0</v>
      </c>
      <c r="AB124" s="166">
        <f t="shared" si="277"/>
        <v>0</v>
      </c>
      <c r="AC124" s="166">
        <f t="shared" si="277"/>
        <v>0</v>
      </c>
      <c r="AD124" s="166">
        <f t="shared" si="277"/>
        <v>0</v>
      </c>
      <c r="AE124" s="166">
        <f t="shared" si="277"/>
        <v>0</v>
      </c>
      <c r="AF124" s="166">
        <f t="shared" si="277"/>
        <v>0</v>
      </c>
      <c r="AG124" s="166">
        <f t="shared" si="277"/>
        <v>0</v>
      </c>
      <c r="AH124" s="166">
        <f t="shared" si="277"/>
        <v>0</v>
      </c>
      <c r="AI124" s="166">
        <f t="shared" ref="AI124:BN124" si="278">IF(AI123&lt;0.05,AI25,0)</f>
        <v>0</v>
      </c>
      <c r="AJ124" s="166">
        <f t="shared" si="278"/>
        <v>0</v>
      </c>
      <c r="AK124" s="166">
        <f t="shared" si="278"/>
        <v>0</v>
      </c>
      <c r="AL124" s="166">
        <f t="shared" si="278"/>
        <v>0</v>
      </c>
      <c r="AM124" s="166">
        <f t="shared" si="278"/>
        <v>0</v>
      </c>
      <c r="AN124" s="166">
        <f t="shared" si="278"/>
        <v>0</v>
      </c>
      <c r="AO124" s="166">
        <f t="shared" si="278"/>
        <v>0</v>
      </c>
      <c r="AP124" s="166">
        <f t="shared" si="278"/>
        <v>0</v>
      </c>
      <c r="AQ124" s="166">
        <f t="shared" si="278"/>
        <v>0</v>
      </c>
      <c r="AR124" s="166">
        <f t="shared" si="278"/>
        <v>0</v>
      </c>
      <c r="AS124" s="166">
        <f t="shared" si="278"/>
        <v>0</v>
      </c>
      <c r="AT124" s="166">
        <f t="shared" si="278"/>
        <v>0</v>
      </c>
      <c r="AU124" s="166">
        <f t="shared" si="278"/>
        <v>0</v>
      </c>
      <c r="AV124" s="166">
        <f t="shared" si="278"/>
        <v>0</v>
      </c>
      <c r="AW124" s="166">
        <f t="shared" si="278"/>
        <v>0</v>
      </c>
      <c r="AX124" s="166">
        <f t="shared" si="278"/>
        <v>0</v>
      </c>
      <c r="AY124" s="166">
        <f t="shared" si="278"/>
        <v>0</v>
      </c>
      <c r="AZ124" s="166">
        <f t="shared" si="278"/>
        <v>0</v>
      </c>
      <c r="BA124" s="166">
        <f t="shared" si="278"/>
        <v>0</v>
      </c>
      <c r="BB124" s="166">
        <f t="shared" si="278"/>
        <v>0</v>
      </c>
      <c r="BC124" s="166">
        <f t="shared" si="278"/>
        <v>0</v>
      </c>
      <c r="BD124" s="166">
        <f t="shared" si="278"/>
        <v>0</v>
      </c>
      <c r="BE124" s="166">
        <f t="shared" si="278"/>
        <v>0</v>
      </c>
      <c r="BF124" s="166">
        <f t="shared" si="278"/>
        <v>0</v>
      </c>
      <c r="BG124" s="166">
        <f t="shared" si="278"/>
        <v>0</v>
      </c>
      <c r="BH124" s="166">
        <f t="shared" si="278"/>
        <v>0</v>
      </c>
      <c r="BI124" s="166">
        <f t="shared" si="278"/>
        <v>0</v>
      </c>
      <c r="BJ124" s="166">
        <f t="shared" si="278"/>
        <v>0</v>
      </c>
      <c r="BK124" s="166">
        <f t="shared" si="278"/>
        <v>0.86956521739130477</v>
      </c>
      <c r="BL124" s="166">
        <f t="shared" si="278"/>
        <v>0.88405797101449313</v>
      </c>
      <c r="BM124" s="166">
        <f t="shared" si="278"/>
        <v>0.89855072463768149</v>
      </c>
      <c r="BN124" s="166">
        <f t="shared" si="278"/>
        <v>0.91304347826086985</v>
      </c>
      <c r="BO124" s="166">
        <f t="shared" ref="BO124:CG124" si="279">IF(BO123&lt;0.05,BO25,0)</f>
        <v>0.9275362318840582</v>
      </c>
      <c r="BP124" s="166">
        <f t="shared" si="279"/>
        <v>0</v>
      </c>
      <c r="BQ124" s="166">
        <f t="shared" si="279"/>
        <v>0</v>
      </c>
      <c r="BR124" s="166">
        <f t="shared" si="279"/>
        <v>0</v>
      </c>
      <c r="BS124" s="166">
        <f t="shared" si="279"/>
        <v>0</v>
      </c>
      <c r="BT124" s="166">
        <f t="shared" si="279"/>
        <v>0</v>
      </c>
      <c r="BU124" s="166">
        <f t="shared" si="279"/>
        <v>0</v>
      </c>
      <c r="BV124" s="166">
        <f t="shared" si="279"/>
        <v>0</v>
      </c>
      <c r="BW124" s="166">
        <f t="shared" si="279"/>
        <v>0</v>
      </c>
      <c r="BX124" s="166">
        <f t="shared" si="279"/>
        <v>0</v>
      </c>
      <c r="BY124" s="166">
        <f t="shared" si="279"/>
        <v>0</v>
      </c>
      <c r="BZ124" s="166">
        <f t="shared" si="279"/>
        <v>0</v>
      </c>
      <c r="CA124" s="166">
        <f t="shared" si="279"/>
        <v>0</v>
      </c>
      <c r="CB124" s="166">
        <f t="shared" si="279"/>
        <v>0</v>
      </c>
      <c r="CC124" s="166">
        <f t="shared" si="279"/>
        <v>0</v>
      </c>
      <c r="CD124" s="166">
        <f t="shared" si="279"/>
        <v>0</v>
      </c>
      <c r="CE124" s="166">
        <f t="shared" si="279"/>
        <v>0</v>
      </c>
      <c r="CF124" s="166">
        <f t="shared" si="279"/>
        <v>0</v>
      </c>
      <c r="CG124" s="166">
        <f t="shared" si="279"/>
        <v>0</v>
      </c>
      <c r="CH124" s="166"/>
      <c r="CI124" s="167">
        <f>MAX(C124:CG124)</f>
        <v>0.9275362318840582</v>
      </c>
      <c r="CJ124" s="169">
        <f>SUM(CI124:CI130)/4</f>
        <v>0.9275362318840582</v>
      </c>
      <c r="CK124" s="21">
        <f>CJ124*'Design Spec'!D112</f>
        <v>204.05797101449281</v>
      </c>
      <c r="CL124" s="37" t="s">
        <v>187</v>
      </c>
    </row>
    <row r="125" spans="2:90" ht="16.5" customHeight="1">
      <c r="B125" s="166" t="s">
        <v>872</v>
      </c>
      <c r="C125" s="166">
        <f t="shared" ref="C125:AH125" si="280">ABS(C109-C70)</f>
        <v>1.1212456607667074</v>
      </c>
      <c r="D125" s="166">
        <f t="shared" si="280"/>
        <v>1.1199571044133159</v>
      </c>
      <c r="E125" s="166">
        <f t="shared" si="280"/>
        <v>1.1179503460284734</v>
      </c>
      <c r="F125" s="166">
        <f t="shared" si="280"/>
        <v>1.1150005007321317</v>
      </c>
      <c r="G125" s="166">
        <f t="shared" si="280"/>
        <v>1.1110840329915759</v>
      </c>
      <c r="H125" s="166">
        <f t="shared" si="280"/>
        <v>1.1061692486098242</v>
      </c>
      <c r="I125" s="166">
        <f t="shared" si="280"/>
        <v>1.1002156493107913</v>
      </c>
      <c r="J125" s="166">
        <f t="shared" si="280"/>
        <v>1.0931730871644603</v>
      </c>
      <c r="K125" s="166">
        <f t="shared" si="280"/>
        <v>1.0849806855852639</v>
      </c>
      <c r="L125" s="166">
        <f t="shared" si="280"/>
        <v>1.0755654828697427</v>
      </c>
      <c r="M125" s="166">
        <f t="shared" si="280"/>
        <v>1.0648407405493971</v>
      </c>
      <c r="N125" s="166">
        <f t="shared" si="280"/>
        <v>1.0527038411303817</v>
      </c>
      <c r="O125" s="166">
        <f t="shared" si="280"/>
        <v>1.0390336765687895</v>
      </c>
      <c r="P125" s="166">
        <f t="shared" si="280"/>
        <v>1.0236873979854355</v>
      </c>
      <c r="Q125" s="166">
        <f t="shared" si="280"/>
        <v>1.0064963556797926</v>
      </c>
      <c r="R125" s="166">
        <f t="shared" si="280"/>
        <v>0.98726100219441004</v>
      </c>
      <c r="S125" s="166">
        <f t="shared" si="280"/>
        <v>0.96574445382888763</v>
      </c>
      <c r="T125" s="166">
        <f t="shared" si="280"/>
        <v>0.94166429854629397</v>
      </c>
      <c r="U125" s="166">
        <f t="shared" si="280"/>
        <v>0.91468208721418687</v>
      </c>
      <c r="V125" s="166">
        <f t="shared" si="280"/>
        <v>0.88438973039694491</v>
      </c>
      <c r="W125" s="166">
        <f t="shared" si="280"/>
        <v>0.85029171379893498</v>
      </c>
      <c r="X125" s="166">
        <f t="shared" si="280"/>
        <v>0.81178159478708878</v>
      </c>
      <c r="Y125" s="166">
        <f t="shared" si="280"/>
        <v>0.76811057684227413</v>
      </c>
      <c r="Z125" s="166">
        <f t="shared" si="280"/>
        <v>0.71834496306640672</v>
      </c>
      <c r="AA125" s="166">
        <f t="shared" si="280"/>
        <v>0.66130778166581861</v>
      </c>
      <c r="AB125" s="166">
        <f t="shared" si="280"/>
        <v>0.59549756655047958</v>
      </c>
      <c r="AC125" s="166">
        <f t="shared" si="280"/>
        <v>0.51897371035279594</v>
      </c>
      <c r="AD125" s="166">
        <f t="shared" si="280"/>
        <v>0.42919229225233757</v>
      </c>
      <c r="AE125" s="166">
        <f t="shared" si="280"/>
        <v>0.32276784826044191</v>
      </c>
      <c r="AF125" s="166">
        <f t="shared" si="280"/>
        <v>0.19512416440056846</v>
      </c>
      <c r="AG125" s="166">
        <f t="shared" si="280"/>
        <v>3.9981062564892644E-2</v>
      </c>
      <c r="AH125" s="166">
        <f t="shared" si="280"/>
        <v>0.15138863906832456</v>
      </c>
      <c r="AI125" s="166">
        <f t="shared" ref="AI125:BN125" si="281">ABS(AI109-AI70)</f>
        <v>0.39117240725498292</v>
      </c>
      <c r="AJ125" s="166">
        <f t="shared" si="281"/>
        <v>0.69613990864773245</v>
      </c>
      <c r="AK125" s="166">
        <f t="shared" si="281"/>
        <v>1.0878344888076934</v>
      </c>
      <c r="AL125" s="166">
        <f t="shared" si="281"/>
        <v>1.5876633213950884</v>
      </c>
      <c r="AM125" s="166">
        <f t="shared" si="281"/>
        <v>2.1940588720826302</v>
      </c>
      <c r="AN125" s="166">
        <f t="shared" si="281"/>
        <v>2.8204465328431247</v>
      </c>
      <c r="AO125" s="166">
        <f t="shared" si="281"/>
        <v>3.236278259791745</v>
      </c>
      <c r="AP125" s="166">
        <f t="shared" si="281"/>
        <v>3.2829484059893472</v>
      </c>
      <c r="AQ125" s="166">
        <f t="shared" si="281"/>
        <v>3.1399576606678146</v>
      </c>
      <c r="AR125" s="166">
        <f t="shared" si="281"/>
        <v>2.7315485615545105</v>
      </c>
      <c r="AS125" s="166">
        <f t="shared" si="281"/>
        <v>2.2769779650335318</v>
      </c>
      <c r="AT125" s="166">
        <f t="shared" si="281"/>
        <v>1.8767110298234821</v>
      </c>
      <c r="AU125" s="166">
        <f t="shared" si="281"/>
        <v>1.5499113591734242</v>
      </c>
      <c r="AV125" s="166">
        <f t="shared" si="281"/>
        <v>1.2880330053348472</v>
      </c>
      <c r="AW125" s="166">
        <f t="shared" si="281"/>
        <v>1.0775993075795833</v>
      </c>
      <c r="AX125" s="166">
        <f t="shared" si="281"/>
        <v>0.90671714484638111</v>
      </c>
      <c r="AY125" s="166">
        <f t="shared" si="281"/>
        <v>0.76616547035076454</v>
      </c>
      <c r="AZ125" s="166">
        <f t="shared" si="281"/>
        <v>0.64906195421952728</v>
      </c>
      <c r="BA125" s="166">
        <f t="shared" si="281"/>
        <v>0.55030516805832397</v>
      </c>
      <c r="BB125" s="166">
        <f t="shared" si="281"/>
        <v>0.46609288896995826</v>
      </c>
      <c r="BC125" s="166">
        <f t="shared" si="281"/>
        <v>0.39356108152197922</v>
      </c>
      <c r="BD125" s="166">
        <f t="shared" si="281"/>
        <v>0.3305253722938446</v>
      </c>
      <c r="BE125" s="166">
        <f t="shared" si="281"/>
        <v>0.27529823293661204</v>
      </c>
      <c r="BF125" s="166">
        <f t="shared" si="281"/>
        <v>0.22655953419275421</v>
      </c>
      <c r="BG125" s="166">
        <f t="shared" si="281"/>
        <v>0.18326419138484384</v>
      </c>
      <c r="BH125" s="166">
        <f t="shared" si="281"/>
        <v>0.14457558046133445</v>
      </c>
      <c r="BI125" s="166">
        <f t="shared" si="281"/>
        <v>0.10981697226398257</v>
      </c>
      <c r="BJ125" s="166">
        <f t="shared" si="281"/>
        <v>7.8435684498373126E-2</v>
      </c>
      <c r="BK125" s="166">
        <f t="shared" si="281"/>
        <v>4.9976308445993212E-2</v>
      </c>
      <c r="BL125" s="166">
        <f t="shared" si="281"/>
        <v>2.4060485212557214E-2</v>
      </c>
      <c r="BM125" s="166">
        <f t="shared" si="281"/>
        <v>3.7146323536685344E-4</v>
      </c>
      <c r="BN125" s="166">
        <f t="shared" si="281"/>
        <v>2.1357814690827981E-2</v>
      </c>
      <c r="BO125" s="166">
        <f t="shared" ref="BO125:CG125" si="282">ABS(BO109-BO70)</f>
        <v>4.1353990768946636E-2</v>
      </c>
      <c r="BP125" s="166">
        <f t="shared" si="282"/>
        <v>5.9810586161747281E-2</v>
      </c>
      <c r="BQ125" s="166">
        <f t="shared" si="282"/>
        <v>7.6893783567691942E-2</v>
      </c>
      <c r="BR125" s="166">
        <f t="shared" si="282"/>
        <v>9.2747048566994783E-2</v>
      </c>
      <c r="BS125" s="166">
        <f t="shared" si="282"/>
        <v>0.1074948509357021</v>
      </c>
      <c r="BT125" s="166">
        <f t="shared" si="282"/>
        <v>0.12124568258488999</v>
      </c>
      <c r="BU125" s="166">
        <f t="shared" si="282"/>
        <v>0.1948704562101603</v>
      </c>
      <c r="BV125" s="166">
        <f t="shared" si="282"/>
        <v>0.24488138278580274</v>
      </c>
      <c r="BW125" s="166">
        <f t="shared" si="282"/>
        <v>0.28093914901450423</v>
      </c>
      <c r="BX125" s="166">
        <f t="shared" si="282"/>
        <v>0.30813895645321909</v>
      </c>
      <c r="BY125" s="166">
        <f t="shared" si="282"/>
        <v>0.32940988565148954</v>
      </c>
      <c r="BZ125" s="166">
        <f t="shared" si="282"/>
        <v>0.34654843051442052</v>
      </c>
      <c r="CA125" s="166">
        <f t="shared" si="282"/>
        <v>0.3607134425197156</v>
      </c>
      <c r="CB125" s="166">
        <f t="shared" si="282"/>
        <v>0.37268325532449209</v>
      </c>
      <c r="CC125" s="166">
        <f t="shared" si="282"/>
        <v>0.38299817731902353</v>
      </c>
      <c r="CD125" s="166">
        <f t="shared" si="282"/>
        <v>0.39204372093934203</v>
      </c>
      <c r="CE125" s="166">
        <f t="shared" si="282"/>
        <v>0.40010138594076483</v>
      </c>
      <c r="CF125" s="166">
        <f t="shared" si="282"/>
        <v>0.40738080859758652</v>
      </c>
      <c r="CG125" s="166">
        <f t="shared" si="282"/>
        <v>0.41404076653539734</v>
      </c>
      <c r="CH125" s="166"/>
      <c r="CI125" s="167"/>
      <c r="CJ125" s="169"/>
      <c r="CK125" s="21"/>
      <c r="CL125" s="37"/>
    </row>
    <row r="126" spans="2:90" ht="16.5" customHeight="1">
      <c r="B126" s="166" t="s">
        <v>867</v>
      </c>
      <c r="C126" s="166">
        <f t="shared" ref="C126:AH126" si="283">IF(C125&lt;0.05,C25,0)</f>
        <v>0</v>
      </c>
      <c r="D126" s="166">
        <f t="shared" si="283"/>
        <v>0</v>
      </c>
      <c r="E126" s="166">
        <f t="shared" si="283"/>
        <v>0</v>
      </c>
      <c r="F126" s="166">
        <f t="shared" si="283"/>
        <v>0</v>
      </c>
      <c r="G126" s="166">
        <f t="shared" si="283"/>
        <v>0</v>
      </c>
      <c r="H126" s="166">
        <f t="shared" si="283"/>
        <v>0</v>
      </c>
      <c r="I126" s="166">
        <f t="shared" si="283"/>
        <v>0</v>
      </c>
      <c r="J126" s="166">
        <f t="shared" si="283"/>
        <v>0</v>
      </c>
      <c r="K126" s="166">
        <f t="shared" si="283"/>
        <v>0</v>
      </c>
      <c r="L126" s="166">
        <f t="shared" si="283"/>
        <v>0</v>
      </c>
      <c r="M126" s="166">
        <f t="shared" si="283"/>
        <v>0</v>
      </c>
      <c r="N126" s="166">
        <f t="shared" si="283"/>
        <v>0</v>
      </c>
      <c r="O126" s="166">
        <f t="shared" si="283"/>
        <v>0</v>
      </c>
      <c r="P126" s="166">
        <f t="shared" si="283"/>
        <v>0</v>
      </c>
      <c r="Q126" s="166">
        <f t="shared" si="283"/>
        <v>0</v>
      </c>
      <c r="R126" s="166">
        <f t="shared" si="283"/>
        <v>0</v>
      </c>
      <c r="S126" s="166">
        <f t="shared" si="283"/>
        <v>0</v>
      </c>
      <c r="T126" s="166">
        <f t="shared" si="283"/>
        <v>0</v>
      </c>
      <c r="U126" s="166">
        <f t="shared" si="283"/>
        <v>0</v>
      </c>
      <c r="V126" s="166">
        <f t="shared" si="283"/>
        <v>0</v>
      </c>
      <c r="W126" s="166">
        <f t="shared" si="283"/>
        <v>0</v>
      </c>
      <c r="X126" s="166">
        <f t="shared" si="283"/>
        <v>0</v>
      </c>
      <c r="Y126" s="166">
        <f t="shared" si="283"/>
        <v>0</v>
      </c>
      <c r="Z126" s="166">
        <f t="shared" si="283"/>
        <v>0</v>
      </c>
      <c r="AA126" s="166">
        <f t="shared" si="283"/>
        <v>0</v>
      </c>
      <c r="AB126" s="166">
        <f t="shared" si="283"/>
        <v>0</v>
      </c>
      <c r="AC126" s="166">
        <f t="shared" si="283"/>
        <v>0</v>
      </c>
      <c r="AD126" s="166">
        <f t="shared" si="283"/>
        <v>0</v>
      </c>
      <c r="AE126" s="166">
        <f t="shared" si="283"/>
        <v>0</v>
      </c>
      <c r="AF126" s="166">
        <f t="shared" si="283"/>
        <v>0</v>
      </c>
      <c r="AG126" s="166">
        <f t="shared" si="283"/>
        <v>0.44456988159588096</v>
      </c>
      <c r="AH126" s="166">
        <f t="shared" si="283"/>
        <v>0</v>
      </c>
      <c r="AI126" s="166">
        <f t="shared" ref="AI126:BN126" si="284">IF(AI125&lt;0.05,AI25,0)</f>
        <v>0</v>
      </c>
      <c r="AJ126" s="166">
        <f t="shared" si="284"/>
        <v>0</v>
      </c>
      <c r="AK126" s="166">
        <f t="shared" si="284"/>
        <v>0</v>
      </c>
      <c r="AL126" s="166">
        <f t="shared" si="284"/>
        <v>0</v>
      </c>
      <c r="AM126" s="166">
        <f t="shared" si="284"/>
        <v>0</v>
      </c>
      <c r="AN126" s="166">
        <f t="shared" si="284"/>
        <v>0</v>
      </c>
      <c r="AO126" s="166">
        <f t="shared" si="284"/>
        <v>0</v>
      </c>
      <c r="AP126" s="166">
        <f t="shared" si="284"/>
        <v>0</v>
      </c>
      <c r="AQ126" s="166">
        <f t="shared" si="284"/>
        <v>0</v>
      </c>
      <c r="AR126" s="166">
        <f t="shared" si="284"/>
        <v>0</v>
      </c>
      <c r="AS126" s="166">
        <f t="shared" si="284"/>
        <v>0</v>
      </c>
      <c r="AT126" s="166">
        <f t="shared" si="284"/>
        <v>0</v>
      </c>
      <c r="AU126" s="166">
        <f t="shared" si="284"/>
        <v>0</v>
      </c>
      <c r="AV126" s="166">
        <f t="shared" si="284"/>
        <v>0</v>
      </c>
      <c r="AW126" s="166">
        <f t="shared" si="284"/>
        <v>0</v>
      </c>
      <c r="AX126" s="166">
        <f t="shared" si="284"/>
        <v>0</v>
      </c>
      <c r="AY126" s="166">
        <f t="shared" si="284"/>
        <v>0</v>
      </c>
      <c r="AZ126" s="166">
        <f t="shared" si="284"/>
        <v>0</v>
      </c>
      <c r="BA126" s="166">
        <f t="shared" si="284"/>
        <v>0</v>
      </c>
      <c r="BB126" s="166">
        <f t="shared" si="284"/>
        <v>0</v>
      </c>
      <c r="BC126" s="166">
        <f t="shared" si="284"/>
        <v>0</v>
      </c>
      <c r="BD126" s="166">
        <f t="shared" si="284"/>
        <v>0</v>
      </c>
      <c r="BE126" s="166">
        <f t="shared" si="284"/>
        <v>0</v>
      </c>
      <c r="BF126" s="166">
        <f t="shared" si="284"/>
        <v>0</v>
      </c>
      <c r="BG126" s="166">
        <f t="shared" si="284"/>
        <v>0</v>
      </c>
      <c r="BH126" s="166">
        <f t="shared" si="284"/>
        <v>0</v>
      </c>
      <c r="BI126" s="166">
        <f t="shared" si="284"/>
        <v>0</v>
      </c>
      <c r="BJ126" s="166">
        <f t="shared" si="284"/>
        <v>0</v>
      </c>
      <c r="BK126" s="166">
        <f t="shared" si="284"/>
        <v>0.86956521739130477</v>
      </c>
      <c r="BL126" s="166">
        <f t="shared" si="284"/>
        <v>0.88405797101449313</v>
      </c>
      <c r="BM126" s="166">
        <f t="shared" si="284"/>
        <v>0.89855072463768149</v>
      </c>
      <c r="BN126" s="166">
        <f t="shared" si="284"/>
        <v>0.91304347826086985</v>
      </c>
      <c r="BO126" s="166">
        <f t="shared" ref="BO126:CG126" si="285">IF(BO125&lt;0.05,BO25,0)</f>
        <v>0.9275362318840582</v>
      </c>
      <c r="BP126" s="166">
        <f t="shared" si="285"/>
        <v>0</v>
      </c>
      <c r="BQ126" s="166">
        <f t="shared" si="285"/>
        <v>0</v>
      </c>
      <c r="BR126" s="166">
        <f t="shared" si="285"/>
        <v>0</v>
      </c>
      <c r="BS126" s="166">
        <f t="shared" si="285"/>
        <v>0</v>
      </c>
      <c r="BT126" s="166">
        <f t="shared" si="285"/>
        <v>0</v>
      </c>
      <c r="BU126" s="166">
        <f t="shared" si="285"/>
        <v>0</v>
      </c>
      <c r="BV126" s="166">
        <f t="shared" si="285"/>
        <v>0</v>
      </c>
      <c r="BW126" s="166">
        <f t="shared" si="285"/>
        <v>0</v>
      </c>
      <c r="BX126" s="166">
        <f t="shared" si="285"/>
        <v>0</v>
      </c>
      <c r="BY126" s="166">
        <f t="shared" si="285"/>
        <v>0</v>
      </c>
      <c r="BZ126" s="166">
        <f t="shared" si="285"/>
        <v>0</v>
      </c>
      <c r="CA126" s="166">
        <f t="shared" si="285"/>
        <v>0</v>
      </c>
      <c r="CB126" s="166">
        <f t="shared" si="285"/>
        <v>0</v>
      </c>
      <c r="CC126" s="166">
        <f t="shared" si="285"/>
        <v>0</v>
      </c>
      <c r="CD126" s="166">
        <f t="shared" si="285"/>
        <v>0</v>
      </c>
      <c r="CE126" s="166">
        <f t="shared" si="285"/>
        <v>0</v>
      </c>
      <c r="CF126" s="166">
        <f t="shared" si="285"/>
        <v>0</v>
      </c>
      <c r="CG126" s="166">
        <f t="shared" si="285"/>
        <v>0</v>
      </c>
      <c r="CH126" s="166"/>
      <c r="CI126" s="167">
        <f>MAX(C126:CG126)</f>
        <v>0.9275362318840582</v>
      </c>
      <c r="CJ126" s="169"/>
      <c r="CK126" s="21">
        <f>CI126*'Design Spec'!D112</f>
        <v>204.05797101449281</v>
      </c>
      <c r="CL126" s="37"/>
    </row>
    <row r="127" spans="2:90" ht="16.5" customHeight="1">
      <c r="B127" s="166" t="s">
        <v>873</v>
      </c>
      <c r="C127" s="166">
        <f t="shared" ref="C127:AH127" si="286">ABS(C110-C70)</f>
        <v>1.1212456607667074</v>
      </c>
      <c r="D127" s="166">
        <f t="shared" si="286"/>
        <v>1.1199570689893892</v>
      </c>
      <c r="E127" s="166">
        <f t="shared" si="286"/>
        <v>1.1179501141066963</v>
      </c>
      <c r="F127" s="166">
        <f t="shared" si="286"/>
        <v>1.1149996664386708</v>
      </c>
      <c r="G127" s="166">
        <f t="shared" si="286"/>
        <v>1.111081819541925</v>
      </c>
      <c r="H127" s="166">
        <f t="shared" si="286"/>
        <v>1.1061643633805087</v>
      </c>
      <c r="I127" s="166">
        <f t="shared" si="286"/>
        <v>1.1002061134866876</v>
      </c>
      <c r="J127" s="166">
        <f t="shared" si="286"/>
        <v>1.0931560306312278</v>
      </c>
      <c r="K127" s="166">
        <f t="shared" si="286"/>
        <v>1.0849520951966749</v>
      </c>
      <c r="L127" s="166">
        <f t="shared" si="286"/>
        <v>1.0755198886661834</v>
      </c>
      <c r="M127" s="166">
        <f t="shared" si="286"/>
        <v>1.0647708195462677</v>
      </c>
      <c r="N127" s="166">
        <f t="shared" si="286"/>
        <v>1.0525999113596944</v>
      </c>
      <c r="O127" s="166">
        <f t="shared" si="286"/>
        <v>1.0388830442942549</v>
      </c>
      <c r="P127" s="166">
        <f t="shared" si="286"/>
        <v>1.0234735071502381</v>
      </c>
      <c r="Q127" s="166">
        <f t="shared" si="286"/>
        <v>1.0061976687650747</v>
      </c>
      <c r="R127" s="166">
        <f t="shared" si="286"/>
        <v>0.98684951281894406</v>
      </c>
      <c r="S127" s="166">
        <f t="shared" si="286"/>
        <v>0.96518368902433416</v>
      </c>
      <c r="T127" s="166">
        <f t="shared" si="286"/>
        <v>0.94090660545869731</v>
      </c>
      <c r="U127" s="166">
        <f t="shared" si="286"/>
        <v>0.9136649033784594</v>
      </c>
      <c r="V127" s="166">
        <f t="shared" si="286"/>
        <v>0.88303038966983172</v>
      </c>
      <c r="W127" s="166">
        <f t="shared" si="286"/>
        <v>0.84848010973972565</v>
      </c>
      <c r="X127" s="166">
        <f t="shared" si="286"/>
        <v>0.80936965555410745</v>
      </c>
      <c r="Y127" s="166">
        <f t="shared" si="286"/>
        <v>0.76489690595338633</v>
      </c>
      <c r="Z127" s="166">
        <f t="shared" si="286"/>
        <v>0.71405199940594066</v>
      </c>
      <c r="AA127" s="166">
        <f t="shared" si="286"/>
        <v>0.6555471186548838</v>
      </c>
      <c r="AB127" s="166">
        <f t="shared" si="286"/>
        <v>0.58771605481603195</v>
      </c>
      <c r="AC127" s="166">
        <f t="shared" si="286"/>
        <v>0.50836749710766505</v>
      </c>
      <c r="AD127" s="166">
        <f t="shared" si="286"/>
        <v>0.41456568768614022</v>
      </c>
      <c r="AE127" s="166">
        <f t="shared" si="286"/>
        <v>0.30229394240726315</v>
      </c>
      <c r="AF127" s="166">
        <f t="shared" si="286"/>
        <v>0.16592370371707277</v>
      </c>
      <c r="AG127" s="166">
        <f t="shared" si="286"/>
        <v>2.6492249819798364E-3</v>
      </c>
      <c r="AH127" s="166">
        <f t="shared" si="286"/>
        <v>0.21545510211546604</v>
      </c>
      <c r="AI127" s="166">
        <f t="shared" ref="AI127:BN127" si="287">ABS(AI110-AI70)</f>
        <v>0.49095849959999427</v>
      </c>
      <c r="AJ127" s="166">
        <f t="shared" si="287"/>
        <v>0.85847105060919038</v>
      </c>
      <c r="AK127" s="166">
        <f t="shared" si="287"/>
        <v>1.3657015110116055</v>
      </c>
      <c r="AL127" s="166">
        <f t="shared" si="287"/>
        <v>2.0890743720750269</v>
      </c>
      <c r="AM127" s="166">
        <f t="shared" si="287"/>
        <v>3.1283914595010911</v>
      </c>
      <c r="AN127" s="166">
        <f t="shared" si="287"/>
        <v>4.4626324454670732</v>
      </c>
      <c r="AO127" s="166">
        <f t="shared" si="287"/>
        <v>5.4150192236957846</v>
      </c>
      <c r="AP127" s="166">
        <f t="shared" si="287"/>
        <v>5.44063140790165</v>
      </c>
      <c r="AQ127" s="166">
        <f t="shared" si="287"/>
        <v>4.7070576067317447</v>
      </c>
      <c r="AR127" s="166">
        <f t="shared" si="287"/>
        <v>3.635123927285612</v>
      </c>
      <c r="AS127" s="166">
        <f t="shared" si="287"/>
        <v>2.7802799138185637</v>
      </c>
      <c r="AT127" s="166">
        <f t="shared" si="287"/>
        <v>2.1678430224283147</v>
      </c>
      <c r="AU127" s="166">
        <f t="shared" si="287"/>
        <v>1.7274008807992018</v>
      </c>
      <c r="AV127" s="166">
        <f t="shared" si="287"/>
        <v>1.4017024260050701</v>
      </c>
      <c r="AW127" s="166">
        <f t="shared" si="287"/>
        <v>1.153495852174415</v>
      </c>
      <c r="AX127" s="166">
        <f t="shared" si="287"/>
        <v>0.9591493052942961</v>
      </c>
      <c r="AY127" s="166">
        <f t="shared" si="287"/>
        <v>0.80339523487724218</v>
      </c>
      <c r="AZ127" s="166">
        <f t="shared" si="287"/>
        <v>0.67608239049861685</v>
      </c>
      <c r="BA127" s="166">
        <f t="shared" si="287"/>
        <v>0.57025783888486914</v>
      </c>
      <c r="BB127" s="166">
        <f t="shared" si="287"/>
        <v>0.48102528525770727</v>
      </c>
      <c r="BC127" s="166">
        <f t="shared" si="287"/>
        <v>0.40484931351814213</v>
      </c>
      <c r="BD127" s="166">
        <f t="shared" si="287"/>
        <v>0.33911954821594925</v>
      </c>
      <c r="BE127" s="166">
        <f t="shared" si="287"/>
        <v>0.2818700425719376</v>
      </c>
      <c r="BF127" s="166">
        <f t="shared" si="287"/>
        <v>0.23159387094722161</v>
      </c>
      <c r="BG127" s="166">
        <f t="shared" si="287"/>
        <v>0.18711766714909994</v>
      </c>
      <c r="BH127" s="166">
        <f t="shared" si="287"/>
        <v>0.14751485714748069</v>
      </c>
      <c r="BI127" s="166">
        <f t="shared" si="287"/>
        <v>0.11204445109455841</v>
      </c>
      <c r="BJ127" s="166">
        <f t="shared" si="287"/>
        <v>8.0107080369923533E-2</v>
      </c>
      <c r="BK127" s="166">
        <f t="shared" si="287"/>
        <v>5.1212898606203261E-2</v>
      </c>
      <c r="BL127" s="166">
        <f t="shared" si="287"/>
        <v>2.4957791625998871E-2</v>
      </c>
      <c r="BM127" s="166">
        <f t="shared" si="287"/>
        <v>1.0055025093200776E-3</v>
      </c>
      <c r="BN127" s="166">
        <f t="shared" si="287"/>
        <v>2.0925968561691821E-2</v>
      </c>
      <c r="BO127" s="166">
        <f t="shared" ref="BO127:CG127" si="288">ABS(BO110-BO70)</f>
        <v>4.1074832089469826E-2</v>
      </c>
      <c r="BP127" s="166">
        <f t="shared" si="288"/>
        <v>5.9643652293460692E-2</v>
      </c>
      <c r="BQ127" s="166">
        <f t="shared" si="288"/>
        <v>7.6805744286440047E-2</v>
      </c>
      <c r="BR127" s="166">
        <f t="shared" si="288"/>
        <v>9.2710245713993222E-2</v>
      </c>
      <c r="BS127" s="166">
        <f t="shared" si="288"/>
        <v>0.10748617170218711</v>
      </c>
      <c r="BT127" s="166">
        <f t="shared" si="288"/>
        <v>0.12124568258488999</v>
      </c>
      <c r="BU127" s="166">
        <f t="shared" si="288"/>
        <v>0.19459231576561797</v>
      </c>
      <c r="BV127" s="166">
        <f t="shared" si="288"/>
        <v>0.24401129062429894</v>
      </c>
      <c r="BW127" s="166">
        <f t="shared" si="288"/>
        <v>0.27932888805685829</v>
      </c>
      <c r="BX127" s="166">
        <f t="shared" si="288"/>
        <v>0.30569912690187617</v>
      </c>
      <c r="BY127" s="166">
        <f t="shared" si="288"/>
        <v>0.32607503057471565</v>
      </c>
      <c r="BZ127" s="166">
        <f t="shared" si="288"/>
        <v>0.3422640917318126</v>
      </c>
      <c r="CA127" s="166">
        <f t="shared" si="288"/>
        <v>0.35543092172514379</v>
      </c>
      <c r="CB127" s="166">
        <f t="shared" si="288"/>
        <v>0.36635737504997035</v>
      </c>
      <c r="CC127" s="166">
        <f t="shared" si="288"/>
        <v>0.3755863009157806</v>
      </c>
      <c r="CD127" s="166">
        <f t="shared" si="288"/>
        <v>0.38350532979323826</v>
      </c>
      <c r="CE127" s="166">
        <f t="shared" si="288"/>
        <v>0.3903979114670717</v>
      </c>
      <c r="CF127" s="166">
        <f t="shared" si="288"/>
        <v>0.39647558172020247</v>
      </c>
      <c r="CG127" s="166">
        <f t="shared" si="288"/>
        <v>0.40189901983194054</v>
      </c>
      <c r="CH127" s="166"/>
      <c r="CI127" s="167"/>
      <c r="CJ127" s="169"/>
      <c r="CK127" s="21"/>
      <c r="CL127" s="37"/>
    </row>
    <row r="128" spans="2:90" ht="16.5" customHeight="1">
      <c r="B128" s="166" t="s">
        <v>867</v>
      </c>
      <c r="C128" s="166">
        <f t="shared" ref="C128:AH128" si="289">IF(C127&lt;0.05,C25,0)</f>
        <v>0</v>
      </c>
      <c r="D128" s="166">
        <f t="shared" si="289"/>
        <v>0</v>
      </c>
      <c r="E128" s="166">
        <f t="shared" si="289"/>
        <v>0</v>
      </c>
      <c r="F128" s="166">
        <f t="shared" si="289"/>
        <v>0</v>
      </c>
      <c r="G128" s="166">
        <f t="shared" si="289"/>
        <v>0</v>
      </c>
      <c r="H128" s="166">
        <f t="shared" si="289"/>
        <v>0</v>
      </c>
      <c r="I128" s="166">
        <f t="shared" si="289"/>
        <v>0</v>
      </c>
      <c r="J128" s="166">
        <f t="shared" si="289"/>
        <v>0</v>
      </c>
      <c r="K128" s="166">
        <f t="shared" si="289"/>
        <v>0</v>
      </c>
      <c r="L128" s="166">
        <f t="shared" si="289"/>
        <v>0</v>
      </c>
      <c r="M128" s="166">
        <f t="shared" si="289"/>
        <v>0</v>
      </c>
      <c r="N128" s="166">
        <f t="shared" si="289"/>
        <v>0</v>
      </c>
      <c r="O128" s="166">
        <f t="shared" si="289"/>
        <v>0</v>
      </c>
      <c r="P128" s="166">
        <f t="shared" si="289"/>
        <v>0</v>
      </c>
      <c r="Q128" s="166">
        <f t="shared" si="289"/>
        <v>0</v>
      </c>
      <c r="R128" s="166">
        <f t="shared" si="289"/>
        <v>0</v>
      </c>
      <c r="S128" s="166">
        <f t="shared" si="289"/>
        <v>0</v>
      </c>
      <c r="T128" s="166">
        <f t="shared" si="289"/>
        <v>0</v>
      </c>
      <c r="U128" s="166">
        <f t="shared" si="289"/>
        <v>0</v>
      </c>
      <c r="V128" s="166">
        <f t="shared" si="289"/>
        <v>0</v>
      </c>
      <c r="W128" s="166">
        <f t="shared" si="289"/>
        <v>0</v>
      </c>
      <c r="X128" s="166">
        <f t="shared" si="289"/>
        <v>0</v>
      </c>
      <c r="Y128" s="166">
        <f t="shared" si="289"/>
        <v>0</v>
      </c>
      <c r="Z128" s="166">
        <f t="shared" si="289"/>
        <v>0</v>
      </c>
      <c r="AA128" s="166">
        <f t="shared" si="289"/>
        <v>0</v>
      </c>
      <c r="AB128" s="166">
        <f t="shared" si="289"/>
        <v>0</v>
      </c>
      <c r="AC128" s="166">
        <f t="shared" si="289"/>
        <v>0</v>
      </c>
      <c r="AD128" s="166">
        <f t="shared" si="289"/>
        <v>0</v>
      </c>
      <c r="AE128" s="166">
        <f t="shared" si="289"/>
        <v>0</v>
      </c>
      <c r="AF128" s="166">
        <f t="shared" si="289"/>
        <v>0</v>
      </c>
      <c r="AG128" s="166">
        <f t="shared" si="289"/>
        <v>0.44456988159588096</v>
      </c>
      <c r="AH128" s="166">
        <f t="shared" si="289"/>
        <v>0</v>
      </c>
      <c r="AI128" s="166">
        <f t="shared" ref="AI128:BN128" si="290">IF(AI127&lt;0.05,AI25,0)</f>
        <v>0</v>
      </c>
      <c r="AJ128" s="166">
        <f t="shared" si="290"/>
        <v>0</v>
      </c>
      <c r="AK128" s="166">
        <f t="shared" si="290"/>
        <v>0</v>
      </c>
      <c r="AL128" s="166">
        <f t="shared" si="290"/>
        <v>0</v>
      </c>
      <c r="AM128" s="166">
        <f t="shared" si="290"/>
        <v>0</v>
      </c>
      <c r="AN128" s="166">
        <f t="shared" si="290"/>
        <v>0</v>
      </c>
      <c r="AO128" s="166">
        <f t="shared" si="290"/>
        <v>0</v>
      </c>
      <c r="AP128" s="166">
        <f t="shared" si="290"/>
        <v>0</v>
      </c>
      <c r="AQ128" s="166">
        <f t="shared" si="290"/>
        <v>0</v>
      </c>
      <c r="AR128" s="166">
        <f t="shared" si="290"/>
        <v>0</v>
      </c>
      <c r="AS128" s="166">
        <f t="shared" si="290"/>
        <v>0</v>
      </c>
      <c r="AT128" s="166">
        <f t="shared" si="290"/>
        <v>0</v>
      </c>
      <c r="AU128" s="166">
        <f t="shared" si="290"/>
        <v>0</v>
      </c>
      <c r="AV128" s="166">
        <f t="shared" si="290"/>
        <v>0</v>
      </c>
      <c r="AW128" s="166">
        <f t="shared" si="290"/>
        <v>0</v>
      </c>
      <c r="AX128" s="166">
        <f t="shared" si="290"/>
        <v>0</v>
      </c>
      <c r="AY128" s="166">
        <f t="shared" si="290"/>
        <v>0</v>
      </c>
      <c r="AZ128" s="166">
        <f t="shared" si="290"/>
        <v>0</v>
      </c>
      <c r="BA128" s="166">
        <f t="shared" si="290"/>
        <v>0</v>
      </c>
      <c r="BB128" s="166">
        <f t="shared" si="290"/>
        <v>0</v>
      </c>
      <c r="BC128" s="166">
        <f t="shared" si="290"/>
        <v>0</v>
      </c>
      <c r="BD128" s="166">
        <f t="shared" si="290"/>
        <v>0</v>
      </c>
      <c r="BE128" s="166">
        <f t="shared" si="290"/>
        <v>0</v>
      </c>
      <c r="BF128" s="166">
        <f t="shared" si="290"/>
        <v>0</v>
      </c>
      <c r="BG128" s="166">
        <f t="shared" si="290"/>
        <v>0</v>
      </c>
      <c r="BH128" s="166">
        <f t="shared" si="290"/>
        <v>0</v>
      </c>
      <c r="BI128" s="166">
        <f t="shared" si="290"/>
        <v>0</v>
      </c>
      <c r="BJ128" s="166">
        <f t="shared" si="290"/>
        <v>0</v>
      </c>
      <c r="BK128" s="166">
        <f t="shared" si="290"/>
        <v>0</v>
      </c>
      <c r="BL128" s="166">
        <f t="shared" si="290"/>
        <v>0.88405797101449313</v>
      </c>
      <c r="BM128" s="166">
        <f t="shared" si="290"/>
        <v>0.89855072463768149</v>
      </c>
      <c r="BN128" s="166">
        <f t="shared" si="290"/>
        <v>0.91304347826086985</v>
      </c>
      <c r="BO128" s="166">
        <f t="shared" ref="BO128:CG128" si="291">IF(BO127&lt;0.05,BO25,0)</f>
        <v>0.9275362318840582</v>
      </c>
      <c r="BP128" s="166">
        <f t="shared" si="291"/>
        <v>0</v>
      </c>
      <c r="BQ128" s="166">
        <f t="shared" si="291"/>
        <v>0</v>
      </c>
      <c r="BR128" s="166">
        <f t="shared" si="291"/>
        <v>0</v>
      </c>
      <c r="BS128" s="166">
        <f t="shared" si="291"/>
        <v>0</v>
      </c>
      <c r="BT128" s="166">
        <f t="shared" si="291"/>
        <v>0</v>
      </c>
      <c r="BU128" s="166">
        <f t="shared" si="291"/>
        <v>0</v>
      </c>
      <c r="BV128" s="166">
        <f t="shared" si="291"/>
        <v>0</v>
      </c>
      <c r="BW128" s="166">
        <f t="shared" si="291"/>
        <v>0</v>
      </c>
      <c r="BX128" s="166">
        <f t="shared" si="291"/>
        <v>0</v>
      </c>
      <c r="BY128" s="166">
        <f t="shared" si="291"/>
        <v>0</v>
      </c>
      <c r="BZ128" s="166">
        <f t="shared" si="291"/>
        <v>0</v>
      </c>
      <c r="CA128" s="166">
        <f t="shared" si="291"/>
        <v>0</v>
      </c>
      <c r="CB128" s="166">
        <f t="shared" si="291"/>
        <v>0</v>
      </c>
      <c r="CC128" s="166">
        <f t="shared" si="291"/>
        <v>0</v>
      </c>
      <c r="CD128" s="166">
        <f t="shared" si="291"/>
        <v>0</v>
      </c>
      <c r="CE128" s="166">
        <f t="shared" si="291"/>
        <v>0</v>
      </c>
      <c r="CF128" s="166">
        <f t="shared" si="291"/>
        <v>0</v>
      </c>
      <c r="CG128" s="166">
        <f t="shared" si="291"/>
        <v>0</v>
      </c>
      <c r="CH128" s="166"/>
      <c r="CI128" s="167">
        <f>MAX(C128:CG128)</f>
        <v>0.9275362318840582</v>
      </c>
      <c r="CJ128" s="169"/>
      <c r="CK128" s="21">
        <f>CI128*'Design Spec'!D112</f>
        <v>204.05797101449281</v>
      </c>
      <c r="CL128" s="37"/>
    </row>
    <row r="129" spans="2:90" ht="16.5" customHeight="1">
      <c r="B129" s="166" t="s">
        <v>874</v>
      </c>
      <c r="C129" s="166">
        <f t="shared" ref="C129:AH129" si="292">ABS(C111-C70)</f>
        <v>1.1212456607667074</v>
      </c>
      <c r="D129" s="166">
        <f t="shared" si="292"/>
        <v>1.1199570477336307</v>
      </c>
      <c r="E129" s="166">
        <f t="shared" si="292"/>
        <v>1.1179499749301236</v>
      </c>
      <c r="F129" s="166">
        <f t="shared" si="292"/>
        <v>1.114999165702073</v>
      </c>
      <c r="G129" s="166">
        <f t="shared" si="292"/>
        <v>1.1110804907776479</v>
      </c>
      <c r="H129" s="166">
        <f t="shared" si="292"/>
        <v>1.1061614299624645</v>
      </c>
      <c r="I129" s="166">
        <f t="shared" si="292"/>
        <v>1.1002003857620304</v>
      </c>
      <c r="J129" s="166">
        <f t="shared" si="292"/>
        <v>1.0931457817760062</v>
      </c>
      <c r="K129" s="166">
        <f t="shared" si="292"/>
        <v>1.0849349084718747</v>
      </c>
      <c r="L129" s="166">
        <f t="shared" si="292"/>
        <v>1.075492466524667</v>
      </c>
      <c r="M129" s="166">
        <f t="shared" si="292"/>
        <v>1.0647287419245151</v>
      </c>
      <c r="N129" s="166">
        <f t="shared" si="292"/>
        <v>1.0525373261102993</v>
      </c>
      <c r="O129" s="166">
        <f t="shared" si="292"/>
        <v>1.0387922665237619</v>
      </c>
      <c r="P129" s="166">
        <f t="shared" si="292"/>
        <v>1.0233444953911108</v>
      </c>
      <c r="Q129" s="166">
        <f t="shared" si="292"/>
        <v>1.0060173331638078</v>
      </c>
      <c r="R129" s="166">
        <f t="shared" si="292"/>
        <v>0.9866007919068005</v>
      </c>
      <c r="S129" s="166">
        <f t="shared" si="292"/>
        <v>0.96484430407964483</v>
      </c>
      <c r="T129" s="166">
        <f t="shared" si="292"/>
        <v>0.94044736006358431</v>
      </c>
      <c r="U129" s="166">
        <f t="shared" si="292"/>
        <v>0.91304733254038506</v>
      </c>
      <c r="V129" s="166">
        <f t="shared" si="292"/>
        <v>0.88220346458682997</v>
      </c>
      <c r="W129" s="166">
        <f t="shared" si="292"/>
        <v>0.84737554850811059</v>
      </c>
      <c r="X129" s="166">
        <f t="shared" si="292"/>
        <v>0.80789513792053347</v>
      </c>
      <c r="Y129" s="166">
        <f t="shared" si="292"/>
        <v>0.7629260722603991</v>
      </c>
      <c r="Z129" s="166">
        <f t="shared" si="292"/>
        <v>0.71140940308967526</v>
      </c>
      <c r="AA129" s="166">
        <f t="shared" si="292"/>
        <v>0.65198505764833881</v>
      </c>
      <c r="AB129" s="166">
        <f t="shared" si="292"/>
        <v>0.58287795909536877</v>
      </c>
      <c r="AC129" s="166">
        <f t="shared" si="292"/>
        <v>0.50172833807565353</v>
      </c>
      <c r="AD129" s="166">
        <f t="shared" si="292"/>
        <v>0.40533165787459569</v>
      </c>
      <c r="AE129" s="166">
        <f t="shared" si="292"/>
        <v>0.28922686166972855</v>
      </c>
      <c r="AF129" s="166">
        <f t="shared" si="292"/>
        <v>0.14701942081620656</v>
      </c>
      <c r="AG129" s="166">
        <f t="shared" si="292"/>
        <v>3.0782088110067329E-2</v>
      </c>
      <c r="AH129" s="166">
        <f t="shared" si="292"/>
        <v>0.25887382759126809</v>
      </c>
      <c r="AI129" s="166">
        <f t="shared" ref="AI129:BN129" si="293">ABS(AI111-AI70)</f>
        <v>0.5612265850977487</v>
      </c>
      <c r="AJ129" s="166">
        <f t="shared" si="293"/>
        <v>0.97957912676121062</v>
      </c>
      <c r="AK129" s="166">
        <f t="shared" si="293"/>
        <v>1.5929371278056914</v>
      </c>
      <c r="AL129" s="166">
        <f t="shared" si="293"/>
        <v>2.567736965619126</v>
      </c>
      <c r="AM129" s="166">
        <f t="shared" si="293"/>
        <v>4.3014147746713798</v>
      </c>
      <c r="AN129" s="166">
        <f t="shared" si="293"/>
        <v>7.753088609486074</v>
      </c>
      <c r="AO129" s="166">
        <f t="shared" si="293"/>
        <v>11.951057258306124</v>
      </c>
      <c r="AP129" s="166">
        <f t="shared" si="293"/>
        <v>11.551972895073844</v>
      </c>
      <c r="AQ129" s="166">
        <f t="shared" si="293"/>
        <v>7.3128288834476685</v>
      </c>
      <c r="AR129" s="166">
        <f t="shared" si="293"/>
        <v>4.6232237377226699</v>
      </c>
      <c r="AS129" s="166">
        <f t="shared" si="293"/>
        <v>3.2161671492992792</v>
      </c>
      <c r="AT129" s="166">
        <f t="shared" si="293"/>
        <v>2.3893064096536478</v>
      </c>
      <c r="AU129" s="166">
        <f t="shared" si="293"/>
        <v>1.8525309461869153</v>
      </c>
      <c r="AV129" s="166">
        <f t="shared" si="293"/>
        <v>1.4781456207011452</v>
      </c>
      <c r="AW129" s="166">
        <f t="shared" si="293"/>
        <v>1.2029882445470674</v>
      </c>
      <c r="AX129" s="166">
        <f t="shared" si="293"/>
        <v>0.99263041500697646</v>
      </c>
      <c r="AY129" s="166">
        <f t="shared" si="293"/>
        <v>0.82681915859737587</v>
      </c>
      <c r="AZ129" s="166">
        <f t="shared" si="293"/>
        <v>0.69290087241965126</v>
      </c>
      <c r="BA129" s="166">
        <f t="shared" si="293"/>
        <v>0.58257795043497818</v>
      </c>
      <c r="BB129" s="166">
        <f t="shared" si="293"/>
        <v>0.49018957239250649</v>
      </c>
      <c r="BC129" s="166">
        <f t="shared" si="293"/>
        <v>0.41174460000763169</v>
      </c>
      <c r="BD129" s="166">
        <f t="shared" si="293"/>
        <v>0.34434989768134838</v>
      </c>
      <c r="BE129" s="166">
        <f t="shared" si="293"/>
        <v>0.28585794213205751</v>
      </c>
      <c r="BF129" s="166">
        <f t="shared" si="293"/>
        <v>0.23464168674641628</v>
      </c>
      <c r="BG129" s="166">
        <f t="shared" si="293"/>
        <v>0.18944620898999776</v>
      </c>
      <c r="BH129" s="166">
        <f t="shared" si="293"/>
        <v>0.14928828181664056</v>
      </c>
      <c r="BI129" s="166">
        <f t="shared" si="293"/>
        <v>0.11338675618973548</v>
      </c>
      <c r="BJ129" s="166">
        <f t="shared" si="293"/>
        <v>8.1113277300784103E-2</v>
      </c>
      <c r="BK129" s="166">
        <f t="shared" si="293"/>
        <v>5.1956735426360812E-2</v>
      </c>
      <c r="BL129" s="166">
        <f t="shared" si="293"/>
        <v>2.5497188863450759E-2</v>
      </c>
      <c r="BM129" s="166">
        <f t="shared" si="293"/>
        <v>1.3864425823852944E-3</v>
      </c>
      <c r="BN129" s="166">
        <f t="shared" si="293"/>
        <v>2.0666616597659004E-2</v>
      </c>
      <c r="BO129" s="166">
        <f t="shared" ref="BO129:CG129" si="294">ABS(BO111-BO70)</f>
        <v>4.0907232929441095E-2</v>
      </c>
      <c r="BP129" s="166">
        <f t="shared" si="294"/>
        <v>5.9543454158800246E-2</v>
      </c>
      <c r="BQ129" s="166">
        <f t="shared" si="294"/>
        <v>7.6752910029172616E-2</v>
      </c>
      <c r="BR129" s="166">
        <f t="shared" si="294"/>
        <v>9.2688162105737382E-2</v>
      </c>
      <c r="BS129" s="166">
        <f t="shared" si="294"/>
        <v>0.10748096405507401</v>
      </c>
      <c r="BT129" s="166">
        <f t="shared" si="294"/>
        <v>0.12124568258488999</v>
      </c>
      <c r="BU129" s="166">
        <f t="shared" si="294"/>
        <v>0.19442531119553597</v>
      </c>
      <c r="BV129" s="166">
        <f t="shared" si="294"/>
        <v>0.24348798971296171</v>
      </c>
      <c r="BW129" s="166">
        <f t="shared" si="294"/>
        <v>0.27835827668061253</v>
      </c>
      <c r="BX129" s="166">
        <f t="shared" si="294"/>
        <v>0.30422464455701026</v>
      </c>
      <c r="BY129" s="166">
        <f t="shared" si="294"/>
        <v>0.32405377864662721</v>
      </c>
      <c r="BZ129" s="166">
        <f t="shared" si="294"/>
        <v>0.33965911584099351</v>
      </c>
      <c r="CA129" s="166">
        <f t="shared" si="294"/>
        <v>0.35220807961935707</v>
      </c>
      <c r="CB129" s="166">
        <f t="shared" si="294"/>
        <v>0.36248398975926766</v>
      </c>
      <c r="CC129" s="166">
        <f t="shared" si="294"/>
        <v>0.37103056482815455</v>
      </c>
      <c r="CD129" s="166">
        <f t="shared" si="294"/>
        <v>0.37823604304140213</v>
      </c>
      <c r="CE129" s="166">
        <f t="shared" si="294"/>
        <v>0.38438437512713264</v>
      </c>
      <c r="CF129" s="166">
        <f t="shared" si="294"/>
        <v>0.38968756430824103</v>
      </c>
      <c r="CG129" s="166">
        <f t="shared" si="294"/>
        <v>0.39430675855639585</v>
      </c>
      <c r="CH129" s="166"/>
      <c r="CI129" s="167"/>
      <c r="CJ129" s="169"/>
      <c r="CK129" s="21"/>
      <c r="CL129" s="37"/>
    </row>
    <row r="130" spans="2:90" ht="17.25" customHeight="1">
      <c r="B130" s="166" t="s">
        <v>867</v>
      </c>
      <c r="C130" s="166">
        <f t="shared" ref="C130:AH130" si="295">IF(C129&lt;0.05,C25,0)</f>
        <v>0</v>
      </c>
      <c r="D130" s="166">
        <f t="shared" si="295"/>
        <v>0</v>
      </c>
      <c r="E130" s="166">
        <f t="shared" si="295"/>
        <v>0</v>
      </c>
      <c r="F130" s="166">
        <f t="shared" si="295"/>
        <v>0</v>
      </c>
      <c r="G130" s="166">
        <f t="shared" si="295"/>
        <v>0</v>
      </c>
      <c r="H130" s="166">
        <f t="shared" si="295"/>
        <v>0</v>
      </c>
      <c r="I130" s="166">
        <f t="shared" si="295"/>
        <v>0</v>
      </c>
      <c r="J130" s="166">
        <f t="shared" si="295"/>
        <v>0</v>
      </c>
      <c r="K130" s="166">
        <f t="shared" si="295"/>
        <v>0</v>
      </c>
      <c r="L130" s="166">
        <f t="shared" si="295"/>
        <v>0</v>
      </c>
      <c r="M130" s="166">
        <f t="shared" si="295"/>
        <v>0</v>
      </c>
      <c r="N130" s="166">
        <f t="shared" si="295"/>
        <v>0</v>
      </c>
      <c r="O130" s="166">
        <f t="shared" si="295"/>
        <v>0</v>
      </c>
      <c r="P130" s="166">
        <f t="shared" si="295"/>
        <v>0</v>
      </c>
      <c r="Q130" s="166">
        <f t="shared" si="295"/>
        <v>0</v>
      </c>
      <c r="R130" s="166">
        <f t="shared" si="295"/>
        <v>0</v>
      </c>
      <c r="S130" s="166">
        <f t="shared" si="295"/>
        <v>0</v>
      </c>
      <c r="T130" s="166">
        <f t="shared" si="295"/>
        <v>0</v>
      </c>
      <c r="U130" s="166">
        <f t="shared" si="295"/>
        <v>0</v>
      </c>
      <c r="V130" s="166">
        <f t="shared" si="295"/>
        <v>0</v>
      </c>
      <c r="W130" s="166">
        <f t="shared" si="295"/>
        <v>0</v>
      </c>
      <c r="X130" s="166">
        <f t="shared" si="295"/>
        <v>0</v>
      </c>
      <c r="Y130" s="166">
        <f t="shared" si="295"/>
        <v>0</v>
      </c>
      <c r="Z130" s="166">
        <f t="shared" si="295"/>
        <v>0</v>
      </c>
      <c r="AA130" s="166">
        <f t="shared" si="295"/>
        <v>0</v>
      </c>
      <c r="AB130" s="166">
        <f t="shared" si="295"/>
        <v>0</v>
      </c>
      <c r="AC130" s="166">
        <f t="shared" si="295"/>
        <v>0</v>
      </c>
      <c r="AD130" s="166">
        <f t="shared" si="295"/>
        <v>0</v>
      </c>
      <c r="AE130" s="166">
        <f t="shared" si="295"/>
        <v>0</v>
      </c>
      <c r="AF130" s="166">
        <f t="shared" si="295"/>
        <v>0</v>
      </c>
      <c r="AG130" s="166">
        <f t="shared" si="295"/>
        <v>0.44456988159588096</v>
      </c>
      <c r="AH130" s="166">
        <f t="shared" si="295"/>
        <v>0</v>
      </c>
      <c r="AI130" s="166">
        <f t="shared" ref="AI130:BN130" si="296">IF(AI129&lt;0.05,AI25,0)</f>
        <v>0</v>
      </c>
      <c r="AJ130" s="166">
        <f t="shared" si="296"/>
        <v>0</v>
      </c>
      <c r="AK130" s="166">
        <f t="shared" si="296"/>
        <v>0</v>
      </c>
      <c r="AL130" s="166">
        <f t="shared" si="296"/>
        <v>0</v>
      </c>
      <c r="AM130" s="166">
        <f t="shared" si="296"/>
        <v>0</v>
      </c>
      <c r="AN130" s="166">
        <f t="shared" si="296"/>
        <v>0</v>
      </c>
      <c r="AO130" s="166">
        <f t="shared" si="296"/>
        <v>0</v>
      </c>
      <c r="AP130" s="166">
        <f t="shared" si="296"/>
        <v>0</v>
      </c>
      <c r="AQ130" s="166">
        <f t="shared" si="296"/>
        <v>0</v>
      </c>
      <c r="AR130" s="166">
        <f t="shared" si="296"/>
        <v>0</v>
      </c>
      <c r="AS130" s="166">
        <f t="shared" si="296"/>
        <v>0</v>
      </c>
      <c r="AT130" s="166">
        <f t="shared" si="296"/>
        <v>0</v>
      </c>
      <c r="AU130" s="166">
        <f t="shared" si="296"/>
        <v>0</v>
      </c>
      <c r="AV130" s="166">
        <f t="shared" si="296"/>
        <v>0</v>
      </c>
      <c r="AW130" s="166">
        <f t="shared" si="296"/>
        <v>0</v>
      </c>
      <c r="AX130" s="166">
        <f t="shared" si="296"/>
        <v>0</v>
      </c>
      <c r="AY130" s="166">
        <f t="shared" si="296"/>
        <v>0</v>
      </c>
      <c r="AZ130" s="166">
        <f t="shared" si="296"/>
        <v>0</v>
      </c>
      <c r="BA130" s="166">
        <f t="shared" si="296"/>
        <v>0</v>
      </c>
      <c r="BB130" s="166">
        <f t="shared" si="296"/>
        <v>0</v>
      </c>
      <c r="BC130" s="166">
        <f t="shared" si="296"/>
        <v>0</v>
      </c>
      <c r="BD130" s="166">
        <f t="shared" si="296"/>
        <v>0</v>
      </c>
      <c r="BE130" s="166">
        <f t="shared" si="296"/>
        <v>0</v>
      </c>
      <c r="BF130" s="166">
        <f t="shared" si="296"/>
        <v>0</v>
      </c>
      <c r="BG130" s="166">
        <f t="shared" si="296"/>
        <v>0</v>
      </c>
      <c r="BH130" s="166">
        <f t="shared" si="296"/>
        <v>0</v>
      </c>
      <c r="BI130" s="166">
        <f t="shared" si="296"/>
        <v>0</v>
      </c>
      <c r="BJ130" s="166">
        <f t="shared" si="296"/>
        <v>0</v>
      </c>
      <c r="BK130" s="166">
        <f t="shared" si="296"/>
        <v>0</v>
      </c>
      <c r="BL130" s="166">
        <f t="shared" si="296"/>
        <v>0.88405797101449313</v>
      </c>
      <c r="BM130" s="166">
        <f t="shared" si="296"/>
        <v>0.89855072463768149</v>
      </c>
      <c r="BN130" s="166">
        <f t="shared" si="296"/>
        <v>0.91304347826086985</v>
      </c>
      <c r="BO130" s="166">
        <f t="shared" ref="BO130:CG130" si="297">IF(BO129&lt;0.05,BO25,0)</f>
        <v>0.9275362318840582</v>
      </c>
      <c r="BP130" s="166">
        <f t="shared" si="297"/>
        <v>0</v>
      </c>
      <c r="BQ130" s="166">
        <f t="shared" si="297"/>
        <v>0</v>
      </c>
      <c r="BR130" s="166">
        <f t="shared" si="297"/>
        <v>0</v>
      </c>
      <c r="BS130" s="166">
        <f t="shared" si="297"/>
        <v>0</v>
      </c>
      <c r="BT130" s="166">
        <f t="shared" si="297"/>
        <v>0</v>
      </c>
      <c r="BU130" s="166">
        <f t="shared" si="297"/>
        <v>0</v>
      </c>
      <c r="BV130" s="166">
        <f t="shared" si="297"/>
        <v>0</v>
      </c>
      <c r="BW130" s="166">
        <f t="shared" si="297"/>
        <v>0</v>
      </c>
      <c r="BX130" s="166">
        <f t="shared" si="297"/>
        <v>0</v>
      </c>
      <c r="BY130" s="166">
        <f t="shared" si="297"/>
        <v>0</v>
      </c>
      <c r="BZ130" s="166">
        <f t="shared" si="297"/>
        <v>0</v>
      </c>
      <c r="CA130" s="166">
        <f t="shared" si="297"/>
        <v>0</v>
      </c>
      <c r="CB130" s="166">
        <f t="shared" si="297"/>
        <v>0</v>
      </c>
      <c r="CC130" s="166">
        <f t="shared" si="297"/>
        <v>0</v>
      </c>
      <c r="CD130" s="166">
        <f t="shared" si="297"/>
        <v>0</v>
      </c>
      <c r="CE130" s="166">
        <f t="shared" si="297"/>
        <v>0</v>
      </c>
      <c r="CF130" s="166">
        <f t="shared" si="297"/>
        <v>0</v>
      </c>
      <c r="CG130" s="166">
        <f t="shared" si="297"/>
        <v>0</v>
      </c>
      <c r="CH130" s="166"/>
      <c r="CI130" s="167">
        <f>MAX(C130:CG130)</f>
        <v>0.9275362318840582</v>
      </c>
      <c r="CJ130" s="170"/>
      <c r="CK130" s="21">
        <f>CI130*'Design Spec'!D112</f>
        <v>204.05797101449281</v>
      </c>
      <c r="CL130" s="48"/>
    </row>
    <row r="131" spans="2:90" s="165" customFormat="1" ht="16.5" customHeight="1"/>
    <row r="132" spans="2:90" s="165" customFormat="1" ht="16.5" customHeight="1"/>
    <row r="133" spans="2:90" s="165" customFormat="1" ht="16.5" customHeight="1"/>
    <row r="134" spans="2:90" s="165" customFormat="1" ht="16.5" customHeight="1"/>
    <row r="135" spans="2:90" s="165" customFormat="1" ht="16.5" customHeight="1"/>
    <row r="136" spans="2:90" s="165" customFormat="1" ht="16.5" customHeight="1"/>
    <row r="138" spans="2:90" ht="16.5" customHeight="1">
      <c r="C138" s="10">
        <f t="shared" ref="C138:AH138" si="298">ABS(C47-C53)</f>
        <v>1.5209591618552871</v>
      </c>
      <c r="D138" s="10">
        <f t="shared" si="298"/>
        <v>1.5196709949723763</v>
      </c>
      <c r="E138" s="10">
        <f t="shared" si="298"/>
        <v>1.5176663950292382</v>
      </c>
      <c r="F138" s="10">
        <f t="shared" si="298"/>
        <v>1.5147231570388633</v>
      </c>
      <c r="G138" s="10">
        <f t="shared" si="298"/>
        <v>1.5108217869693041</v>
      </c>
      <c r="H138" s="10">
        <f t="shared" si="298"/>
        <v>1.5059361757779406</v>
      </c>
      <c r="I138" s="10">
        <f t="shared" si="298"/>
        <v>1.5000331958946771</v>
      </c>
      <c r="J138" s="10">
        <f t="shared" si="298"/>
        <v>1.4930721823971083</v>
      </c>
      <c r="K138" s="10">
        <f t="shared" si="298"/>
        <v>1.4850042861341304</v>
      </c>
      <c r="L138" s="10">
        <f t="shared" si="298"/>
        <v>1.4757716828559233</v>
      </c>
      <c r="M138" s="10">
        <f t="shared" si="298"/>
        <v>1.4653066188381423</v>
      </c>
      <c r="N138" s="10">
        <f t="shared" si="298"/>
        <v>1.4535302695213468</v>
      </c>
      <c r="O138" s="10">
        <f t="shared" si="298"/>
        <v>1.4403513833420145</v>
      </c>
      <c r="P138" s="10">
        <f t="shared" si="298"/>
        <v>1.4256646783084683</v>
      </c>
      <c r="Q138" s="10">
        <f t="shared" si="298"/>
        <v>1.4093489542148299</v>
      </c>
      <c r="R138" s="10">
        <f t="shared" si="298"/>
        <v>1.391264879173052</v>
      </c>
      <c r="S138" s="10">
        <f t="shared" si="298"/>
        <v>1.3712524062715423</v>
      </c>
      <c r="T138" s="10">
        <f t="shared" si="298"/>
        <v>1.3491277762160658</v>
      </c>
      <c r="U138" s="10">
        <f t="shared" si="298"/>
        <v>1.3246800674782291</v>
      </c>
      <c r="V138" s="10">
        <f t="shared" si="298"/>
        <v>1.2976672713158293</v>
      </c>
      <c r="W138" s="10">
        <f t="shared" si="298"/>
        <v>1.267811902576893</v>
      </c>
      <c r="X138" s="10">
        <f t="shared" si="298"/>
        <v>1.2347962208080054</v>
      </c>
      <c r="Y138" s="10">
        <f t="shared" si="298"/>
        <v>1.1982572498599025</v>
      </c>
      <c r="Z138" s="10">
        <f t="shared" si="298"/>
        <v>1.1577819798676963</v>
      </c>
      <c r="AA138" s="10">
        <f t="shared" si="298"/>
        <v>1.1129034632814621</v>
      </c>
      <c r="AB138" s="10">
        <f t="shared" si="298"/>
        <v>1.0630990530135127</v>
      </c>
      <c r="AC138" s="10">
        <f t="shared" si="298"/>
        <v>1.0077928875809852</v>
      </c>
      <c r="AD138" s="10">
        <f t="shared" si="298"/>
        <v>0.94636605709444832</v>
      </c>
      <c r="AE138" s="10">
        <f t="shared" si="298"/>
        <v>0.87817986206387577</v>
      </c>
      <c r="AF138" s="10">
        <f t="shared" si="298"/>
        <v>0.80262033676227651</v>
      </c>
      <c r="AG138" s="10">
        <f t="shared" si="298"/>
        <v>0.71917563770222825</v>
      </c>
      <c r="AH138" s="10">
        <f t="shared" si="298"/>
        <v>0.62756117229963171</v>
      </c>
      <c r="AI138" s="10">
        <f t="shared" ref="AI138:BN138" si="299">ABS(AI47-AI53)</f>
        <v>0.5279080331029381</v>
      </c>
      <c r="AJ138" s="10">
        <f t="shared" si="299"/>
        <v>0.42102306802974909</v>
      </c>
      <c r="AK138" s="10">
        <f t="shared" si="299"/>
        <v>0.30870470407961603</v>
      </c>
      <c r="AL138" s="10">
        <f t="shared" si="299"/>
        <v>0.19404754908537258</v>
      </c>
      <c r="AM138" s="10">
        <f t="shared" si="299"/>
        <v>8.159252239373993E-2</v>
      </c>
      <c r="AN138" s="10">
        <f t="shared" si="299"/>
        <v>2.2884534432071391E-2</v>
      </c>
      <c r="AO138" s="10">
        <f t="shared" si="299"/>
        <v>0.11311590537412752</v>
      </c>
      <c r="AP138" s="10">
        <f t="shared" si="299"/>
        <v>0.13837937172186332</v>
      </c>
      <c r="AQ138" s="10">
        <f t="shared" si="299"/>
        <v>0.20152177600184773</v>
      </c>
      <c r="AR138" s="10">
        <f t="shared" si="299"/>
        <v>0.2408266228607403</v>
      </c>
      <c r="AS138" s="10">
        <f t="shared" si="299"/>
        <v>0.25654157697419011</v>
      </c>
      <c r="AT138" s="10">
        <f t="shared" si="299"/>
        <v>0.25141791000855185</v>
      </c>
      <c r="AU138" s="10">
        <f t="shared" si="299"/>
        <v>0.22970961953372959</v>
      </c>
      <c r="AV138" s="10">
        <f t="shared" si="299"/>
        <v>0.19607602581433414</v>
      </c>
      <c r="AW138" s="10">
        <f t="shared" si="299"/>
        <v>0.15477626005296163</v>
      </c>
      <c r="AX138" s="10">
        <f t="shared" si="299"/>
        <v>0.10926627970636771</v>
      </c>
      <c r="AY138" s="10">
        <f t="shared" si="299"/>
        <v>6.2115012072380349E-2</v>
      </c>
      <c r="AZ138" s="10">
        <f t="shared" si="299"/>
        <v>1.5100453877845421E-2</v>
      </c>
      <c r="BA138" s="10">
        <f t="shared" si="299"/>
        <v>3.06267282587811E-2</v>
      </c>
      <c r="BB138" s="10">
        <f t="shared" si="299"/>
        <v>7.4377469717008537E-2</v>
      </c>
      <c r="BC138" s="10">
        <f t="shared" si="299"/>
        <v>0.11578466941701571</v>
      </c>
      <c r="BD138" s="10">
        <f t="shared" si="299"/>
        <v>0.1546963637935268</v>
      </c>
      <c r="BE138" s="10">
        <f t="shared" si="299"/>
        <v>0.19109867986312246</v>
      </c>
      <c r="BF138" s="10">
        <f t="shared" si="299"/>
        <v>0.22506242601342397</v>
      </c>
      <c r="BG138" s="10">
        <f t="shared" si="299"/>
        <v>0.25670714222044788</v>
      </c>
      <c r="BH138" s="10">
        <f t="shared" si="299"/>
        <v>0.28617749538237303</v>
      </c>
      <c r="BI138" s="10">
        <f t="shared" si="299"/>
        <v>0.31362815698600888</v>
      </c>
      <c r="BJ138" s="10">
        <f t="shared" si="299"/>
        <v>0.33921439147070731</v>
      </c>
      <c r="BK138" s="10">
        <f t="shared" si="299"/>
        <v>0.36308642790990442</v>
      </c>
      <c r="BL138" s="10">
        <f t="shared" si="299"/>
        <v>0.38538630164627485</v>
      </c>
      <c r="BM138" s="10">
        <f t="shared" si="299"/>
        <v>0.40624628333548207</v>
      </c>
      <c r="BN138" s="10">
        <f t="shared" si="299"/>
        <v>0.42578830853522831</v>
      </c>
      <c r="BO138" s="10">
        <f t="shared" ref="BO138:CG138" si="300">ABS(BO47-BO53)</f>
        <v>0.44412402106890592</v>
      </c>
      <c r="BP138" s="10">
        <f t="shared" si="300"/>
        <v>0.46135517753608379</v>
      </c>
      <c r="BQ138" s="10">
        <f t="shared" si="300"/>
        <v>0.47757424967631867</v>
      </c>
      <c r="BR138" s="10">
        <f t="shared" si="300"/>
        <v>0.49286512047187858</v>
      </c>
      <c r="BS138" s="10">
        <f t="shared" si="300"/>
        <v>0.50730380888257964</v>
      </c>
      <c r="BT138" s="10">
        <f t="shared" si="300"/>
        <v>0.52095918367346949</v>
      </c>
      <c r="BU138" s="10">
        <f t="shared" si="300"/>
        <v>0.59762706413646827</v>
      </c>
      <c r="BV138" s="10">
        <f t="shared" si="300"/>
        <v>0.6539981253322219</v>
      </c>
      <c r="BW138" s="10">
        <f t="shared" si="300"/>
        <v>0.69777670276823955</v>
      </c>
      <c r="BX138" s="10">
        <f t="shared" si="300"/>
        <v>0.73332159263958985</v>
      </c>
      <c r="BY138" s="10">
        <f t="shared" si="300"/>
        <v>0.76323789052088498</v>
      </c>
      <c r="BZ138" s="10">
        <f t="shared" si="300"/>
        <v>0.78915649357262507</v>
      </c>
      <c r="CA138" s="10">
        <f t="shared" si="300"/>
        <v>0.81213836551011553</v>
      </c>
      <c r="CB138" s="10">
        <f t="shared" si="300"/>
        <v>0.83289606753594747</v>
      </c>
      <c r="CC138" s="10">
        <f t="shared" si="300"/>
        <v>0.85192120337711519</v>
      </c>
      <c r="CD138" s="10">
        <f t="shared" si="300"/>
        <v>0.86956087503612556</v>
      </c>
      <c r="CE138" s="10">
        <f t="shared" si="300"/>
        <v>0.88606522254175402</v>
      </c>
      <c r="CF138" s="10">
        <f t="shared" si="300"/>
        <v>0.90161790115307483</v>
      </c>
      <c r="CG138" s="10">
        <f t="shared" si="300"/>
        <v>0.91635613559301732</v>
      </c>
    </row>
    <row r="139" spans="2:90" ht="16.5" customHeight="1">
      <c r="C139" s="10">
        <f t="shared" ref="C139:AH139" si="301">IF(C138&lt;0.03,C25,0)</f>
        <v>0</v>
      </c>
      <c r="D139" s="10">
        <f t="shared" si="301"/>
        <v>0</v>
      </c>
      <c r="E139" s="10">
        <f t="shared" si="301"/>
        <v>0</v>
      </c>
      <c r="F139" s="10">
        <f t="shared" si="301"/>
        <v>0</v>
      </c>
      <c r="G139" s="10">
        <f t="shared" si="301"/>
        <v>0</v>
      </c>
      <c r="H139" s="10">
        <f t="shared" si="301"/>
        <v>0</v>
      </c>
      <c r="I139" s="10">
        <f t="shared" si="301"/>
        <v>0</v>
      </c>
      <c r="J139" s="10">
        <f t="shared" si="301"/>
        <v>0</v>
      </c>
      <c r="K139" s="10">
        <f t="shared" si="301"/>
        <v>0</v>
      </c>
      <c r="L139" s="10">
        <f t="shared" si="301"/>
        <v>0</v>
      </c>
      <c r="M139" s="10">
        <f t="shared" si="301"/>
        <v>0</v>
      </c>
      <c r="N139" s="10">
        <f t="shared" si="301"/>
        <v>0</v>
      </c>
      <c r="O139" s="10">
        <f t="shared" si="301"/>
        <v>0</v>
      </c>
      <c r="P139" s="10">
        <f t="shared" si="301"/>
        <v>0</v>
      </c>
      <c r="Q139" s="10">
        <f t="shared" si="301"/>
        <v>0</v>
      </c>
      <c r="R139" s="10">
        <f t="shared" si="301"/>
        <v>0</v>
      </c>
      <c r="S139" s="10">
        <f t="shared" si="301"/>
        <v>0</v>
      </c>
      <c r="T139" s="10">
        <f t="shared" si="301"/>
        <v>0</v>
      </c>
      <c r="U139" s="10">
        <f t="shared" si="301"/>
        <v>0</v>
      </c>
      <c r="V139" s="10">
        <f t="shared" si="301"/>
        <v>0</v>
      </c>
      <c r="W139" s="10">
        <f t="shared" si="301"/>
        <v>0</v>
      </c>
      <c r="X139" s="10">
        <f t="shared" si="301"/>
        <v>0</v>
      </c>
      <c r="Y139" s="10">
        <f t="shared" si="301"/>
        <v>0</v>
      </c>
      <c r="Z139" s="10">
        <f t="shared" si="301"/>
        <v>0</v>
      </c>
      <c r="AA139" s="10">
        <f t="shared" si="301"/>
        <v>0</v>
      </c>
      <c r="AB139" s="10">
        <f t="shared" si="301"/>
        <v>0</v>
      </c>
      <c r="AC139" s="10">
        <f t="shared" si="301"/>
        <v>0</v>
      </c>
      <c r="AD139" s="10">
        <f t="shared" si="301"/>
        <v>0</v>
      </c>
      <c r="AE139" s="10">
        <f t="shared" si="301"/>
        <v>0</v>
      </c>
      <c r="AF139" s="10">
        <f t="shared" si="301"/>
        <v>0</v>
      </c>
      <c r="AG139" s="10">
        <f t="shared" si="301"/>
        <v>0</v>
      </c>
      <c r="AH139" s="10">
        <f t="shared" si="301"/>
        <v>0</v>
      </c>
      <c r="AI139" s="10">
        <f t="shared" ref="AI139:BN139" si="302">IF(AI138&lt;0.03,AI25,0)</f>
        <v>0</v>
      </c>
      <c r="AJ139" s="10">
        <f t="shared" si="302"/>
        <v>0</v>
      </c>
      <c r="AK139" s="10">
        <f t="shared" si="302"/>
        <v>0</v>
      </c>
      <c r="AL139" s="10">
        <f t="shared" si="302"/>
        <v>0</v>
      </c>
      <c r="AM139" s="10">
        <f t="shared" si="302"/>
        <v>0</v>
      </c>
      <c r="AN139" s="10">
        <f t="shared" si="302"/>
        <v>0.54601915695819969</v>
      </c>
      <c r="AO139" s="10">
        <f t="shared" si="302"/>
        <v>0</v>
      </c>
      <c r="AP139" s="10">
        <f t="shared" si="302"/>
        <v>0</v>
      </c>
      <c r="AQ139" s="10">
        <f t="shared" si="302"/>
        <v>0</v>
      </c>
      <c r="AR139" s="10">
        <f t="shared" si="302"/>
        <v>0</v>
      </c>
      <c r="AS139" s="10">
        <f t="shared" si="302"/>
        <v>0</v>
      </c>
      <c r="AT139" s="10">
        <f t="shared" si="302"/>
        <v>0</v>
      </c>
      <c r="AU139" s="10">
        <f t="shared" si="302"/>
        <v>0</v>
      </c>
      <c r="AV139" s="10">
        <f t="shared" si="302"/>
        <v>0</v>
      </c>
      <c r="AW139" s="10">
        <f t="shared" si="302"/>
        <v>0</v>
      </c>
      <c r="AX139" s="10">
        <f t="shared" si="302"/>
        <v>0</v>
      </c>
      <c r="AY139" s="10">
        <f t="shared" si="302"/>
        <v>0</v>
      </c>
      <c r="AZ139" s="10">
        <f t="shared" si="302"/>
        <v>0.71014492753623282</v>
      </c>
      <c r="BA139" s="10">
        <f t="shared" si="302"/>
        <v>0</v>
      </c>
      <c r="BB139" s="10">
        <f t="shared" si="302"/>
        <v>0</v>
      </c>
      <c r="BC139" s="10">
        <f t="shared" si="302"/>
        <v>0</v>
      </c>
      <c r="BD139" s="10">
        <f t="shared" si="302"/>
        <v>0</v>
      </c>
      <c r="BE139" s="10">
        <f t="shared" si="302"/>
        <v>0</v>
      </c>
      <c r="BF139" s="10">
        <f t="shared" si="302"/>
        <v>0</v>
      </c>
      <c r="BG139" s="10">
        <f t="shared" si="302"/>
        <v>0</v>
      </c>
      <c r="BH139" s="10">
        <f t="shared" si="302"/>
        <v>0</v>
      </c>
      <c r="BI139" s="10">
        <f t="shared" si="302"/>
        <v>0</v>
      </c>
      <c r="BJ139" s="10">
        <f t="shared" si="302"/>
        <v>0</v>
      </c>
      <c r="BK139" s="10">
        <f t="shared" si="302"/>
        <v>0</v>
      </c>
      <c r="BL139" s="10">
        <f t="shared" si="302"/>
        <v>0</v>
      </c>
      <c r="BM139" s="10">
        <f t="shared" si="302"/>
        <v>0</v>
      </c>
      <c r="BN139" s="10">
        <f t="shared" si="302"/>
        <v>0</v>
      </c>
      <c r="BO139" s="10">
        <f t="shared" ref="BO139:CG139" si="303">IF(BO138&lt;0.03,BO25,0)</f>
        <v>0</v>
      </c>
      <c r="BP139" s="10">
        <f t="shared" si="303"/>
        <v>0</v>
      </c>
      <c r="BQ139" s="10">
        <f t="shared" si="303"/>
        <v>0</v>
      </c>
      <c r="BR139" s="10">
        <f t="shared" si="303"/>
        <v>0</v>
      </c>
      <c r="BS139" s="10">
        <f t="shared" si="303"/>
        <v>0</v>
      </c>
      <c r="BT139" s="10">
        <f t="shared" si="303"/>
        <v>0</v>
      </c>
      <c r="BU139" s="10">
        <f t="shared" si="303"/>
        <v>0</v>
      </c>
      <c r="BV139" s="10">
        <f t="shared" si="303"/>
        <v>0</v>
      </c>
      <c r="BW139" s="10">
        <f t="shared" si="303"/>
        <v>0</v>
      </c>
      <c r="BX139" s="10">
        <f t="shared" si="303"/>
        <v>0</v>
      </c>
      <c r="BY139" s="10">
        <f t="shared" si="303"/>
        <v>0</v>
      </c>
      <c r="BZ139" s="10">
        <f t="shared" si="303"/>
        <v>0</v>
      </c>
      <c r="CA139" s="10">
        <f t="shared" si="303"/>
        <v>0</v>
      </c>
      <c r="CB139" s="10">
        <f t="shared" si="303"/>
        <v>0</v>
      </c>
      <c r="CC139" s="10">
        <f t="shared" si="303"/>
        <v>0</v>
      </c>
      <c r="CD139" s="10">
        <f t="shared" si="303"/>
        <v>0</v>
      </c>
      <c r="CE139" s="10">
        <f t="shared" si="303"/>
        <v>0</v>
      </c>
      <c r="CF139" s="10">
        <f t="shared" si="303"/>
        <v>0</v>
      </c>
      <c r="CG139" s="10">
        <f t="shared" si="303"/>
        <v>0</v>
      </c>
      <c r="CI139" s="10">
        <f>MAX(C139:CG139)</f>
        <v>0.71014492753623282</v>
      </c>
      <c r="CJ139" s="10">
        <f>3.14/2</f>
        <v>1.57</v>
      </c>
    </row>
    <row r="140" spans="2:90" ht="16.5" customHeight="1">
      <c r="C140" s="10">
        <f t="shared" ref="C140:AH140" si="304">ABS(C49-C55)</f>
        <v>1.7562523664224399</v>
      </c>
      <c r="D140" s="10">
        <f t="shared" si="304"/>
        <v>1.7549640013077841</v>
      </c>
      <c r="E140" s="10">
        <f t="shared" si="304"/>
        <v>1.7529583032162652</v>
      </c>
      <c r="F140" s="10">
        <f t="shared" si="304"/>
        <v>1.7500117058027822</v>
      </c>
      <c r="G140" s="10">
        <f t="shared" si="304"/>
        <v>1.7461026663373016</v>
      </c>
      <c r="H140" s="10">
        <f t="shared" si="304"/>
        <v>1.7412022527167712</v>
      </c>
      <c r="I140" s="10">
        <f t="shared" si="304"/>
        <v>1.7352736253104193</v>
      </c>
      <c r="J140" s="10">
        <f t="shared" si="304"/>
        <v>1.7282713642160836</v>
      </c>
      <c r="K140" s="10">
        <f t="shared" si="304"/>
        <v>1.7201406203083813</v>
      </c>
      <c r="L140" s="10">
        <f t="shared" si="304"/>
        <v>1.7108160621437465</v>
      </c>
      <c r="M140" s="10">
        <f t="shared" si="304"/>
        <v>1.700220583142849</v>
      </c>
      <c r="N140" s="10">
        <f t="shared" si="304"/>
        <v>1.688263724108656</v>
      </c>
      <c r="O140" s="10">
        <f t="shared" si="304"/>
        <v>1.6748397545791345</v>
      </c>
      <c r="P140" s="10">
        <f t="shared" si="304"/>
        <v>1.6598253421705949</v>
      </c>
      <c r="Q140" s="10">
        <f t="shared" si="304"/>
        <v>1.6430767212343989</v>
      </c>
      <c r="R140" s="10">
        <f t="shared" si="304"/>
        <v>1.6244262500017226</v>
      </c>
      <c r="S140" s="10">
        <f t="shared" si="304"/>
        <v>1.6036782180218752</v>
      </c>
      <c r="T140" s="10">
        <f t="shared" si="304"/>
        <v>1.5806037322297986</v>
      </c>
      <c r="U140" s="10">
        <f t="shared" si="304"/>
        <v>1.554934469812939</v>
      </c>
      <c r="V140" s="10">
        <f t="shared" si="304"/>
        <v>1.5263550394293275</v>
      </c>
      <c r="W140" s="10">
        <f t="shared" si="304"/>
        <v>1.4944936414667596</v>
      </c>
      <c r="X140" s="10">
        <f t="shared" si="304"/>
        <v>1.4589106693462159</v>
      </c>
      <c r="Y140" s="10">
        <f t="shared" si="304"/>
        <v>1.4190848623701329</v>
      </c>
      <c r="Z140" s="10">
        <f t="shared" si="304"/>
        <v>1.3743966383608002</v>
      </c>
      <c r="AA140" s="10">
        <f t="shared" si="304"/>
        <v>1.3241083666488902</v>
      </c>
      <c r="AB140" s="10">
        <f t="shared" si="304"/>
        <v>1.267341718159138</v>
      </c>
      <c r="AC140" s="10">
        <f t="shared" si="304"/>
        <v>1.2030531000369948</v>
      </c>
      <c r="AD140" s="10">
        <f t="shared" si="304"/>
        <v>1.1300100237355153</v>
      </c>
      <c r="AE140" s="10">
        <f t="shared" si="304"/>
        <v>1.0467749500594239</v>
      </c>
      <c r="AF140" s="10">
        <f t="shared" si="304"/>
        <v>0.95171027205751679</v>
      </c>
      <c r="AG140" s="10">
        <f t="shared" si="304"/>
        <v>0.84303122836665767</v>
      </c>
      <c r="AH140" s="10">
        <f t="shared" si="304"/>
        <v>0.71895632179595714</v>
      </c>
      <c r="AI140" s="10">
        <f t="shared" ref="AI140:BN140" si="305">ABS(AI49-AI55)</f>
        <v>0.57804025082658561</v>
      </c>
      <c r="AJ140" s="10">
        <f t="shared" si="305"/>
        <v>0.41981741015769369</v>
      </c>
      <c r="AK140" s="10">
        <f t="shared" si="305"/>
        <v>0.24590012098418801</v>
      </c>
      <c r="AL140" s="10">
        <f t="shared" si="305"/>
        <v>6.1559026065243883E-2</v>
      </c>
      <c r="AM140" s="10">
        <f t="shared" si="305"/>
        <v>0.12263490483189732</v>
      </c>
      <c r="AN140" s="10">
        <f t="shared" si="305"/>
        <v>0.29040300165070043</v>
      </c>
      <c r="AO140" s="10">
        <f t="shared" si="305"/>
        <v>0.42251378443695931</v>
      </c>
      <c r="AP140" s="10">
        <f t="shared" si="305"/>
        <v>0.45487307457662851</v>
      </c>
      <c r="AQ140" s="10">
        <f t="shared" si="305"/>
        <v>0.51708177368290942</v>
      </c>
      <c r="AR140" s="10">
        <f t="shared" si="305"/>
        <v>0.52322342741699224</v>
      </c>
      <c r="AS140" s="10">
        <f t="shared" si="305"/>
        <v>0.48283938869490983</v>
      </c>
      <c r="AT140" s="10">
        <f t="shared" si="305"/>
        <v>0.41092409690398002</v>
      </c>
      <c r="AU140" s="10">
        <f t="shared" si="305"/>
        <v>0.32201409451587626</v>
      </c>
      <c r="AV140" s="10">
        <f t="shared" si="305"/>
        <v>0.22709677016295671</v>
      </c>
      <c r="AW140" s="10">
        <f t="shared" si="305"/>
        <v>0.13318463842187356</v>
      </c>
      <c r="AX140" s="10">
        <f t="shared" si="305"/>
        <v>4.4151224014113089E-2</v>
      </c>
      <c r="AY140" s="10">
        <f t="shared" si="305"/>
        <v>3.8216093044413535E-2</v>
      </c>
      <c r="AZ140" s="10">
        <f t="shared" si="305"/>
        <v>0.11337233469391195</v>
      </c>
      <c r="BA140" s="10">
        <f t="shared" si="305"/>
        <v>0.18144901311515449</v>
      </c>
      <c r="BB140" s="10">
        <f t="shared" si="305"/>
        <v>0.24290950064590877</v>
      </c>
      <c r="BC140" s="10">
        <f t="shared" si="305"/>
        <v>0.29835219634132515</v>
      </c>
      <c r="BD140" s="10">
        <f t="shared" si="305"/>
        <v>0.34840415083488474</v>
      </c>
      <c r="BE140" s="10">
        <f t="shared" si="305"/>
        <v>0.39366726687485976</v>
      </c>
      <c r="BF140" s="10">
        <f t="shared" si="305"/>
        <v>0.43469394383951454</v>
      </c>
      <c r="BG140" s="10">
        <f t="shared" si="305"/>
        <v>0.47197864359765163</v>
      </c>
      <c r="BH140" s="10">
        <f t="shared" si="305"/>
        <v>0.5059576886784336</v>
      </c>
      <c r="BI140" s="10">
        <f t="shared" si="305"/>
        <v>0.53701301542020952</v>
      </c>
      <c r="BJ140" s="10">
        <f t="shared" si="305"/>
        <v>0.56547755696570157</v>
      </c>
      <c r="BK140" s="10">
        <f t="shared" si="305"/>
        <v>0.59164103153468051</v>
      </c>
      <c r="BL140" s="10">
        <f t="shared" si="305"/>
        <v>0.61575552373857523</v>
      </c>
      <c r="BM140" s="10">
        <f t="shared" si="305"/>
        <v>0.63804058207779546</v>
      </c>
      <c r="BN140" s="10">
        <f t="shared" si="305"/>
        <v>0.65868773524273116</v>
      </c>
      <c r="BO140" s="10">
        <f t="shared" ref="BO140:CG140" si="306">ABS(BO49-BO55)</f>
        <v>0.67786442226468013</v>
      </c>
      <c r="BP140" s="10">
        <f t="shared" si="306"/>
        <v>0.69571737590698368</v>
      </c>
      <c r="BQ140" s="10">
        <f t="shared" si="306"/>
        <v>0.7123755169336925</v>
      </c>
      <c r="BR140" s="10">
        <f t="shared" si="306"/>
        <v>0.72795242138505789</v>
      </c>
      <c r="BS140" s="10">
        <f t="shared" si="306"/>
        <v>0.74254842060066695</v>
      </c>
      <c r="BT140" s="10">
        <f t="shared" si="306"/>
        <v>0.75625238824062224</v>
      </c>
      <c r="BU140" s="10">
        <f t="shared" si="306"/>
        <v>0.83137480446751144</v>
      </c>
      <c r="BV140" s="10">
        <f t="shared" si="306"/>
        <v>0.88454225793270846</v>
      </c>
      <c r="BW140" s="10">
        <f t="shared" si="306"/>
        <v>0.92448440415339694</v>
      </c>
      <c r="BX140" s="10">
        <f t="shared" si="306"/>
        <v>0.95595261913320062</v>
      </c>
      <c r="BY140" s="10">
        <f t="shared" si="306"/>
        <v>0.98172703135746309</v>
      </c>
      <c r="BZ140" s="10">
        <f t="shared" si="306"/>
        <v>1.0035285233566953</v>
      </c>
      <c r="CA140" s="10">
        <f t="shared" si="306"/>
        <v>1.0224706962787047</v>
      </c>
      <c r="CB140" s="10">
        <f t="shared" si="306"/>
        <v>1.0393002674054839</v>
      </c>
      <c r="CC140" s="10">
        <f t="shared" si="306"/>
        <v>1.0545325918693667</v>
      </c>
      <c r="CD140" s="10">
        <f t="shared" si="306"/>
        <v>1.0685318504837045</v>
      </c>
      <c r="CE140" s="10">
        <f t="shared" si="306"/>
        <v>1.0815604716177343</v>
      </c>
      <c r="CF140" s="10">
        <f t="shared" si="306"/>
        <v>1.0938106674918588</v>
      </c>
      <c r="CG140" s="10">
        <f t="shared" si="306"/>
        <v>1.1054251667260631</v>
      </c>
    </row>
    <row r="141" spans="2:90" ht="16.5" customHeight="1">
      <c r="C141" s="10">
        <f t="shared" ref="C141:AH141" si="307">IF(C140&lt;0.03,C25,0)</f>
        <v>0</v>
      </c>
      <c r="D141" s="10">
        <f t="shared" si="307"/>
        <v>0</v>
      </c>
      <c r="E141" s="10">
        <f t="shared" si="307"/>
        <v>0</v>
      </c>
      <c r="F141" s="10">
        <f t="shared" si="307"/>
        <v>0</v>
      </c>
      <c r="G141" s="10">
        <f t="shared" si="307"/>
        <v>0</v>
      </c>
      <c r="H141" s="10">
        <f t="shared" si="307"/>
        <v>0</v>
      </c>
      <c r="I141" s="10">
        <f t="shared" si="307"/>
        <v>0</v>
      </c>
      <c r="J141" s="10">
        <f t="shared" si="307"/>
        <v>0</v>
      </c>
      <c r="K141" s="10">
        <f t="shared" si="307"/>
        <v>0</v>
      </c>
      <c r="L141" s="10">
        <f t="shared" si="307"/>
        <v>0</v>
      </c>
      <c r="M141" s="10">
        <f t="shared" si="307"/>
        <v>0</v>
      </c>
      <c r="N141" s="10">
        <f t="shared" si="307"/>
        <v>0</v>
      </c>
      <c r="O141" s="10">
        <f t="shared" si="307"/>
        <v>0</v>
      </c>
      <c r="P141" s="10">
        <f t="shared" si="307"/>
        <v>0</v>
      </c>
      <c r="Q141" s="10">
        <f t="shared" si="307"/>
        <v>0</v>
      </c>
      <c r="R141" s="10">
        <f t="shared" si="307"/>
        <v>0</v>
      </c>
      <c r="S141" s="10">
        <f t="shared" si="307"/>
        <v>0</v>
      </c>
      <c r="T141" s="10">
        <f t="shared" si="307"/>
        <v>0</v>
      </c>
      <c r="U141" s="10">
        <f t="shared" si="307"/>
        <v>0</v>
      </c>
      <c r="V141" s="10">
        <f t="shared" si="307"/>
        <v>0</v>
      </c>
      <c r="W141" s="10">
        <f t="shared" si="307"/>
        <v>0</v>
      </c>
      <c r="X141" s="10">
        <f t="shared" si="307"/>
        <v>0</v>
      </c>
      <c r="Y141" s="10">
        <f t="shared" si="307"/>
        <v>0</v>
      </c>
      <c r="Z141" s="10">
        <f t="shared" si="307"/>
        <v>0</v>
      </c>
      <c r="AA141" s="10">
        <f t="shared" si="307"/>
        <v>0</v>
      </c>
      <c r="AB141" s="10">
        <f t="shared" si="307"/>
        <v>0</v>
      </c>
      <c r="AC141" s="10">
        <f t="shared" si="307"/>
        <v>0</v>
      </c>
      <c r="AD141" s="10">
        <f t="shared" si="307"/>
        <v>0</v>
      </c>
      <c r="AE141" s="10">
        <f t="shared" si="307"/>
        <v>0</v>
      </c>
      <c r="AF141" s="10">
        <f t="shared" si="307"/>
        <v>0</v>
      </c>
      <c r="AG141" s="10">
        <f t="shared" si="307"/>
        <v>0</v>
      </c>
      <c r="AH141" s="10">
        <f t="shared" si="307"/>
        <v>0</v>
      </c>
      <c r="AI141" s="10">
        <f t="shared" ref="AI141:BN141" si="308">IF(AI140&lt;0.03,AI25,0)</f>
        <v>0</v>
      </c>
      <c r="AJ141" s="10">
        <f t="shared" si="308"/>
        <v>0</v>
      </c>
      <c r="AK141" s="10">
        <f t="shared" si="308"/>
        <v>0</v>
      </c>
      <c r="AL141" s="10">
        <f t="shared" si="308"/>
        <v>0</v>
      </c>
      <c r="AM141" s="10">
        <f t="shared" si="308"/>
        <v>0</v>
      </c>
      <c r="AN141" s="10">
        <f t="shared" si="308"/>
        <v>0</v>
      </c>
      <c r="AO141" s="10">
        <f t="shared" si="308"/>
        <v>0</v>
      </c>
      <c r="AP141" s="10">
        <f t="shared" si="308"/>
        <v>0</v>
      </c>
      <c r="AQ141" s="10">
        <f t="shared" si="308"/>
        <v>0</v>
      </c>
      <c r="AR141" s="10">
        <f t="shared" si="308"/>
        <v>0</v>
      </c>
      <c r="AS141" s="10">
        <f t="shared" si="308"/>
        <v>0</v>
      </c>
      <c r="AT141" s="10">
        <f t="shared" si="308"/>
        <v>0</v>
      </c>
      <c r="AU141" s="10">
        <f t="shared" si="308"/>
        <v>0</v>
      </c>
      <c r="AV141" s="10">
        <f t="shared" si="308"/>
        <v>0</v>
      </c>
      <c r="AW141" s="10">
        <f t="shared" si="308"/>
        <v>0</v>
      </c>
      <c r="AX141" s="10">
        <f t="shared" si="308"/>
        <v>0</v>
      </c>
      <c r="AY141" s="10">
        <f t="shared" si="308"/>
        <v>0</v>
      </c>
      <c r="AZ141" s="10">
        <f t="shared" si="308"/>
        <v>0</v>
      </c>
      <c r="BA141" s="10">
        <f t="shared" si="308"/>
        <v>0</v>
      </c>
      <c r="BB141" s="10">
        <f t="shared" si="308"/>
        <v>0</v>
      </c>
      <c r="BC141" s="10">
        <f t="shared" si="308"/>
        <v>0</v>
      </c>
      <c r="BD141" s="10">
        <f t="shared" si="308"/>
        <v>0</v>
      </c>
      <c r="BE141" s="10">
        <f t="shared" si="308"/>
        <v>0</v>
      </c>
      <c r="BF141" s="10">
        <f t="shared" si="308"/>
        <v>0</v>
      </c>
      <c r="BG141" s="10">
        <f t="shared" si="308"/>
        <v>0</v>
      </c>
      <c r="BH141" s="10">
        <f t="shared" si="308"/>
        <v>0</v>
      </c>
      <c r="BI141" s="10">
        <f t="shared" si="308"/>
        <v>0</v>
      </c>
      <c r="BJ141" s="10">
        <f t="shared" si="308"/>
        <v>0</v>
      </c>
      <c r="BK141" s="10">
        <f t="shared" si="308"/>
        <v>0</v>
      </c>
      <c r="BL141" s="10">
        <f t="shared" si="308"/>
        <v>0</v>
      </c>
      <c r="BM141" s="10">
        <f t="shared" si="308"/>
        <v>0</v>
      </c>
      <c r="BN141" s="10">
        <f t="shared" si="308"/>
        <v>0</v>
      </c>
      <c r="BO141" s="10">
        <f t="shared" ref="BO141:CG141" si="309">IF(BO140&lt;0.03,BO25,0)</f>
        <v>0</v>
      </c>
      <c r="BP141" s="10">
        <f t="shared" si="309"/>
        <v>0</v>
      </c>
      <c r="BQ141" s="10">
        <f t="shared" si="309"/>
        <v>0</v>
      </c>
      <c r="BR141" s="10">
        <f t="shared" si="309"/>
        <v>0</v>
      </c>
      <c r="BS141" s="10">
        <f t="shared" si="309"/>
        <v>0</v>
      </c>
      <c r="BT141" s="10">
        <f t="shared" si="309"/>
        <v>0</v>
      </c>
      <c r="BU141" s="10">
        <f t="shared" si="309"/>
        <v>0</v>
      </c>
      <c r="BV141" s="10">
        <f t="shared" si="309"/>
        <v>0</v>
      </c>
      <c r="BW141" s="10">
        <f t="shared" si="309"/>
        <v>0</v>
      </c>
      <c r="BX141" s="10">
        <f t="shared" si="309"/>
        <v>0</v>
      </c>
      <c r="BY141" s="10">
        <f t="shared" si="309"/>
        <v>0</v>
      </c>
      <c r="BZ141" s="10">
        <f t="shared" si="309"/>
        <v>0</v>
      </c>
      <c r="CA141" s="10">
        <f t="shared" si="309"/>
        <v>0</v>
      </c>
      <c r="CB141" s="10">
        <f t="shared" si="309"/>
        <v>0</v>
      </c>
      <c r="CC141" s="10">
        <f t="shared" si="309"/>
        <v>0</v>
      </c>
      <c r="CD141" s="10">
        <f t="shared" si="309"/>
        <v>0</v>
      </c>
      <c r="CE141" s="10">
        <f t="shared" si="309"/>
        <v>0</v>
      </c>
      <c r="CF141" s="10">
        <f t="shared" si="309"/>
        <v>0</v>
      </c>
      <c r="CG141" s="10">
        <f t="shared" si="309"/>
        <v>0</v>
      </c>
      <c r="CI141" s="10">
        <f>MAX(C141:CG141)</f>
        <v>0</v>
      </c>
      <c r="CJ141" s="10">
        <f>3.14/3</f>
        <v>1.0466666666666666</v>
      </c>
      <c r="CK141" s="10">
        <f>CJ141*2</f>
        <v>2.0933333333333333</v>
      </c>
    </row>
    <row r="142" spans="2:90" ht="16.5" customHeight="1">
      <c r="C142" s="10">
        <f t="shared" ref="C142:AH142" si="310">ABS(C50-C56)</f>
        <v>2.1509610835487494</v>
      </c>
      <c r="D142" s="10">
        <f t="shared" si="310"/>
        <v>2.1496725767839475</v>
      </c>
      <c r="E142" s="10">
        <f t="shared" si="310"/>
        <v>2.1476660934187595</v>
      </c>
      <c r="F142" s="10">
        <f t="shared" si="310"/>
        <v>2.1447170909635696</v>
      </c>
      <c r="G142" s="10">
        <f t="shared" si="310"/>
        <v>2.1408025521750718</v>
      </c>
      <c r="H142" s="10">
        <f t="shared" si="310"/>
        <v>2.1358915027442325</v>
      </c>
      <c r="I142" s="10">
        <f t="shared" si="310"/>
        <v>2.1299444004902495</v>
      </c>
      <c r="J142" s="10">
        <f t="shared" si="310"/>
        <v>2.1229123369779841</v>
      </c>
      <c r="K142" s="10">
        <f t="shared" si="310"/>
        <v>2.1147360216375235</v>
      </c>
      <c r="L142" s="10">
        <f t="shared" si="310"/>
        <v>2.1053445090108562</v>
      </c>
      <c r="M142" s="10">
        <f t="shared" si="310"/>
        <v>2.0946536178658768</v>
      </c>
      <c r="N142" s="10">
        <f t="shared" si="310"/>
        <v>2.0825639757367442</v>
      </c>
      <c r="O142" s="10">
        <f t="shared" si="310"/>
        <v>2.0689586028027769</v>
      </c>
      <c r="P142" s="10">
        <f t="shared" si="310"/>
        <v>2.0536999233076547</v>
      </c>
      <c r="Q142" s="10">
        <f t="shared" si="310"/>
        <v>2.0366260587416236</v>
      </c>
      <c r="R142" s="10">
        <f t="shared" si="310"/>
        <v>2.0175462116934506</v>
      </c>
      <c r="S142" s="10">
        <f t="shared" si="310"/>
        <v>1.9962348883263858</v>
      </c>
      <c r="T142" s="10">
        <f t="shared" si="310"/>
        <v>1.9724246247815855</v>
      </c>
      <c r="U142" s="10">
        <f t="shared" si="310"/>
        <v>1.9457967698784175</v>
      </c>
      <c r="V142" s="10">
        <f t="shared" si="310"/>
        <v>1.915969721077184</v>
      </c>
      <c r="W142" s="10">
        <f t="shared" si="310"/>
        <v>1.8824837955145672</v>
      </c>
      <c r="X142" s="10">
        <f t="shared" si="310"/>
        <v>1.8447816186753376</v>
      </c>
      <c r="Y142" s="10">
        <f t="shared" si="310"/>
        <v>1.802182496215823</v>
      </c>
      <c r="Z142" s="10">
        <f t="shared" si="310"/>
        <v>1.753848654582786</v>
      </c>
      <c r="AA142" s="10">
        <f t="shared" si="310"/>
        <v>1.6987404378458231</v>
      </c>
      <c r="AB142" s="10">
        <f t="shared" si="310"/>
        <v>1.6355564759860113</v>
      </c>
      <c r="AC142" s="10">
        <f t="shared" si="310"/>
        <v>1.5626534769607736</v>
      </c>
      <c r="AD142" s="10">
        <f t="shared" si="310"/>
        <v>1.47793878047823</v>
      </c>
      <c r="AE142" s="10">
        <f t="shared" si="310"/>
        <v>1.3787277682437176</v>
      </c>
      <c r="AF142" s="10">
        <f t="shared" si="310"/>
        <v>1.2615596410222318</v>
      </c>
      <c r="AG142" s="10">
        <f t="shared" si="310"/>
        <v>1.1219746229174796</v>
      </c>
      <c r="AH142" s="10">
        <f t="shared" si="310"/>
        <v>0.95428867395746941</v>
      </c>
      <c r="AI142" s="10">
        <f t="shared" ref="AI142:BN142" si="311">ABS(AI50-AI56)</f>
        <v>0.75149784794943497</v>
      </c>
      <c r="AJ142" s="10">
        <f t="shared" si="311"/>
        <v>0.5056982556717311</v>
      </c>
      <c r="AK142" s="10">
        <f t="shared" si="311"/>
        <v>0.21000819582391816</v>
      </c>
      <c r="AL142" s="10">
        <f t="shared" si="311"/>
        <v>0.13589560596541128</v>
      </c>
      <c r="AM142" s="10">
        <f t="shared" si="311"/>
        <v>0.51372863378193223</v>
      </c>
      <c r="AN142" s="10">
        <f t="shared" si="311"/>
        <v>0.87006864803816253</v>
      </c>
      <c r="AO142" s="10">
        <f t="shared" si="311"/>
        <v>1.1171855277142209</v>
      </c>
      <c r="AP142" s="10">
        <f t="shared" si="311"/>
        <v>1.1600641142476205</v>
      </c>
      <c r="AQ142" s="10">
        <f t="shared" si="311"/>
        <v>1.1647298313499617</v>
      </c>
      <c r="AR142" s="10">
        <f t="shared" si="311"/>
        <v>1.0145240236689572</v>
      </c>
      <c r="AS142" s="10">
        <f t="shared" si="311"/>
        <v>0.7869536248227984</v>
      </c>
      <c r="AT142" s="10">
        <f t="shared" si="311"/>
        <v>0.5446858368344687</v>
      </c>
      <c r="AU142" s="10">
        <f t="shared" si="311"/>
        <v>0.31955557162140957</v>
      </c>
      <c r="AV142" s="10">
        <f t="shared" si="311"/>
        <v>0.12223675244807497</v>
      </c>
      <c r="AW142" s="10">
        <f t="shared" si="311"/>
        <v>4.6647361349681393E-2</v>
      </c>
      <c r="AX142" s="10">
        <f t="shared" si="311"/>
        <v>0.19016137948914502</v>
      </c>
      <c r="AY142" s="10">
        <f t="shared" si="311"/>
        <v>0.31221962519419333</v>
      </c>
      <c r="AZ142" s="10">
        <f t="shared" si="311"/>
        <v>0.41651351518875557</v>
      </c>
      <c r="BA142" s="10">
        <f t="shared" si="311"/>
        <v>0.50619390998707359</v>
      </c>
      <c r="BB142" s="10">
        <f t="shared" si="311"/>
        <v>0.58384349611256403</v>
      </c>
      <c r="BC142" s="10">
        <f t="shared" si="311"/>
        <v>0.65154517411495405</v>
      </c>
      <c r="BD142" s="10">
        <f t="shared" si="311"/>
        <v>0.71097092771782711</v>
      </c>
      <c r="BE142" s="10">
        <f t="shared" si="311"/>
        <v>0.76346450187651804</v>
      </c>
      <c r="BF142" s="10">
        <f t="shared" si="311"/>
        <v>0.81011046633546258</v>
      </c>
      <c r="BG142" s="10">
        <f t="shared" si="311"/>
        <v>0.85178934155460562</v>
      </c>
      <c r="BH142" s="10">
        <f t="shared" si="311"/>
        <v>0.88922072154983889</v>
      </c>
      <c r="BI142" s="10">
        <f t="shared" si="311"/>
        <v>0.92299674157324918</v>
      </c>
      <c r="BJ142" s="10">
        <f t="shared" si="311"/>
        <v>0.95360801605804157</v>
      </c>
      <c r="BK142" s="10">
        <f t="shared" si="311"/>
        <v>0.98146378567621029</v>
      </c>
      <c r="BL142" s="10">
        <f t="shared" si="311"/>
        <v>1.0069076335391318</v>
      </c>
      <c r="BM142" s="10">
        <f t="shared" si="311"/>
        <v>1.0302298118486255</v>
      </c>
      <c r="BN142" s="10">
        <f t="shared" si="311"/>
        <v>1.0516769687267622</v>
      </c>
      <c r="BO142" s="10">
        <f t="shared" ref="BO142:CG142" si="312">ABS(BO50-BO56)</f>
        <v>1.0714598723388702</v>
      </c>
      <c r="BP142" s="10">
        <f t="shared" si="312"/>
        <v>1.0897595841154926</v>
      </c>
      <c r="BQ142" s="10">
        <f t="shared" si="312"/>
        <v>1.1067324239494423</v>
      </c>
      <c r="BR142" s="10">
        <f t="shared" si="312"/>
        <v>1.1225139887068347</v>
      </c>
      <c r="BS142" s="10">
        <f t="shared" si="312"/>
        <v>1.1372224242701683</v>
      </c>
      <c r="BT142" s="10">
        <f t="shared" si="312"/>
        <v>1.1509611053669317</v>
      </c>
      <c r="BU142" s="10">
        <f t="shared" si="312"/>
        <v>1.2249748551842163</v>
      </c>
      <c r="BV142" s="10">
        <f t="shared" si="312"/>
        <v>1.2758105965057549</v>
      </c>
      <c r="BW142" s="10">
        <f t="shared" si="312"/>
        <v>1.3128934936616428</v>
      </c>
      <c r="BX142" s="10">
        <f t="shared" si="312"/>
        <v>1.3412336441105412</v>
      </c>
      <c r="BY142" s="10">
        <f t="shared" si="312"/>
        <v>1.3637243952769069</v>
      </c>
      <c r="BZ142" s="10">
        <f t="shared" si="312"/>
        <v>1.3821448827723795</v>
      </c>
      <c r="CA142" s="10">
        <f t="shared" si="312"/>
        <v>1.3976440592867108</v>
      </c>
      <c r="CB142" s="10">
        <f t="shared" si="312"/>
        <v>1.4109935727485969</v>
      </c>
      <c r="CC142" s="10">
        <f t="shared" si="312"/>
        <v>1.422728484899767</v>
      </c>
      <c r="CD142" s="10">
        <f t="shared" si="312"/>
        <v>1.4332297239228557</v>
      </c>
      <c r="CE142" s="10">
        <f t="shared" si="312"/>
        <v>1.4427745202793989</v>
      </c>
      <c r="CF142" s="10">
        <f t="shared" si="312"/>
        <v>1.4515684024776667</v>
      </c>
      <c r="CG142" s="10">
        <f t="shared" si="312"/>
        <v>1.4597661391569914</v>
      </c>
    </row>
    <row r="143" spans="2:90" ht="16.5" customHeight="1">
      <c r="C143" s="10">
        <f t="shared" ref="C143:AH143" si="313">IF(C142&lt;0.03,C25,0)</f>
        <v>0</v>
      </c>
      <c r="D143" s="10">
        <f t="shared" si="313"/>
        <v>0</v>
      </c>
      <c r="E143" s="10">
        <f t="shared" si="313"/>
        <v>0</v>
      </c>
      <c r="F143" s="10">
        <f t="shared" si="313"/>
        <v>0</v>
      </c>
      <c r="G143" s="10">
        <f t="shared" si="313"/>
        <v>0</v>
      </c>
      <c r="H143" s="10">
        <f t="shared" si="313"/>
        <v>0</v>
      </c>
      <c r="I143" s="10">
        <f t="shared" si="313"/>
        <v>0</v>
      </c>
      <c r="J143" s="10">
        <f t="shared" si="313"/>
        <v>0</v>
      </c>
      <c r="K143" s="10">
        <f t="shared" si="313"/>
        <v>0</v>
      </c>
      <c r="L143" s="10">
        <f t="shared" si="313"/>
        <v>0</v>
      </c>
      <c r="M143" s="10">
        <f t="shared" si="313"/>
        <v>0</v>
      </c>
      <c r="N143" s="10">
        <f t="shared" si="313"/>
        <v>0</v>
      </c>
      <c r="O143" s="10">
        <f t="shared" si="313"/>
        <v>0</v>
      </c>
      <c r="P143" s="10">
        <f t="shared" si="313"/>
        <v>0</v>
      </c>
      <c r="Q143" s="10">
        <f t="shared" si="313"/>
        <v>0</v>
      </c>
      <c r="R143" s="10">
        <f t="shared" si="313"/>
        <v>0</v>
      </c>
      <c r="S143" s="10">
        <f t="shared" si="313"/>
        <v>0</v>
      </c>
      <c r="T143" s="10">
        <f t="shared" si="313"/>
        <v>0</v>
      </c>
      <c r="U143" s="10">
        <f t="shared" si="313"/>
        <v>0</v>
      </c>
      <c r="V143" s="10">
        <f t="shared" si="313"/>
        <v>0</v>
      </c>
      <c r="W143" s="10">
        <f t="shared" si="313"/>
        <v>0</v>
      </c>
      <c r="X143" s="10">
        <f t="shared" si="313"/>
        <v>0</v>
      </c>
      <c r="Y143" s="10">
        <f t="shared" si="313"/>
        <v>0</v>
      </c>
      <c r="Z143" s="10">
        <f t="shared" si="313"/>
        <v>0</v>
      </c>
      <c r="AA143" s="10">
        <f t="shared" si="313"/>
        <v>0</v>
      </c>
      <c r="AB143" s="10">
        <f t="shared" si="313"/>
        <v>0</v>
      </c>
      <c r="AC143" s="10">
        <f t="shared" si="313"/>
        <v>0</v>
      </c>
      <c r="AD143" s="10">
        <f t="shared" si="313"/>
        <v>0</v>
      </c>
      <c r="AE143" s="10">
        <f t="shared" si="313"/>
        <v>0</v>
      </c>
      <c r="AF143" s="10">
        <f t="shared" si="313"/>
        <v>0</v>
      </c>
      <c r="AG143" s="10">
        <f t="shared" si="313"/>
        <v>0</v>
      </c>
      <c r="AH143" s="10">
        <f t="shared" si="313"/>
        <v>0</v>
      </c>
      <c r="AI143" s="10">
        <f t="shared" ref="AI143:BN143" si="314">IF(AI142&lt;0.03,AI25,0)</f>
        <v>0</v>
      </c>
      <c r="AJ143" s="10">
        <f t="shared" si="314"/>
        <v>0</v>
      </c>
      <c r="AK143" s="10">
        <f t="shared" si="314"/>
        <v>0</v>
      </c>
      <c r="AL143" s="10">
        <f t="shared" si="314"/>
        <v>0</v>
      </c>
      <c r="AM143" s="10">
        <f t="shared" si="314"/>
        <v>0</v>
      </c>
      <c r="AN143" s="10">
        <f t="shared" si="314"/>
        <v>0</v>
      </c>
      <c r="AO143" s="10">
        <f t="shared" si="314"/>
        <v>0</v>
      </c>
      <c r="AP143" s="10">
        <f t="shared" si="314"/>
        <v>0</v>
      </c>
      <c r="AQ143" s="10">
        <f t="shared" si="314"/>
        <v>0</v>
      </c>
      <c r="AR143" s="10">
        <f t="shared" si="314"/>
        <v>0</v>
      </c>
      <c r="AS143" s="10">
        <f t="shared" si="314"/>
        <v>0</v>
      </c>
      <c r="AT143" s="10">
        <f t="shared" si="314"/>
        <v>0</v>
      </c>
      <c r="AU143" s="10">
        <f t="shared" si="314"/>
        <v>0</v>
      </c>
      <c r="AV143" s="10">
        <f t="shared" si="314"/>
        <v>0</v>
      </c>
      <c r="AW143" s="10">
        <f t="shared" si="314"/>
        <v>0</v>
      </c>
      <c r="AX143" s="10">
        <f t="shared" si="314"/>
        <v>0</v>
      </c>
      <c r="AY143" s="10">
        <f t="shared" si="314"/>
        <v>0</v>
      </c>
      <c r="AZ143" s="10">
        <f t="shared" si="314"/>
        <v>0</v>
      </c>
      <c r="BA143" s="10">
        <f t="shared" si="314"/>
        <v>0</v>
      </c>
      <c r="BB143" s="10">
        <f t="shared" si="314"/>
        <v>0</v>
      </c>
      <c r="BC143" s="10">
        <f t="shared" si="314"/>
        <v>0</v>
      </c>
      <c r="BD143" s="10">
        <f t="shared" si="314"/>
        <v>0</v>
      </c>
      <c r="BE143" s="10">
        <f t="shared" si="314"/>
        <v>0</v>
      </c>
      <c r="BF143" s="10">
        <f t="shared" si="314"/>
        <v>0</v>
      </c>
      <c r="BG143" s="10">
        <f t="shared" si="314"/>
        <v>0</v>
      </c>
      <c r="BH143" s="10">
        <f t="shared" si="314"/>
        <v>0</v>
      </c>
      <c r="BI143" s="10">
        <f t="shared" si="314"/>
        <v>0</v>
      </c>
      <c r="BJ143" s="10">
        <f t="shared" si="314"/>
        <v>0</v>
      </c>
      <c r="BK143" s="10">
        <f t="shared" si="314"/>
        <v>0</v>
      </c>
      <c r="BL143" s="10">
        <f t="shared" si="314"/>
        <v>0</v>
      </c>
      <c r="BM143" s="10">
        <f t="shared" si="314"/>
        <v>0</v>
      </c>
      <c r="BN143" s="10">
        <f t="shared" si="314"/>
        <v>0</v>
      </c>
      <c r="BO143" s="10">
        <f t="shared" ref="BO143:CG143" si="315">IF(BO142&lt;0.03,BO25,0)</f>
        <v>0</v>
      </c>
      <c r="BP143" s="10">
        <f t="shared" si="315"/>
        <v>0</v>
      </c>
      <c r="BQ143" s="10">
        <f t="shared" si="315"/>
        <v>0</v>
      </c>
      <c r="BR143" s="10">
        <f t="shared" si="315"/>
        <v>0</v>
      </c>
      <c r="BS143" s="10">
        <f t="shared" si="315"/>
        <v>0</v>
      </c>
      <c r="BT143" s="10">
        <f t="shared" si="315"/>
        <v>0</v>
      </c>
      <c r="BU143" s="10">
        <f t="shared" si="315"/>
        <v>0</v>
      </c>
      <c r="BV143" s="10">
        <f t="shared" si="315"/>
        <v>0</v>
      </c>
      <c r="BW143" s="10">
        <f t="shared" si="315"/>
        <v>0</v>
      </c>
      <c r="BX143" s="10">
        <f t="shared" si="315"/>
        <v>0</v>
      </c>
      <c r="BY143" s="10">
        <f t="shared" si="315"/>
        <v>0</v>
      </c>
      <c r="BZ143" s="10">
        <f t="shared" si="315"/>
        <v>0</v>
      </c>
      <c r="CA143" s="10">
        <f t="shared" si="315"/>
        <v>0</v>
      </c>
      <c r="CB143" s="10">
        <f t="shared" si="315"/>
        <v>0</v>
      </c>
      <c r="CC143" s="10">
        <f t="shared" si="315"/>
        <v>0</v>
      </c>
      <c r="CD143" s="10">
        <f t="shared" si="315"/>
        <v>0</v>
      </c>
      <c r="CE143" s="10">
        <f t="shared" si="315"/>
        <v>0</v>
      </c>
      <c r="CF143" s="10">
        <f t="shared" si="315"/>
        <v>0</v>
      </c>
      <c r="CG143" s="10">
        <f t="shared" si="315"/>
        <v>0</v>
      </c>
      <c r="CI143" s="10">
        <f>MAX(C143:CG143)</f>
        <v>0</v>
      </c>
      <c r="CJ143" s="10">
        <f>3.14/4</f>
        <v>0.78500000000000003</v>
      </c>
      <c r="CK143" s="10">
        <f>CJ143*3</f>
        <v>2.355</v>
      </c>
    </row>
    <row r="147" spans="54:88" ht="17.25" customHeight="1"/>
    <row r="148" spans="54:88" ht="17.25" customHeight="1">
      <c r="BB148" s="171" t="s">
        <v>692</v>
      </c>
      <c r="BC148" s="172" t="s">
        <v>866</v>
      </c>
      <c r="BD148" s="173" t="s">
        <v>134</v>
      </c>
      <c r="BE148" s="172" t="s">
        <v>875</v>
      </c>
      <c r="BF148" s="172" t="s">
        <v>876</v>
      </c>
    </row>
    <row r="149" spans="54:88" ht="16.5" customHeight="1">
      <c r="BB149" s="174">
        <f>C232</f>
        <v>0.7148728938283555</v>
      </c>
      <c r="BC149" s="175">
        <f>BB149*'Res. Tank Design'!$D$55</f>
        <v>108.48073501066828</v>
      </c>
      <c r="BD149" s="37" t="s">
        <v>187</v>
      </c>
      <c r="BE149" s="169" t="str">
        <f t="shared" ref="BE149:BF154" si="316">B33</f>
        <v>π/2</v>
      </c>
      <c r="BF149" s="169">
        <f t="shared" si="316"/>
        <v>1.5707963267948966</v>
      </c>
    </row>
    <row r="150" spans="54:88" ht="16.5" customHeight="1">
      <c r="BB150" s="174">
        <f>D232</f>
        <v>0.70765859816637688</v>
      </c>
      <c r="BC150" s="175">
        <f>BB150*'Res. Tank Design'!$D$55</f>
        <v>107.38597802274474</v>
      </c>
      <c r="BD150" s="37" t="s">
        <v>187</v>
      </c>
      <c r="BE150" s="169" t="str">
        <f t="shared" si="316"/>
        <v>5π/12</v>
      </c>
      <c r="BF150" s="169">
        <f t="shared" si="316"/>
        <v>1.3089969389957472</v>
      </c>
      <c r="CI150" s="10">
        <f>CJ143</f>
        <v>0.78500000000000003</v>
      </c>
      <c r="CJ150" s="10">
        <f>CI143</f>
        <v>0</v>
      </c>
    </row>
    <row r="151" spans="54:88" ht="16.5" customHeight="1">
      <c r="BB151" s="174">
        <f>E232</f>
        <v>0.68877191808592386</v>
      </c>
      <c r="BC151" s="175">
        <f>BB151*'Res. Tank Design'!$D$55</f>
        <v>104.5199567275929</v>
      </c>
      <c r="BD151" s="37" t="s">
        <v>187</v>
      </c>
      <c r="BE151" s="169" t="str">
        <f t="shared" si="316"/>
        <v>π/3</v>
      </c>
      <c r="BF151" s="176">
        <f t="shared" si="316"/>
        <v>1.0471975511965976</v>
      </c>
      <c r="CF151" s="10" t="s">
        <v>877</v>
      </c>
      <c r="CI151" s="10">
        <f>CJ141</f>
        <v>1.0466666666666666</v>
      </c>
      <c r="CJ151" s="10">
        <f>CI141</f>
        <v>0</v>
      </c>
    </row>
    <row r="152" spans="54:88" ht="16.5" customHeight="1">
      <c r="BB152" s="174">
        <f>F232</f>
        <v>0.66242382053345894</v>
      </c>
      <c r="BC152" s="175">
        <f>BB152*'Res. Tank Design'!$D$55</f>
        <v>100.52167813387345</v>
      </c>
      <c r="BD152" s="37" t="s">
        <v>187</v>
      </c>
      <c r="BE152" s="169" t="str">
        <f t="shared" si="316"/>
        <v>π/4</v>
      </c>
      <c r="BF152" s="176">
        <f t="shared" si="316"/>
        <v>0.78539816339744828</v>
      </c>
      <c r="CI152" s="10">
        <f>CJ139</f>
        <v>1.57</v>
      </c>
      <c r="CJ152" s="10">
        <f>CI139</f>
        <v>0.71014492753623282</v>
      </c>
    </row>
    <row r="153" spans="54:88" ht="16.5" customHeight="1">
      <c r="BB153" s="174">
        <f>G232</f>
        <v>0.63075211029370648</v>
      </c>
      <c r="BC153" s="175">
        <f>BB153*'Res. Tank Design'!$D$55</f>
        <v>95.715550449476737</v>
      </c>
      <c r="BD153" s="37" t="s">
        <v>187</v>
      </c>
      <c r="BE153" s="169" t="str">
        <f t="shared" si="316"/>
        <v>π/6</v>
      </c>
      <c r="BF153" s="176">
        <f t="shared" si="316"/>
        <v>0.52359877559829882</v>
      </c>
      <c r="CI153" s="10">
        <f>CK141</f>
        <v>2.0933333333333333</v>
      </c>
      <c r="CJ153" s="10">
        <f>CI141</f>
        <v>0</v>
      </c>
    </row>
    <row r="154" spans="54:88" ht="17.25" customHeight="1">
      <c r="BB154" s="177">
        <f>H232</f>
        <v>0.59558775773370431</v>
      </c>
      <c r="BC154" s="178">
        <f>BB154*'Res. Tank Design'!$D$55</f>
        <v>90.3794202858966</v>
      </c>
      <c r="BD154" s="48" t="s">
        <v>187</v>
      </c>
      <c r="BE154" s="170" t="str">
        <f t="shared" si="316"/>
        <v>π/12</v>
      </c>
      <c r="BF154" s="179">
        <f t="shared" si="316"/>
        <v>0.26179938779914941</v>
      </c>
      <c r="CI154" s="10">
        <f>CK143</f>
        <v>2.355</v>
      </c>
      <c r="CJ154" s="10">
        <f>CI143</f>
        <v>0</v>
      </c>
    </row>
    <row r="155" spans="54:88" ht="17.25" customHeight="1"/>
    <row r="156" spans="54:88" ht="17.25" customHeight="1">
      <c r="BB156" s="172" t="s">
        <v>570</v>
      </c>
    </row>
    <row r="157" spans="54:88" ht="17.25" customHeight="1">
      <c r="BB157" s="180" t="s">
        <v>875</v>
      </c>
      <c r="BC157" s="168" t="s">
        <v>876</v>
      </c>
      <c r="BD157" s="168" t="s">
        <v>878</v>
      </c>
      <c r="BE157" s="168" t="s">
        <v>789</v>
      </c>
      <c r="BF157" s="168" t="s">
        <v>879</v>
      </c>
    </row>
    <row r="158" spans="54:88" ht="16.5" customHeight="1">
      <c r="BB158" s="181" t="s">
        <v>880</v>
      </c>
      <c r="BC158" s="182">
        <f t="shared" ref="BC158:BC163" si="317">BF149+PI()/2</f>
        <v>3.1415926535897931</v>
      </c>
      <c r="BD158" s="183">
        <f>'Res. Tank Design'!D$56</f>
        <v>85.071895494482334</v>
      </c>
      <c r="BE158" s="168">
        <f>'Design Spec'!$D$104</f>
        <v>225</v>
      </c>
      <c r="BF158" s="183">
        <f>'Res. Tank Design'!D$55</f>
        <v>151.7482841316334</v>
      </c>
    </row>
    <row r="159" spans="54:88" ht="16.5" customHeight="1">
      <c r="BB159" s="184" t="s">
        <v>881</v>
      </c>
      <c r="BC159" s="185">
        <f t="shared" si="317"/>
        <v>2.879793265790644</v>
      </c>
      <c r="BD159" s="169">
        <f>BD169</f>
        <v>90.3794202858966</v>
      </c>
      <c r="BE159" s="169">
        <f>'Design Spec'!$D$104</f>
        <v>225</v>
      </c>
      <c r="BF159" s="186">
        <f>'Res. Tank Design'!D$55</f>
        <v>151.7482841316334</v>
      </c>
    </row>
    <row r="160" spans="54:88" ht="16.5" customHeight="1">
      <c r="BB160" s="184" t="s">
        <v>882</v>
      </c>
      <c r="BC160" s="185">
        <f t="shared" si="317"/>
        <v>2.617993877991494</v>
      </c>
      <c r="BD160" s="169">
        <f>BD168</f>
        <v>95.715550449476737</v>
      </c>
      <c r="BE160" s="169">
        <f>'Design Spec'!$D$104</f>
        <v>225</v>
      </c>
      <c r="BF160" s="186">
        <f>'Res. Tank Design'!D$55</f>
        <v>151.7482841316334</v>
      </c>
    </row>
    <row r="161" spans="54:58" ht="16.5" customHeight="1">
      <c r="BB161" s="184" t="s">
        <v>883</v>
      </c>
      <c r="BC161" s="185">
        <f t="shared" si="317"/>
        <v>2.3561944901923448</v>
      </c>
      <c r="BD161" s="169">
        <f>BD167</f>
        <v>100.52167813387345</v>
      </c>
      <c r="BE161" s="169">
        <f>'Design Spec'!$D$104</f>
        <v>225</v>
      </c>
      <c r="BF161" s="186">
        <f>'Res. Tank Design'!D$55</f>
        <v>151.7482841316334</v>
      </c>
    </row>
    <row r="162" spans="54:58" ht="16.5" customHeight="1">
      <c r="BB162" s="184" t="s">
        <v>884</v>
      </c>
      <c r="BC162" s="185">
        <f t="shared" si="317"/>
        <v>2.0943951023931953</v>
      </c>
      <c r="BD162" s="169">
        <f>BD166</f>
        <v>104.5199567275929</v>
      </c>
      <c r="BE162" s="169">
        <f>'Design Spec'!$D$104</f>
        <v>225</v>
      </c>
      <c r="BF162" s="186">
        <f>'Res. Tank Design'!D$55</f>
        <v>151.7482841316334</v>
      </c>
    </row>
    <row r="163" spans="54:58" ht="16.5" customHeight="1">
      <c r="BB163" s="184" t="s">
        <v>885</v>
      </c>
      <c r="BC163" s="185">
        <f t="shared" si="317"/>
        <v>1.8325957145940459</v>
      </c>
      <c r="BD163" s="169">
        <f>BD165</f>
        <v>107.38597802274474</v>
      </c>
      <c r="BE163" s="169">
        <f>'Design Spec'!$D$104</f>
        <v>225</v>
      </c>
      <c r="BF163" s="186">
        <f>'Res. Tank Design'!D$55</f>
        <v>151.7482841316334</v>
      </c>
    </row>
    <row r="164" spans="54:58" ht="16.5" customHeight="1">
      <c r="BB164" s="184" t="s">
        <v>793</v>
      </c>
      <c r="BC164" s="185">
        <f t="shared" ref="BC164:BC169" si="318">BF149</f>
        <v>1.5707963267948966</v>
      </c>
      <c r="BD164" s="169">
        <f t="shared" ref="BD164:BD169" si="319">BC149</f>
        <v>108.48073501066828</v>
      </c>
      <c r="BE164" s="169">
        <f>'Design Spec'!$D$104</f>
        <v>225</v>
      </c>
      <c r="BF164" s="186">
        <f>'Res. Tank Design'!D$55</f>
        <v>151.7482841316334</v>
      </c>
    </row>
    <row r="165" spans="54:58" ht="16.5" customHeight="1">
      <c r="BB165" s="184" t="s">
        <v>794</v>
      </c>
      <c r="BC165" s="185">
        <f t="shared" si="318"/>
        <v>1.3089969389957472</v>
      </c>
      <c r="BD165" s="169">
        <f t="shared" si="319"/>
        <v>107.38597802274474</v>
      </c>
      <c r="BE165" s="169">
        <f>'Design Spec'!$D$104</f>
        <v>225</v>
      </c>
      <c r="BF165" s="186">
        <f>'Res. Tank Design'!D$55</f>
        <v>151.7482841316334</v>
      </c>
    </row>
    <row r="166" spans="54:58" ht="16.5" customHeight="1">
      <c r="BB166" s="184" t="s">
        <v>795</v>
      </c>
      <c r="BC166" s="185">
        <f t="shared" si="318"/>
        <v>1.0471975511965976</v>
      </c>
      <c r="BD166" s="169">
        <f t="shared" si="319"/>
        <v>104.5199567275929</v>
      </c>
      <c r="BE166" s="169">
        <f>'Design Spec'!$D$104</f>
        <v>225</v>
      </c>
      <c r="BF166" s="186">
        <f>'Res. Tank Design'!D$55</f>
        <v>151.7482841316334</v>
      </c>
    </row>
    <row r="167" spans="54:58" ht="16.5" customHeight="1">
      <c r="BB167" s="184" t="s">
        <v>796</v>
      </c>
      <c r="BC167" s="185">
        <f t="shared" si="318"/>
        <v>0.78539816339744828</v>
      </c>
      <c r="BD167" s="169">
        <f t="shared" si="319"/>
        <v>100.52167813387345</v>
      </c>
      <c r="BE167" s="169">
        <f>'Design Spec'!$D$104</f>
        <v>225</v>
      </c>
      <c r="BF167" s="186">
        <f>'Res. Tank Design'!D$55</f>
        <v>151.7482841316334</v>
      </c>
    </row>
    <row r="168" spans="54:58" ht="16.5" customHeight="1">
      <c r="BB168" s="184" t="s">
        <v>797</v>
      </c>
      <c r="BC168" s="185">
        <f t="shared" si="318"/>
        <v>0.52359877559829882</v>
      </c>
      <c r="BD168" s="169">
        <f t="shared" si="319"/>
        <v>95.715550449476737</v>
      </c>
      <c r="BE168" s="169">
        <f>'Design Spec'!$D$104</f>
        <v>225</v>
      </c>
      <c r="BF168" s="186">
        <f>'Res. Tank Design'!D$55</f>
        <v>151.7482841316334</v>
      </c>
    </row>
    <row r="169" spans="54:58" ht="16.5" customHeight="1">
      <c r="BB169" s="184" t="s">
        <v>798</v>
      </c>
      <c r="BC169" s="185">
        <f t="shared" si="318"/>
        <v>0.26179938779914941</v>
      </c>
      <c r="BD169" s="169">
        <f t="shared" si="319"/>
        <v>90.3794202858966</v>
      </c>
      <c r="BE169" s="169">
        <f>'Design Spec'!$D$104</f>
        <v>225</v>
      </c>
      <c r="BF169" s="186">
        <f>'Res. Tank Design'!D$55</f>
        <v>151.7482841316334</v>
      </c>
    </row>
    <row r="170" spans="54:58" ht="17.25" customHeight="1">
      <c r="BB170" s="187">
        <v>0</v>
      </c>
      <c r="BC170" s="188">
        <v>0</v>
      </c>
      <c r="BD170" s="189">
        <f>'Res. Tank Design'!D$56</f>
        <v>85.071895494482334</v>
      </c>
      <c r="BE170" s="170">
        <f>'Design Spec'!$D$104</f>
        <v>225</v>
      </c>
      <c r="BF170" s="189">
        <f>'Res. Tank Design'!D$55</f>
        <v>151.7482841316334</v>
      </c>
    </row>
    <row r="171" spans="54:58" ht="17.25" customHeight="1"/>
    <row r="172" spans="54:58" ht="17.25" customHeight="1">
      <c r="BB172" s="171" t="s">
        <v>692</v>
      </c>
      <c r="BC172" s="172" t="s">
        <v>866</v>
      </c>
      <c r="BD172" s="173" t="s">
        <v>134</v>
      </c>
      <c r="BE172" s="172" t="s">
        <v>875</v>
      </c>
      <c r="BF172" s="172" t="s">
        <v>876</v>
      </c>
    </row>
    <row r="173" spans="54:58" ht="16.5" customHeight="1">
      <c r="BB173" s="190">
        <f>O232</f>
        <v>0.86142490228581803</v>
      </c>
      <c r="BC173" s="191">
        <f>BB173*'Res. Tank Design'!$D$55</f>
        <v>130.71975083013285</v>
      </c>
      <c r="BD173" s="37" t="s">
        <v>187</v>
      </c>
      <c r="BE173" s="169" t="str">
        <f t="shared" ref="BE173:BF178" si="320">B33</f>
        <v>π/2</v>
      </c>
      <c r="BF173" s="169">
        <f t="shared" si="320"/>
        <v>1.5707963267948966</v>
      </c>
    </row>
    <row r="174" spans="54:58" ht="16.5" customHeight="1">
      <c r="BB174" s="190">
        <f>P232</f>
        <v>0.8397513941421656</v>
      </c>
      <c r="BC174" s="175">
        <f>BB174*'Res. Tank Design'!$D$55</f>
        <v>127.43083315822061</v>
      </c>
      <c r="BD174" s="37" t="s">
        <v>187</v>
      </c>
      <c r="BE174" s="169" t="str">
        <f t="shared" si="320"/>
        <v>5π/12</v>
      </c>
      <c r="BF174" s="169">
        <f t="shared" si="320"/>
        <v>1.3089969389957472</v>
      </c>
    </row>
    <row r="175" spans="54:58" ht="16.5" customHeight="1">
      <c r="BB175" s="190">
        <f>Q232</f>
        <v>0.78613059881373781</v>
      </c>
      <c r="BC175" s="175">
        <f>BB175*'Res. Tank Design'!$D$55</f>
        <v>119.29396947335819</v>
      </c>
      <c r="BD175" s="37" t="s">
        <v>187</v>
      </c>
      <c r="BE175" s="169" t="str">
        <f t="shared" si="320"/>
        <v>π/3</v>
      </c>
      <c r="BF175" s="176">
        <f t="shared" si="320"/>
        <v>1.0471975511965976</v>
      </c>
    </row>
    <row r="176" spans="54:58" ht="16.5" customHeight="1">
      <c r="BB176" s="190">
        <f>R232</f>
        <v>0.72267510506758359</v>
      </c>
      <c r="BC176" s="175">
        <f>BB176*'Res. Tank Design'!$D$55</f>
        <v>109.6647071786537</v>
      </c>
      <c r="BD176" s="37" t="s">
        <v>187</v>
      </c>
      <c r="BE176" s="169" t="str">
        <f t="shared" si="320"/>
        <v>π/4</v>
      </c>
      <c r="BF176" s="176">
        <f t="shared" si="320"/>
        <v>0.78539816339744828</v>
      </c>
    </row>
    <row r="177" spans="54:58" ht="16.5" customHeight="1">
      <c r="BB177" s="190">
        <f>S232</f>
        <v>0.66235058762612042</v>
      </c>
      <c r="BC177" s="175">
        <f>BB177*'Res. Tank Design'!$D$55</f>
        <v>100.51056516584286</v>
      </c>
      <c r="BD177" s="37" t="s">
        <v>187</v>
      </c>
      <c r="BE177" s="169" t="str">
        <f t="shared" si="320"/>
        <v>π/6</v>
      </c>
      <c r="BF177" s="176">
        <f t="shared" si="320"/>
        <v>0.52359877559829882</v>
      </c>
    </row>
    <row r="178" spans="54:58" ht="17.25" customHeight="1">
      <c r="BB178" s="192">
        <f>T232</f>
        <v>0.60794921976928895</v>
      </c>
      <c r="BC178" s="178">
        <f>BB178*'Res. Tank Design'!$D$55</f>
        <v>92.255250939154891</v>
      </c>
      <c r="BD178" s="48" t="s">
        <v>187</v>
      </c>
      <c r="BE178" s="169" t="str">
        <f t="shared" si="320"/>
        <v>π/12</v>
      </c>
      <c r="BF178" s="176">
        <f t="shared" si="320"/>
        <v>0.26179938779914941</v>
      </c>
    </row>
    <row r="179" spans="54:58" ht="17.25" customHeight="1"/>
    <row r="180" spans="54:58" ht="17.25" customHeight="1">
      <c r="BB180" s="172" t="s">
        <v>886</v>
      </c>
    </row>
    <row r="181" spans="54:58" ht="17.25" customHeight="1">
      <c r="BB181" s="180" t="s">
        <v>875</v>
      </c>
      <c r="BC181" s="168" t="s">
        <v>876</v>
      </c>
      <c r="BD181" s="168" t="s">
        <v>878</v>
      </c>
      <c r="BE181" s="168" t="s">
        <v>789</v>
      </c>
      <c r="BF181" s="168" t="s">
        <v>879</v>
      </c>
    </row>
    <row r="182" spans="54:58" ht="16.5" customHeight="1">
      <c r="BB182" s="181" t="s">
        <v>880</v>
      </c>
      <c r="BC182" s="182">
        <f t="shared" ref="BC182:BC187" si="321">BF173+PI()/2</f>
        <v>3.1415926535897931</v>
      </c>
      <c r="BD182" s="183">
        <f>'Res. Tank Design'!D$56</f>
        <v>85.071895494482334</v>
      </c>
      <c r="BE182" s="168">
        <f>'Design Spec'!$D$104</f>
        <v>225</v>
      </c>
      <c r="BF182" s="183">
        <f>'Res. Tank Design'!D$55</f>
        <v>151.7482841316334</v>
      </c>
    </row>
    <row r="183" spans="54:58" ht="16.5" customHeight="1">
      <c r="BB183" s="184" t="s">
        <v>881</v>
      </c>
      <c r="BC183" s="185">
        <f t="shared" si="321"/>
        <v>2.879793265790644</v>
      </c>
      <c r="BD183" s="169">
        <f>BD193</f>
        <v>92.255250939154891</v>
      </c>
      <c r="BE183" s="169">
        <f>'Design Spec'!$D$104</f>
        <v>225</v>
      </c>
      <c r="BF183" s="186">
        <f>'Res. Tank Design'!D$55</f>
        <v>151.7482841316334</v>
      </c>
    </row>
    <row r="184" spans="54:58" ht="16.5" customHeight="1">
      <c r="BB184" s="184" t="s">
        <v>882</v>
      </c>
      <c r="BC184" s="185">
        <f t="shared" si="321"/>
        <v>2.617993877991494</v>
      </c>
      <c r="BD184" s="169">
        <f>BD192</f>
        <v>100.51056516584286</v>
      </c>
      <c r="BE184" s="169">
        <f>'Design Spec'!$D$104</f>
        <v>225</v>
      </c>
      <c r="BF184" s="186">
        <f>'Res. Tank Design'!D$55</f>
        <v>151.7482841316334</v>
      </c>
    </row>
    <row r="185" spans="54:58" ht="16.5" customHeight="1">
      <c r="BB185" s="184" t="s">
        <v>883</v>
      </c>
      <c r="BC185" s="185">
        <f t="shared" si="321"/>
        <v>2.3561944901923448</v>
      </c>
      <c r="BD185" s="169">
        <f>BD191</f>
        <v>109.6647071786537</v>
      </c>
      <c r="BE185" s="169">
        <f>'Design Spec'!$D$104</f>
        <v>225</v>
      </c>
      <c r="BF185" s="186">
        <f>'Res. Tank Design'!D$55</f>
        <v>151.7482841316334</v>
      </c>
    </row>
    <row r="186" spans="54:58" ht="16.5" customHeight="1">
      <c r="BB186" s="184" t="s">
        <v>884</v>
      </c>
      <c r="BC186" s="185">
        <f t="shared" si="321"/>
        <v>2.0943951023931953</v>
      </c>
      <c r="BD186" s="169">
        <f>BD190</f>
        <v>119.29396947335819</v>
      </c>
      <c r="BE186" s="169">
        <f>'Design Spec'!$D$104</f>
        <v>225</v>
      </c>
      <c r="BF186" s="186">
        <f>'Res. Tank Design'!D$55</f>
        <v>151.7482841316334</v>
      </c>
    </row>
    <row r="187" spans="54:58" ht="16.5" customHeight="1">
      <c r="BB187" s="184" t="s">
        <v>885</v>
      </c>
      <c r="BC187" s="185">
        <f t="shared" si="321"/>
        <v>1.8325957145940459</v>
      </c>
      <c r="BD187" s="169">
        <f>BD189</f>
        <v>127.43083315822061</v>
      </c>
      <c r="BE187" s="169">
        <f>'Design Spec'!$D$104</f>
        <v>225</v>
      </c>
      <c r="BF187" s="186">
        <f>'Res. Tank Design'!D$55</f>
        <v>151.7482841316334</v>
      </c>
    </row>
    <row r="188" spans="54:58" ht="16.5" customHeight="1">
      <c r="BB188" s="184" t="s">
        <v>793</v>
      </c>
      <c r="BC188" s="185">
        <f t="shared" ref="BC188:BC193" si="322">BF173</f>
        <v>1.5707963267948966</v>
      </c>
      <c r="BD188" s="169">
        <f t="shared" ref="BD188:BD193" si="323">BC173</f>
        <v>130.71975083013285</v>
      </c>
      <c r="BE188" s="169">
        <f>'Design Spec'!$D$104</f>
        <v>225</v>
      </c>
      <c r="BF188" s="186">
        <f>'Res. Tank Design'!D$55</f>
        <v>151.7482841316334</v>
      </c>
    </row>
    <row r="189" spans="54:58" ht="16.5" customHeight="1">
      <c r="BB189" s="184" t="s">
        <v>794</v>
      </c>
      <c r="BC189" s="185">
        <f t="shared" si="322"/>
        <v>1.3089969389957472</v>
      </c>
      <c r="BD189" s="169">
        <f t="shared" si="323"/>
        <v>127.43083315822061</v>
      </c>
      <c r="BE189" s="169">
        <f>'Design Spec'!$D$104</f>
        <v>225</v>
      </c>
      <c r="BF189" s="186">
        <f>'Res. Tank Design'!D$55</f>
        <v>151.7482841316334</v>
      </c>
    </row>
    <row r="190" spans="54:58" ht="16.5" customHeight="1">
      <c r="BB190" s="184" t="s">
        <v>795</v>
      </c>
      <c r="BC190" s="185">
        <f t="shared" si="322"/>
        <v>1.0471975511965976</v>
      </c>
      <c r="BD190" s="169">
        <f t="shared" si="323"/>
        <v>119.29396947335819</v>
      </c>
      <c r="BE190" s="169">
        <f>'Design Spec'!$D$104</f>
        <v>225</v>
      </c>
      <c r="BF190" s="186">
        <f>'Res. Tank Design'!D$55</f>
        <v>151.7482841316334</v>
      </c>
    </row>
    <row r="191" spans="54:58" ht="16.5" customHeight="1">
      <c r="BB191" s="184" t="s">
        <v>796</v>
      </c>
      <c r="BC191" s="185">
        <f t="shared" si="322"/>
        <v>0.78539816339744828</v>
      </c>
      <c r="BD191" s="169">
        <f t="shared" si="323"/>
        <v>109.6647071786537</v>
      </c>
      <c r="BE191" s="169">
        <f>'Design Spec'!$D$104</f>
        <v>225</v>
      </c>
      <c r="BF191" s="186">
        <f>'Res. Tank Design'!D$55</f>
        <v>151.7482841316334</v>
      </c>
    </row>
    <row r="192" spans="54:58" ht="16.5" customHeight="1">
      <c r="BB192" s="184" t="s">
        <v>797</v>
      </c>
      <c r="BC192" s="185">
        <f t="shared" si="322"/>
        <v>0.52359877559829882</v>
      </c>
      <c r="BD192" s="169">
        <f t="shared" si="323"/>
        <v>100.51056516584286</v>
      </c>
      <c r="BE192" s="169">
        <f>'Design Spec'!$D$104</f>
        <v>225</v>
      </c>
      <c r="BF192" s="186">
        <f>'Res. Tank Design'!D$55</f>
        <v>151.7482841316334</v>
      </c>
    </row>
    <row r="193" spans="54:59" ht="16.5" customHeight="1">
      <c r="BB193" s="184" t="s">
        <v>798</v>
      </c>
      <c r="BC193" s="185">
        <f t="shared" si="322"/>
        <v>0.26179938779914941</v>
      </c>
      <c r="BD193" s="169">
        <f t="shared" si="323"/>
        <v>92.255250939154891</v>
      </c>
      <c r="BE193" s="169">
        <f>'Design Spec'!$D$104</f>
        <v>225</v>
      </c>
      <c r="BF193" s="186">
        <f>'Res. Tank Design'!D$55</f>
        <v>151.7482841316334</v>
      </c>
    </row>
    <row r="194" spans="54:59" ht="17.25" customHeight="1">
      <c r="BB194" s="187">
        <v>0</v>
      </c>
      <c r="BC194" s="188">
        <v>0</v>
      </c>
      <c r="BD194" s="189">
        <f>'Res. Tank Design'!D$56</f>
        <v>85.071895494482334</v>
      </c>
      <c r="BE194" s="170">
        <f>'Design Spec'!$D$104</f>
        <v>225</v>
      </c>
      <c r="BF194" s="189">
        <f>'Res. Tank Design'!D$55</f>
        <v>151.7482841316334</v>
      </c>
    </row>
    <row r="195" spans="54:59" ht="17.25" customHeight="1"/>
    <row r="196" spans="54:59" ht="17.25" customHeight="1">
      <c r="BB196" s="171" t="s">
        <v>692</v>
      </c>
      <c r="BC196" s="172" t="s">
        <v>866</v>
      </c>
      <c r="BD196" s="173" t="s">
        <v>134</v>
      </c>
      <c r="BE196" s="172" t="s">
        <v>875</v>
      </c>
      <c r="BF196" s="172" t="s">
        <v>876</v>
      </c>
      <c r="BG196" s="21"/>
    </row>
    <row r="197" spans="54:59" ht="16.5" customHeight="1">
      <c r="BB197" s="190">
        <f>I232</f>
        <v>1.3805234880938089</v>
      </c>
      <c r="BC197" s="175">
        <f>BB197*'Res. Tank Design'!$D$55</f>
        <v>209.49207052165292</v>
      </c>
      <c r="BD197" s="37" t="s">
        <v>187</v>
      </c>
      <c r="BE197" s="169" t="str">
        <f t="shared" ref="BE197:BF202" si="324">B33</f>
        <v>π/2</v>
      </c>
      <c r="BF197" s="168">
        <f t="shared" si="324"/>
        <v>1.5707963267948966</v>
      </c>
    </row>
    <row r="198" spans="54:59" ht="16.5" customHeight="1">
      <c r="BB198" s="190">
        <f>J232</f>
        <v>1.3100911672345512</v>
      </c>
      <c r="BC198" s="175">
        <f>BB198*'Res. Tank Design'!$D$55</f>
        <v>198.80408668385192</v>
      </c>
      <c r="BD198" s="37" t="s">
        <v>187</v>
      </c>
      <c r="BE198" s="169" t="str">
        <f t="shared" si="324"/>
        <v>5π/12</v>
      </c>
      <c r="BF198" s="169">
        <f t="shared" si="324"/>
        <v>1.3089969389957472</v>
      </c>
    </row>
    <row r="199" spans="54:59" ht="16.5" customHeight="1">
      <c r="BB199" s="190">
        <f>K232</f>
        <v>1.1143960341546595</v>
      </c>
      <c r="BC199" s="175">
        <f>BB199*'Res. Tank Design'!$D$55</f>
        <v>169.10768602606672</v>
      </c>
      <c r="BD199" s="37" t="s">
        <v>187</v>
      </c>
      <c r="BE199" s="169" t="str">
        <f t="shared" si="324"/>
        <v>π/3</v>
      </c>
      <c r="BF199" s="176">
        <f t="shared" si="324"/>
        <v>1.0471975511965976</v>
      </c>
    </row>
    <row r="200" spans="54:59" ht="16.5" customHeight="1">
      <c r="BB200" s="190">
        <f>L232</f>
        <v>0.89821744467616171</v>
      </c>
      <c r="BC200" s="175">
        <f>BB200*'Res. Tank Design'!$D$55</f>
        <v>136.30295600670789</v>
      </c>
      <c r="BD200" s="37" t="s">
        <v>187</v>
      </c>
      <c r="BE200" s="169" t="str">
        <f t="shared" si="324"/>
        <v>π/4</v>
      </c>
      <c r="BF200" s="176">
        <f t="shared" si="324"/>
        <v>0.78539816339744828</v>
      </c>
    </row>
    <row r="201" spans="54:59" ht="16.5" customHeight="1">
      <c r="BB201" s="190">
        <f>M232</f>
        <v>0.74210271266155814</v>
      </c>
      <c r="BC201" s="175">
        <f>BB201*'Res. Tank Design'!$D$55</f>
        <v>112.61281329582202</v>
      </c>
      <c r="BD201" s="37" t="s">
        <v>187</v>
      </c>
      <c r="BE201" s="169" t="str">
        <f t="shared" si="324"/>
        <v>π/6</v>
      </c>
      <c r="BF201" s="176">
        <f t="shared" si="324"/>
        <v>0.52359877559829882</v>
      </c>
    </row>
    <row r="202" spans="54:59" ht="17.25" customHeight="1">
      <c r="BB202" s="192">
        <f>N232</f>
        <v>0.63591513989884041</v>
      </c>
      <c r="BC202" s="178">
        <f>BB202*'Res. Tank Design'!$D$55</f>
        <v>96.499031332976642</v>
      </c>
      <c r="BD202" s="48" t="s">
        <v>187</v>
      </c>
      <c r="BE202" s="170" t="str">
        <f t="shared" si="324"/>
        <v>π/12</v>
      </c>
      <c r="BF202" s="179">
        <f t="shared" si="324"/>
        <v>0.26179938779914941</v>
      </c>
    </row>
    <row r="203" spans="54:59" ht="17.25" customHeight="1"/>
    <row r="204" spans="54:59" ht="17.25" customHeight="1">
      <c r="BB204" s="172" t="s">
        <v>569</v>
      </c>
    </row>
    <row r="205" spans="54:59" ht="17.25" customHeight="1">
      <c r="BB205" s="180" t="s">
        <v>875</v>
      </c>
      <c r="BC205" s="168" t="s">
        <v>876</v>
      </c>
      <c r="BD205" s="168" t="s">
        <v>878</v>
      </c>
      <c r="BE205" s="168" t="s">
        <v>789</v>
      </c>
      <c r="BF205" s="168" t="s">
        <v>887</v>
      </c>
      <c r="BG205" s="168" t="s">
        <v>888</v>
      </c>
    </row>
    <row r="206" spans="54:59" ht="16.5" customHeight="1">
      <c r="BB206" s="181" t="s">
        <v>880</v>
      </c>
      <c r="BC206" s="182">
        <f t="shared" ref="BC206:BC211" si="325">BF197+PI()/2</f>
        <v>3.1415926535897931</v>
      </c>
      <c r="BD206" s="183">
        <f>'Res. Tank Design'!D$56</f>
        <v>85.071895494482334</v>
      </c>
      <c r="BE206" s="168">
        <f>'Design Spec'!$D$104</f>
        <v>225</v>
      </c>
      <c r="BF206" s="183">
        <f>'Res. Tank Design'!D$55</f>
        <v>151.7482841316334</v>
      </c>
      <c r="BG206" s="183">
        <f>'Res. Tank Design'!D$56</f>
        <v>85.071895494482334</v>
      </c>
    </row>
    <row r="207" spans="54:59" ht="16.5" customHeight="1">
      <c r="BB207" s="184" t="s">
        <v>881</v>
      </c>
      <c r="BC207" s="185">
        <f t="shared" si="325"/>
        <v>2.879793265790644</v>
      </c>
      <c r="BD207" s="169">
        <f>BD217</f>
        <v>96.499031332976642</v>
      </c>
      <c r="BE207" s="169">
        <f>'Design Spec'!$D$104</f>
        <v>225</v>
      </c>
      <c r="BF207" s="186">
        <f>'Res. Tank Design'!D$55</f>
        <v>151.7482841316334</v>
      </c>
      <c r="BG207" s="186">
        <f>'Res. Tank Design'!D$56</f>
        <v>85.071895494482334</v>
      </c>
    </row>
    <row r="208" spans="54:59" ht="16.5" customHeight="1">
      <c r="BB208" s="184" t="s">
        <v>882</v>
      </c>
      <c r="BC208" s="185">
        <f t="shared" si="325"/>
        <v>2.617993877991494</v>
      </c>
      <c r="BD208" s="169">
        <f>BD216</f>
        <v>112.61281329582202</v>
      </c>
      <c r="BE208" s="169">
        <f>'Design Spec'!$D$104</f>
        <v>225</v>
      </c>
      <c r="BF208" s="186">
        <f>'Res. Tank Design'!D$55</f>
        <v>151.7482841316334</v>
      </c>
      <c r="BG208" s="186">
        <f>'Res. Tank Design'!D$56</f>
        <v>85.071895494482334</v>
      </c>
    </row>
    <row r="209" spans="2:59" ht="16.5" customHeight="1">
      <c r="BB209" s="184" t="s">
        <v>883</v>
      </c>
      <c r="BC209" s="185">
        <f t="shared" si="325"/>
        <v>2.3561944901923448</v>
      </c>
      <c r="BD209" s="169">
        <f>BD215</f>
        <v>136.30295600670789</v>
      </c>
      <c r="BE209" s="169">
        <f>'Design Spec'!$D$104</f>
        <v>225</v>
      </c>
      <c r="BF209" s="186">
        <f>'Res. Tank Design'!D$55</f>
        <v>151.7482841316334</v>
      </c>
      <c r="BG209" s="186">
        <f>'Res. Tank Design'!D$56</f>
        <v>85.071895494482334</v>
      </c>
    </row>
    <row r="210" spans="2:59" ht="16.5" customHeight="1">
      <c r="BB210" s="184" t="s">
        <v>884</v>
      </c>
      <c r="BC210" s="185">
        <f t="shared" si="325"/>
        <v>2.0943951023931953</v>
      </c>
      <c r="BD210" s="169">
        <f>BD214</f>
        <v>169.10768602606672</v>
      </c>
      <c r="BE210" s="169">
        <f>'Design Spec'!$D$104</f>
        <v>225</v>
      </c>
      <c r="BF210" s="186">
        <f>'Res. Tank Design'!D$55</f>
        <v>151.7482841316334</v>
      </c>
      <c r="BG210" s="186">
        <f>'Res. Tank Design'!D$56</f>
        <v>85.071895494482334</v>
      </c>
    </row>
    <row r="211" spans="2:59" ht="16.5" customHeight="1">
      <c r="BB211" s="184" t="s">
        <v>885</v>
      </c>
      <c r="BC211" s="185">
        <f t="shared" si="325"/>
        <v>1.8325957145940459</v>
      </c>
      <c r="BD211" s="169">
        <f>BD213</f>
        <v>198.80408668385192</v>
      </c>
      <c r="BE211" s="169">
        <f>'Design Spec'!$D$104</f>
        <v>225</v>
      </c>
      <c r="BF211" s="186">
        <f>'Res. Tank Design'!D$55</f>
        <v>151.7482841316334</v>
      </c>
      <c r="BG211" s="186">
        <f>'Res. Tank Design'!D$56</f>
        <v>85.071895494482334</v>
      </c>
    </row>
    <row r="212" spans="2:59" ht="16.5" customHeight="1">
      <c r="BB212" s="184" t="s">
        <v>793</v>
      </c>
      <c r="BC212" s="185">
        <f t="shared" ref="BC212:BC218" si="326">BF197</f>
        <v>1.5707963267948966</v>
      </c>
      <c r="BD212" s="169">
        <f t="shared" ref="BD212:BD217" si="327">BC197</f>
        <v>209.49207052165292</v>
      </c>
      <c r="BE212" s="169">
        <f>'Design Spec'!$D$104</f>
        <v>225</v>
      </c>
      <c r="BF212" s="186">
        <f>'Res. Tank Design'!D$55</f>
        <v>151.7482841316334</v>
      </c>
      <c r="BG212" s="186">
        <f>'Res. Tank Design'!D$56</f>
        <v>85.071895494482334</v>
      </c>
    </row>
    <row r="213" spans="2:59" ht="16.5" customHeight="1">
      <c r="BB213" s="184" t="s">
        <v>794</v>
      </c>
      <c r="BC213" s="185">
        <f t="shared" si="326"/>
        <v>1.3089969389957472</v>
      </c>
      <c r="BD213" s="169">
        <f t="shared" si="327"/>
        <v>198.80408668385192</v>
      </c>
      <c r="BE213" s="169">
        <f>'Design Spec'!$D$104</f>
        <v>225</v>
      </c>
      <c r="BF213" s="186">
        <f>'Res. Tank Design'!D$55</f>
        <v>151.7482841316334</v>
      </c>
      <c r="BG213" s="186">
        <f>'Res. Tank Design'!D$56</f>
        <v>85.071895494482334</v>
      </c>
    </row>
    <row r="214" spans="2:59" ht="16.5" customHeight="1">
      <c r="BB214" s="184" t="s">
        <v>795</v>
      </c>
      <c r="BC214" s="185">
        <f t="shared" si="326"/>
        <v>1.0471975511965976</v>
      </c>
      <c r="BD214" s="169">
        <f t="shared" si="327"/>
        <v>169.10768602606672</v>
      </c>
      <c r="BE214" s="169">
        <f>'Design Spec'!$D$104</f>
        <v>225</v>
      </c>
      <c r="BF214" s="186">
        <f>'Res. Tank Design'!D$55</f>
        <v>151.7482841316334</v>
      </c>
      <c r="BG214" s="186">
        <f>'Res. Tank Design'!D$56</f>
        <v>85.071895494482334</v>
      </c>
    </row>
    <row r="215" spans="2:59" ht="16.5" customHeight="1">
      <c r="BB215" s="184" t="s">
        <v>796</v>
      </c>
      <c r="BC215" s="185">
        <f t="shared" si="326"/>
        <v>0.78539816339744828</v>
      </c>
      <c r="BD215" s="169">
        <f t="shared" si="327"/>
        <v>136.30295600670789</v>
      </c>
      <c r="BE215" s="169">
        <f>'Design Spec'!$D$104</f>
        <v>225</v>
      </c>
      <c r="BF215" s="186">
        <f>'Res. Tank Design'!D$55</f>
        <v>151.7482841316334</v>
      </c>
      <c r="BG215" s="186">
        <f>'Res. Tank Design'!D$56</f>
        <v>85.071895494482334</v>
      </c>
    </row>
    <row r="216" spans="2:59" ht="16.5" customHeight="1">
      <c r="BB216" s="184" t="s">
        <v>797</v>
      </c>
      <c r="BC216" s="185">
        <f t="shared" si="326"/>
        <v>0.52359877559829882</v>
      </c>
      <c r="BD216" s="169">
        <f t="shared" si="327"/>
        <v>112.61281329582202</v>
      </c>
      <c r="BE216" s="169">
        <f>'Design Spec'!$D$104</f>
        <v>225</v>
      </c>
      <c r="BF216" s="186">
        <f>'Res. Tank Design'!D$55</f>
        <v>151.7482841316334</v>
      </c>
      <c r="BG216" s="186">
        <f>'Res. Tank Design'!D$56</f>
        <v>85.071895494482334</v>
      </c>
    </row>
    <row r="217" spans="2:59" ht="16.5" customHeight="1">
      <c r="BB217" s="184" t="s">
        <v>798</v>
      </c>
      <c r="BC217" s="185">
        <f t="shared" si="326"/>
        <v>0.26179938779914941</v>
      </c>
      <c r="BD217" s="169">
        <f t="shared" si="327"/>
        <v>96.499031332976642</v>
      </c>
      <c r="BE217" s="169">
        <f>'Design Spec'!$D$104</f>
        <v>225</v>
      </c>
      <c r="BF217" s="186">
        <f>'Res. Tank Design'!D$55</f>
        <v>151.7482841316334</v>
      </c>
      <c r="BG217" s="186">
        <f>'Res. Tank Design'!D$56</f>
        <v>85.071895494482334</v>
      </c>
    </row>
    <row r="218" spans="2:59" ht="17.25" customHeight="1">
      <c r="BB218" s="187">
        <v>0</v>
      </c>
      <c r="BC218" s="188">
        <f t="shared" si="326"/>
        <v>0</v>
      </c>
      <c r="BD218" s="189">
        <f>'Res. Tank Design'!D$56</f>
        <v>85.071895494482334</v>
      </c>
      <c r="BE218" s="170">
        <f>'Design Spec'!$D$104</f>
        <v>225</v>
      </c>
      <c r="BF218" s="189">
        <f>'Res. Tank Design'!D$55</f>
        <v>151.7482841316334</v>
      </c>
      <c r="BG218" s="189">
        <f>'Res. Tank Design'!D$56</f>
        <v>85.071895494482334</v>
      </c>
    </row>
    <row r="220" spans="2:59">
      <c r="B220" s="10" t="s">
        <v>1179</v>
      </c>
      <c r="C220" s="10" t="s">
        <v>1039</v>
      </c>
      <c r="D220" s="10" t="s">
        <v>1040</v>
      </c>
      <c r="E220" s="10" t="s">
        <v>1041</v>
      </c>
      <c r="F220" s="10" t="s">
        <v>1042</v>
      </c>
      <c r="G220" s="10" t="s">
        <v>1043</v>
      </c>
      <c r="H220" s="10" t="s">
        <v>1044</v>
      </c>
      <c r="I220" s="10" t="s">
        <v>1045</v>
      </c>
      <c r="J220" s="10" t="s">
        <v>1046</v>
      </c>
      <c r="K220" s="10" t="s">
        <v>1047</v>
      </c>
      <c r="L220" s="10" t="s">
        <v>1048</v>
      </c>
      <c r="M220" s="10" t="s">
        <v>1049</v>
      </c>
      <c r="N220" s="10" t="s">
        <v>1050</v>
      </c>
      <c r="O220" s="10" t="s">
        <v>1051</v>
      </c>
      <c r="P220" s="10" t="s">
        <v>1052</v>
      </c>
      <c r="Q220" s="10" t="s">
        <v>1053</v>
      </c>
      <c r="R220" s="10" t="s">
        <v>1054</v>
      </c>
      <c r="S220" s="10" t="s">
        <v>1055</v>
      </c>
      <c r="T220" s="10" t="s">
        <v>1056</v>
      </c>
    </row>
    <row r="221" spans="2:59">
      <c r="B221" s="10" t="s">
        <v>1057</v>
      </c>
      <c r="C221" s="10">
        <f>$C$53</f>
        <v>1.5209591836734695</v>
      </c>
      <c r="D221" s="10">
        <f>$C$54</f>
        <v>1.5746128142331075</v>
      </c>
      <c r="E221" s="10">
        <f>$C$55</f>
        <v>1.7562523882406222</v>
      </c>
      <c r="F221" s="10">
        <f>$C$56</f>
        <v>2.1509611053669317</v>
      </c>
      <c r="G221" s="10">
        <f>$C$57</f>
        <v>3.0419183673469394</v>
      </c>
      <c r="H221" s="10">
        <f>$C$58</f>
        <v>5.8765350249669712</v>
      </c>
      <c r="I221" s="10">
        <f>$C$67</f>
        <v>0.79284042553191492</v>
      </c>
      <c r="J221" s="10">
        <f>$C$68</f>
        <v>0.82080880741938578</v>
      </c>
      <c r="K221" s="10">
        <f>$C$69</f>
        <v>0.91549326621053717</v>
      </c>
      <c r="L221" s="10">
        <f>$C$70</f>
        <v>1.12124568258489</v>
      </c>
      <c r="M221" s="10">
        <f>$C$71</f>
        <v>1.5856808510638301</v>
      </c>
      <c r="N221" s="10">
        <f>$C$72</f>
        <v>3.0633001725891664</v>
      </c>
      <c r="O221" s="10">
        <f>$C$81</f>
        <v>1.1710788240331071</v>
      </c>
      <c r="P221" s="10">
        <f>$C$82</f>
        <v>1.2123900119041271</v>
      </c>
      <c r="Q221" s="10">
        <f>$C$83</f>
        <v>1.3522453485955697</v>
      </c>
      <c r="R221" s="10">
        <f>$C$84</f>
        <v>1.6561555555555556</v>
      </c>
      <c r="S221" s="10">
        <f>$C$85</f>
        <v>2.3421576480662147</v>
      </c>
      <c r="T221" s="10">
        <f>$C$86</f>
        <v>4.5247011230152383</v>
      </c>
    </row>
    <row r="222" spans="2:59">
      <c r="B222" s="10" t="s">
        <v>1058</v>
      </c>
      <c r="C222" s="10">
        <f>$C$41</f>
        <v>0.5001479368730567</v>
      </c>
      <c r="D222" s="10">
        <f>$C$42</f>
        <v>0.46664437792774976</v>
      </c>
      <c r="E222" s="10">
        <f>$C$43</f>
        <v>0.37511095265479244</v>
      </c>
      <c r="F222" s="10">
        <f>$C$44</f>
        <v>0.25007396843652824</v>
      </c>
      <c r="G222" s="10">
        <f>$C$45</f>
        <v>0.12503698421826412</v>
      </c>
      <c r="H222" s="10">
        <f>$C$46</f>
        <v>3.3503558945306912E-2</v>
      </c>
      <c r="I222" s="10">
        <f>$C$41</f>
        <v>0.5001479368730567</v>
      </c>
      <c r="J222" s="10">
        <f>$C$42</f>
        <v>0.46664437792774976</v>
      </c>
      <c r="K222" s="10">
        <f>$C$43</f>
        <v>0.37511095265479244</v>
      </c>
      <c r="L222" s="10">
        <f>$C$44</f>
        <v>0.25007396843652824</v>
      </c>
      <c r="M222" s="10">
        <f>$C$45</f>
        <v>0.12503698421826412</v>
      </c>
      <c r="N222" s="10">
        <f>$C$46</f>
        <v>3.3503558945306912E-2</v>
      </c>
      <c r="O222" s="10">
        <f>$C$41</f>
        <v>0.5001479368730567</v>
      </c>
      <c r="P222" s="10">
        <f>$C$42</f>
        <v>0.46664437792774976</v>
      </c>
      <c r="Q222" s="10">
        <f>$C$43</f>
        <v>0.37511095265479244</v>
      </c>
      <c r="R222" s="10">
        <f>$C$44</f>
        <v>0.25007396843652824</v>
      </c>
      <c r="S222" s="10">
        <f>$C$45</f>
        <v>0.12503698421826412</v>
      </c>
      <c r="T222" s="10">
        <f>$C$46</f>
        <v>3.3503558945306912E-2</v>
      </c>
    </row>
    <row r="223" spans="2:59">
      <c r="B223" s="10" t="s">
        <v>1059</v>
      </c>
      <c r="C223" s="10">
        <f t="shared" ref="C223:T223" si="328">(C222^2-2*$C$23*(1+$C$23))/$C$23^2</f>
        <v>-5.1728493864064129</v>
      </c>
      <c r="D223" s="10">
        <f t="shared" si="328"/>
        <v>-5.3270411747098505</v>
      </c>
      <c r="E223" s="10">
        <f t="shared" si="328"/>
        <v>-5.6938186889445159</v>
      </c>
      <c r="F223" s="10">
        <f t="shared" si="328"/>
        <v>-6.0659396193288755</v>
      </c>
      <c r="G223" s="10">
        <f t="shared" si="328"/>
        <v>-6.2892121775594916</v>
      </c>
      <c r="H223" s="10">
        <f t="shared" si="328"/>
        <v>-6.3582929474866701</v>
      </c>
      <c r="I223" s="10">
        <f t="shared" si="328"/>
        <v>-5.1728493864064129</v>
      </c>
      <c r="J223" s="10">
        <f t="shared" si="328"/>
        <v>-5.3270411747098505</v>
      </c>
      <c r="K223" s="10">
        <f t="shared" si="328"/>
        <v>-5.6938186889445159</v>
      </c>
      <c r="L223" s="10">
        <f t="shared" si="328"/>
        <v>-6.0659396193288755</v>
      </c>
      <c r="M223" s="10">
        <f t="shared" si="328"/>
        <v>-6.2892121775594916</v>
      </c>
      <c r="N223" s="10">
        <f t="shared" si="328"/>
        <v>-6.3582929474866701</v>
      </c>
      <c r="O223" s="10">
        <f t="shared" si="328"/>
        <v>-5.1728493864064129</v>
      </c>
      <c r="P223" s="10">
        <f t="shared" si="328"/>
        <v>-5.3270411747098505</v>
      </c>
      <c r="Q223" s="10">
        <f t="shared" si="328"/>
        <v>-5.6938186889445159</v>
      </c>
      <c r="R223" s="10">
        <f t="shared" si="328"/>
        <v>-6.0659396193288755</v>
      </c>
      <c r="S223" s="10">
        <f t="shared" si="328"/>
        <v>-6.2892121775594916</v>
      </c>
      <c r="T223" s="10">
        <f t="shared" si="328"/>
        <v>-6.3582929474866701</v>
      </c>
    </row>
    <row r="224" spans="2:59">
      <c r="B224" s="10" t="s">
        <v>1060</v>
      </c>
      <c r="C224" s="10">
        <f t="shared" ref="C224:T224" si="329">((1+$C$23)^2-2*C222^2-1/C221^2)/$C$23^2</f>
        <v>5.684598525861702</v>
      </c>
      <c r="D224" s="10">
        <f t="shared" si="329"/>
        <v>6.1308281935275328</v>
      </c>
      <c r="E224" s="10">
        <f t="shared" si="329"/>
        <v>7.2409857463946992</v>
      </c>
      <c r="F224" s="10">
        <f t="shared" si="329"/>
        <v>8.4996762226202058</v>
      </c>
      <c r="G224" s="10">
        <f t="shared" si="329"/>
        <v>9.4606699545382256</v>
      </c>
      <c r="H224" s="10">
        <f t="shared" si="329"/>
        <v>9.9754340187904162</v>
      </c>
      <c r="I224" s="10">
        <f t="shared" si="329"/>
        <v>0.16943510984431406</v>
      </c>
      <c r="J224" s="10">
        <f t="shared" si="329"/>
        <v>0.9851106733720284</v>
      </c>
      <c r="K224" s="10">
        <f t="shared" si="329"/>
        <v>3.1046131843816598</v>
      </c>
      <c r="L224" s="10">
        <f t="shared" si="329"/>
        <v>5.7420945146115114</v>
      </c>
      <c r="M224" s="10">
        <f t="shared" si="329"/>
        <v>8.0818791005338806</v>
      </c>
      <c r="N224" s="10">
        <f t="shared" si="329"/>
        <v>9.6059881229285349</v>
      </c>
      <c r="O224" s="10">
        <f t="shared" si="329"/>
        <v>4.271311117468124</v>
      </c>
      <c r="P224" s="10">
        <f t="shared" si="329"/>
        <v>4.8122130900719888</v>
      </c>
      <c r="Q224" s="10">
        <f t="shared" si="329"/>
        <v>6.181020190099515</v>
      </c>
      <c r="R224" s="10">
        <f t="shared" si="329"/>
        <v>7.7930325184234173</v>
      </c>
      <c r="S224" s="10">
        <f t="shared" si="329"/>
        <v>9.1073481024398326</v>
      </c>
      <c r="T224" s="10">
        <f t="shared" si="329"/>
        <v>9.8807617138523849</v>
      </c>
    </row>
    <row r="225" spans="2:20">
      <c r="B225" s="10" t="s">
        <v>1061</v>
      </c>
      <c r="C225" s="10">
        <f t="shared" ref="C225:T225" si="330">C222^2/$C$23^2</f>
        <v>1.1907869772299511</v>
      </c>
      <c r="D225" s="10">
        <f t="shared" si="330"/>
        <v>1.0365951889265133</v>
      </c>
      <c r="E225" s="10">
        <f t="shared" si="330"/>
        <v>0.66981767469184716</v>
      </c>
      <c r="F225" s="10">
        <f t="shared" si="330"/>
        <v>0.29769674430748749</v>
      </c>
      <c r="G225" s="10">
        <f t="shared" si="330"/>
        <v>7.4424186076871873E-2</v>
      </c>
      <c r="H225" s="10">
        <f t="shared" si="330"/>
        <v>5.3434161496938287E-3</v>
      </c>
      <c r="I225" s="10">
        <f t="shared" si="330"/>
        <v>1.1907869772299511</v>
      </c>
      <c r="J225" s="10">
        <f t="shared" si="330"/>
        <v>1.0365951889265133</v>
      </c>
      <c r="K225" s="10">
        <f t="shared" si="330"/>
        <v>0.66981767469184716</v>
      </c>
      <c r="L225" s="10">
        <f t="shared" si="330"/>
        <v>0.29769674430748749</v>
      </c>
      <c r="M225" s="10">
        <f t="shared" si="330"/>
        <v>7.4424186076871873E-2</v>
      </c>
      <c r="N225" s="10">
        <f t="shared" si="330"/>
        <v>5.3434161496938287E-3</v>
      </c>
      <c r="O225" s="10">
        <f t="shared" si="330"/>
        <v>1.1907869772299511</v>
      </c>
      <c r="P225" s="10">
        <f t="shared" si="330"/>
        <v>1.0365951889265133</v>
      </c>
      <c r="Q225" s="10">
        <f t="shared" si="330"/>
        <v>0.66981767469184716</v>
      </c>
      <c r="R225" s="10">
        <f t="shared" si="330"/>
        <v>0.29769674430748749</v>
      </c>
      <c r="S225" s="10">
        <f t="shared" si="330"/>
        <v>7.4424186076871873E-2</v>
      </c>
      <c r="T225" s="10">
        <f t="shared" si="330"/>
        <v>5.3434161496938287E-3</v>
      </c>
    </row>
    <row r="226" spans="2:20">
      <c r="B226" s="10" t="s">
        <v>1062</v>
      </c>
      <c r="C226" s="10">
        <f t="shared" ref="C226:T226" si="331">C224-C223^2/3</f>
        <v>-3.2348583989533655</v>
      </c>
      <c r="D226" s="10">
        <f t="shared" si="331"/>
        <v>-3.3282943654905015</v>
      </c>
      <c r="E226" s="10">
        <f t="shared" si="331"/>
        <v>-3.565538007796583</v>
      </c>
      <c r="F226" s="10">
        <f t="shared" si="331"/>
        <v>-3.7655315991610419</v>
      </c>
      <c r="G226" s="10">
        <f t="shared" si="331"/>
        <v>-3.7240599835826416</v>
      </c>
      <c r="H226" s="10">
        <f t="shared" si="331"/>
        <v>-3.5005290498958264</v>
      </c>
      <c r="I226" s="10">
        <f t="shared" si="331"/>
        <v>-8.7500218149707543</v>
      </c>
      <c r="J226" s="10">
        <f t="shared" si="331"/>
        <v>-8.4740118856460054</v>
      </c>
      <c r="K226" s="10">
        <f t="shared" si="331"/>
        <v>-7.7019105698096224</v>
      </c>
      <c r="L226" s="10">
        <f t="shared" si="331"/>
        <v>-6.5231133071697363</v>
      </c>
      <c r="M226" s="10">
        <f t="shared" si="331"/>
        <v>-5.1028508375869865</v>
      </c>
      <c r="N226" s="10">
        <f t="shared" si="331"/>
        <v>-3.8699749457577077</v>
      </c>
      <c r="O226" s="10">
        <f t="shared" si="331"/>
        <v>-4.6481458073469435</v>
      </c>
      <c r="P226" s="10">
        <f t="shared" si="331"/>
        <v>-4.6469094689460455</v>
      </c>
      <c r="Q226" s="10">
        <f t="shared" si="331"/>
        <v>-4.6255035640917672</v>
      </c>
      <c r="R226" s="10">
        <f t="shared" si="331"/>
        <v>-4.4721753033578304</v>
      </c>
      <c r="S226" s="10">
        <f t="shared" si="331"/>
        <v>-4.0773818356810345</v>
      </c>
      <c r="T226" s="10">
        <f t="shared" si="331"/>
        <v>-3.5952013548338577</v>
      </c>
    </row>
    <row r="227" spans="2:20">
      <c r="B227" s="10" t="s">
        <v>1063</v>
      </c>
      <c r="C227" s="10">
        <f t="shared" ref="C227:T227" si="332">2*C223^3/27-C223*C224/3+C225</f>
        <v>0.73953158036277578</v>
      </c>
      <c r="D227" s="10">
        <f t="shared" si="332"/>
        <v>0.72540096325404368</v>
      </c>
      <c r="E227" s="10">
        <f t="shared" si="332"/>
        <v>0.73935168350680747</v>
      </c>
      <c r="F227" s="10">
        <f t="shared" si="332"/>
        <v>0.95053542429503379</v>
      </c>
      <c r="G227" s="10">
        <f t="shared" si="332"/>
        <v>1.4807968403583305</v>
      </c>
      <c r="H227" s="10">
        <f t="shared" si="332"/>
        <v>2.1066715749212519</v>
      </c>
      <c r="I227" s="10">
        <f t="shared" si="332"/>
        <v>-8.7701716504627711</v>
      </c>
      <c r="J227" s="10">
        <f t="shared" si="332"/>
        <v>-8.4117487378440341</v>
      </c>
      <c r="K227" s="10">
        <f t="shared" si="332"/>
        <v>-7.1112334491689095</v>
      </c>
      <c r="L227" s="10">
        <f t="shared" si="332"/>
        <v>-4.625239287753808</v>
      </c>
      <c r="M227" s="10">
        <f t="shared" si="332"/>
        <v>-1.409705902745596</v>
      </c>
      <c r="N227" s="10">
        <f t="shared" si="332"/>
        <v>1.3236564968757578</v>
      </c>
      <c r="O227" s="10">
        <f t="shared" si="332"/>
        <v>-1.6973760540787677</v>
      </c>
      <c r="P227" s="10">
        <f t="shared" si="332"/>
        <v>-1.6160380199799467</v>
      </c>
      <c r="Q227" s="10">
        <f t="shared" si="332"/>
        <v>-1.2723988811835236</v>
      </c>
      <c r="R227" s="10">
        <f t="shared" si="332"/>
        <v>-0.47828392305050416</v>
      </c>
      <c r="S227" s="10">
        <f t="shared" si="332"/>
        <v>0.74009147541996623</v>
      </c>
      <c r="T227" s="10">
        <f t="shared" si="332"/>
        <v>1.9060201586513246</v>
      </c>
    </row>
    <row r="228" spans="2:20">
      <c r="B228" s="10" t="s">
        <v>1064</v>
      </c>
      <c r="C228" s="10">
        <f t="shared" ref="C228:T228" si="333">IF(C226&lt;0,2*SQRT(-C226/3),NA())</f>
        <v>2.0768111449859421</v>
      </c>
      <c r="D228" s="10">
        <f t="shared" si="333"/>
        <v>2.1065910425742351</v>
      </c>
      <c r="E228" s="10">
        <f t="shared" si="333"/>
        <v>2.1803785627872307</v>
      </c>
      <c r="F228" s="10">
        <f t="shared" si="333"/>
        <v>2.2406938208691942</v>
      </c>
      <c r="G228" s="10">
        <f t="shared" si="333"/>
        <v>2.2283207380095718</v>
      </c>
      <c r="H228" s="10">
        <f t="shared" si="333"/>
        <v>2.1604101616424063</v>
      </c>
      <c r="I228" s="10">
        <f t="shared" si="333"/>
        <v>3.4156545131635223</v>
      </c>
      <c r="J228" s="10">
        <f t="shared" si="333"/>
        <v>3.3613512928872331</v>
      </c>
      <c r="K228" s="10">
        <f t="shared" si="333"/>
        <v>3.2045614509757021</v>
      </c>
      <c r="L228" s="10">
        <f t="shared" si="333"/>
        <v>2.9491497774035906</v>
      </c>
      <c r="M228" s="10">
        <f t="shared" si="333"/>
        <v>2.6084096911303347</v>
      </c>
      <c r="N228" s="10">
        <f t="shared" si="333"/>
        <v>2.2715559852980975</v>
      </c>
      <c r="O228" s="10">
        <f t="shared" si="333"/>
        <v>2.4894834289726169</v>
      </c>
      <c r="P228" s="10">
        <f t="shared" si="333"/>
        <v>2.4891523239705644</v>
      </c>
      <c r="Q228" s="10">
        <f t="shared" si="333"/>
        <v>2.4834125886480662</v>
      </c>
      <c r="R228" s="10">
        <f t="shared" si="333"/>
        <v>2.4419050768768855</v>
      </c>
      <c r="S228" s="10">
        <f t="shared" si="333"/>
        <v>2.3316322853832205</v>
      </c>
      <c r="T228" s="10">
        <f t="shared" si="333"/>
        <v>2.1894295618825335</v>
      </c>
    </row>
    <row r="229" spans="2:20">
      <c r="B229" s="10" t="s">
        <v>1065</v>
      </c>
      <c r="C229" s="10">
        <f t="shared" ref="C229:T229" si="334">IF(ISNA(C228),NA(),3*C227/(C226*C228))</f>
        <v>-0.33023697591358775</v>
      </c>
      <c r="D229" s="10">
        <f t="shared" si="334"/>
        <v>-0.31038263781154463</v>
      </c>
      <c r="E229" s="10">
        <f t="shared" si="334"/>
        <v>-0.28530891821430543</v>
      </c>
      <c r="F229" s="10">
        <f t="shared" si="334"/>
        <v>-0.33797202080421018</v>
      </c>
      <c r="G229" s="10">
        <f t="shared" si="334"/>
        <v>-0.53533096408406089</v>
      </c>
      <c r="H229" s="10">
        <f t="shared" si="334"/>
        <v>-0.83569574838249117</v>
      </c>
      <c r="I229" s="10">
        <f t="shared" si="334"/>
        <v>0.88033156931232981</v>
      </c>
      <c r="J229" s="10">
        <f t="shared" si="334"/>
        <v>0.8859405394479859</v>
      </c>
      <c r="K229" s="10">
        <f t="shared" si="334"/>
        <v>0.86436886522738965</v>
      </c>
      <c r="L229" s="10">
        <f t="shared" si="334"/>
        <v>0.72127969917255352</v>
      </c>
      <c r="M229" s="10">
        <f t="shared" si="334"/>
        <v>0.3177321008207008</v>
      </c>
      <c r="N229" s="10">
        <f t="shared" si="334"/>
        <v>-0.45171545725126244</v>
      </c>
      <c r="O229" s="10">
        <f t="shared" si="334"/>
        <v>0.44005842800338102</v>
      </c>
      <c r="P229" s="10">
        <f t="shared" si="334"/>
        <v>0.41913810256563483</v>
      </c>
      <c r="Q229" s="10">
        <f t="shared" si="334"/>
        <v>0.33230481573312998</v>
      </c>
      <c r="R229" s="10">
        <f t="shared" si="334"/>
        <v>0.13138913115655185</v>
      </c>
      <c r="S229" s="10">
        <f t="shared" si="334"/>
        <v>-0.23354211694362281</v>
      </c>
      <c r="T229" s="10">
        <f t="shared" si="334"/>
        <v>-0.72643129891820535</v>
      </c>
    </row>
    <row r="230" spans="2:20">
      <c r="B230" s="10" t="s">
        <v>1066</v>
      </c>
      <c r="C230" s="10">
        <f t="shared" ref="C230:T230" si="335">IF(OR(ISNA(C229),ABS(C229)&gt;1),NA(),ACOS(C229)/3)</f>
        <v>0.63578365061515962</v>
      </c>
      <c r="D230" s="10">
        <f t="shared" si="335"/>
        <v>0.62879728342040542</v>
      </c>
      <c r="E230" s="10">
        <f t="shared" si="335"/>
        <v>0.62004168485159583</v>
      </c>
      <c r="F230" s="10">
        <f t="shared" si="335"/>
        <v>0.63851920464600098</v>
      </c>
      <c r="G230" s="10">
        <f t="shared" si="335"/>
        <v>0.71189862153301797</v>
      </c>
      <c r="H230" s="10">
        <f t="shared" si="335"/>
        <v>0.85339825007674197</v>
      </c>
      <c r="I230" s="10">
        <f t="shared" si="335"/>
        <v>0.16474519831116599</v>
      </c>
      <c r="J230" s="10">
        <f t="shared" si="335"/>
        <v>0.160759441027992</v>
      </c>
      <c r="K230" s="10">
        <f t="shared" si="335"/>
        <v>0.1756341356487586</v>
      </c>
      <c r="L230" s="10">
        <f t="shared" si="335"/>
        <v>0.25504940787287383</v>
      </c>
      <c r="M230" s="10">
        <f t="shared" si="335"/>
        <v>0.41581988143944693</v>
      </c>
      <c r="N230" s="10">
        <f t="shared" si="335"/>
        <v>0.67982784699008592</v>
      </c>
      <c r="O230" s="10">
        <f t="shared" si="335"/>
        <v>0.37171086253624724</v>
      </c>
      <c r="P230" s="10">
        <f t="shared" si="335"/>
        <v>0.37943350741876808</v>
      </c>
      <c r="Q230" s="10">
        <f t="shared" si="335"/>
        <v>0.41068337163808488</v>
      </c>
      <c r="R230" s="10">
        <f t="shared" si="335"/>
        <v>0.47967539923636598</v>
      </c>
      <c r="S230" s="10">
        <f t="shared" si="335"/>
        <v>0.6021717597827474</v>
      </c>
      <c r="T230" s="10">
        <f t="shared" si="335"/>
        <v>0.79463703829181975</v>
      </c>
    </row>
    <row r="231" spans="2:20">
      <c r="B231" s="10" t="s">
        <v>1067</v>
      </c>
      <c r="C231" s="10">
        <f t="shared" ref="C231:T231" si="336">IF(ISNA(C230),NA(),C228*COS(C230-2*PI()/3)-C223/3)</f>
        <v>1.9567815278376228</v>
      </c>
      <c r="D231" s="10">
        <f t="shared" si="336"/>
        <v>1.9968821019980962</v>
      </c>
      <c r="E231" s="10">
        <f t="shared" si="336"/>
        <v>2.1078957859631728</v>
      </c>
      <c r="F231" s="10">
        <f t="shared" si="336"/>
        <v>2.2789149514748637</v>
      </c>
      <c r="G231" s="10">
        <f t="shared" si="336"/>
        <v>2.5135213331791486</v>
      </c>
      <c r="H231" s="10">
        <f t="shared" si="336"/>
        <v>2.8190869777967897</v>
      </c>
      <c r="I231" s="10">
        <f t="shared" si="336"/>
        <v>0.52470161367339663</v>
      </c>
      <c r="J231" s="10">
        <f t="shared" si="336"/>
        <v>0.58263552701515198</v>
      </c>
      <c r="K231" s="10">
        <f t="shared" si="336"/>
        <v>0.8052317381601688</v>
      </c>
      <c r="L231" s="10">
        <f t="shared" si="336"/>
        <v>1.2394728811606455</v>
      </c>
      <c r="M231" s="10">
        <f t="shared" si="336"/>
        <v>1.8158165153190269</v>
      </c>
      <c r="N231" s="10">
        <f t="shared" si="336"/>
        <v>2.4728721892984997</v>
      </c>
      <c r="O231" s="10">
        <f t="shared" si="336"/>
        <v>1.3476128869444168</v>
      </c>
      <c r="P231" s="10">
        <f t="shared" si="336"/>
        <v>1.4180728197118495</v>
      </c>
      <c r="Q231" s="10">
        <f t="shared" si="336"/>
        <v>1.6181195253808784</v>
      </c>
      <c r="R231" s="10">
        <f t="shared" si="336"/>
        <v>1.9147576417865717</v>
      </c>
      <c r="S231" s="10">
        <f t="shared" si="336"/>
        <v>2.2794189165857555</v>
      </c>
      <c r="T231" s="10">
        <f t="shared" si="336"/>
        <v>2.7056112068304254</v>
      </c>
    </row>
    <row r="232" spans="2:20">
      <c r="B232" s="10" t="s">
        <v>1180</v>
      </c>
      <c r="C232" s="10">
        <f t="shared" ref="C232:T232" si="337">IF(OR(ISNA(C231),C231&lt;=0),NA(),1/SQRT(C231))</f>
        <v>0.7148728938283555</v>
      </c>
      <c r="D232" s="10">
        <f t="shared" si="337"/>
        <v>0.70765859816637688</v>
      </c>
      <c r="E232" s="10">
        <f t="shared" si="337"/>
        <v>0.68877191808592386</v>
      </c>
      <c r="F232" s="10">
        <f t="shared" si="337"/>
        <v>0.66242382053345894</v>
      </c>
      <c r="G232" s="10">
        <f t="shared" si="337"/>
        <v>0.63075211029370648</v>
      </c>
      <c r="H232" s="10">
        <f t="shared" si="337"/>
        <v>0.59558775773370431</v>
      </c>
      <c r="I232" s="10">
        <f t="shared" si="337"/>
        <v>1.3805234880938089</v>
      </c>
      <c r="J232" s="10">
        <f t="shared" si="337"/>
        <v>1.3100911672345512</v>
      </c>
      <c r="K232" s="10">
        <f t="shared" si="337"/>
        <v>1.1143960341546595</v>
      </c>
      <c r="L232" s="10">
        <f t="shared" si="337"/>
        <v>0.89821744467616171</v>
      </c>
      <c r="M232" s="10">
        <f t="shared" si="337"/>
        <v>0.74210271266155814</v>
      </c>
      <c r="N232" s="10">
        <f t="shared" si="337"/>
        <v>0.63591513989884041</v>
      </c>
      <c r="O232" s="10">
        <f t="shared" si="337"/>
        <v>0.86142490228581803</v>
      </c>
      <c r="P232" s="10">
        <f t="shared" si="337"/>
        <v>0.8397513941421656</v>
      </c>
      <c r="Q232" s="10">
        <f t="shared" si="337"/>
        <v>0.78613059881373781</v>
      </c>
      <c r="R232" s="10">
        <f t="shared" si="337"/>
        <v>0.72267510506758359</v>
      </c>
      <c r="S232" s="10">
        <f t="shared" si="337"/>
        <v>0.66235058762612042</v>
      </c>
      <c r="T232" s="10">
        <f t="shared" si="337"/>
        <v>0.60794921976928895</v>
      </c>
    </row>
    <row r="233" spans="2:20">
      <c r="B233" s="10" t="s">
        <v>1181</v>
      </c>
      <c r="C233" s="10">
        <f ca="1">IF(MAX(C60:CH60)&gt;0,MAX(C60:CH60),NA())</f>
        <v>0.71493085895435615</v>
      </c>
      <c r="D233" s="10">
        <f ca="1">IF(MAX(C61:CH61)&gt;0,MAX(C61:CH61),NA())</f>
        <v>0.70770292041505545</v>
      </c>
      <c r="E233" s="10">
        <f ca="1">IF(MAX(C62:CH62)&gt;0,MAX(C62:CH62),NA())</f>
        <v>0.68892794832560678</v>
      </c>
      <c r="F233" s="10">
        <f ca="1">IF(MAX(C63:CH63)&gt;0,MAX(C63:CH63),NA())</f>
        <v>0.66266363346235846</v>
      </c>
      <c r="G233" s="10">
        <f ca="1">IF(MAX(C64:CH64)&gt;0,MAX(C64:CH64),NA())</f>
        <v>0.63132154853750366</v>
      </c>
      <c r="H233" s="10">
        <f ca="1">IF(MAX(C65:CH65)&gt;0,MAX(C65:CH65),NA())</f>
        <v>0.59607195676535074</v>
      </c>
      <c r="I233" s="10">
        <f ca="1">IF(MAX(C74:CH74)&gt;0,MAX(C74:CH74),NA())</f>
        <v>1.381716002114119</v>
      </c>
      <c r="J233" s="10">
        <f ca="1">IF(MAX(C75:CH75)&gt;0,MAX(C75:CH75),NA())</f>
        <v>1.3112439839026993</v>
      </c>
      <c r="K233" s="10">
        <f ca="1">IF(MAX(C76:CH76)&gt;0,MAX(C76:CH76),NA())</f>
        <v>1.1165371819650589</v>
      </c>
      <c r="L233" s="10">
        <f ca="1">IF(MAX(C77:CH77)&gt;0,MAX(C77:CH77),NA())</f>
        <v>0.89823107550759029</v>
      </c>
      <c r="M233" s="10">
        <f ca="1">IF(MAX(C78:CH78)&gt;0,MAX(C78:CH78),NA())</f>
        <v>0.74228676439106678</v>
      </c>
      <c r="N233" s="10">
        <f ca="1">IF(MAX(C79:CH79)&gt;0,MAX(C79:CH79),NA())</f>
        <v>0.63620926824287627</v>
      </c>
      <c r="O233" s="10">
        <f ca="1">IF(MAX(C88:CH88)&gt;0,MAX(C88:CH88),NA())</f>
        <v>0.86154779105028179</v>
      </c>
      <c r="P233" s="10">
        <f ca="1">IF(MAX(C89:CH89)&gt;0,MAX(C89:CH89),NA())</f>
        <v>0.83978071736017335</v>
      </c>
      <c r="Q233" s="10">
        <f ca="1">IF(MAX(C90:CH90)&gt;0,MAX(C90:CH90),NA())</f>
        <v>0.78626124054161961</v>
      </c>
      <c r="R233" s="10">
        <f ca="1">IF(MAX(C91:CH91)&gt;0,MAX(C91:CH91),NA())</f>
        <v>0.72279727112811287</v>
      </c>
      <c r="S233" s="10">
        <f ca="1">IF(MAX(C92:CH92)&gt;0,MAX(C92:CH92),NA())</f>
        <v>0.66273024747635012</v>
      </c>
      <c r="T233" s="10">
        <f ca="1">IF(MAX(C93:CH93)&gt;0,MAX(C93:CH93),NA())</f>
        <v>0.60815613681824143</v>
      </c>
    </row>
    <row r="234" spans="2:20">
      <c r="B234" s="10" t="s">
        <v>1182</v>
      </c>
      <c r="C234" s="10">
        <f t="shared" ref="C234:T234" ca="1" si="338">IF(OR(ISNA(C232),ISNA(C233)),NA(),(C232/C233-1)*100)</f>
        <v>-8.1077946593954842E-3</v>
      </c>
      <c r="D234" s="10">
        <f t="shared" ca="1" si="338"/>
        <v>-6.262832524783768E-3</v>
      </c>
      <c r="E234" s="10">
        <f t="shared" ca="1" si="338"/>
        <v>-2.2648266783509285E-2</v>
      </c>
      <c r="F234" s="10">
        <f t="shared" ca="1" si="338"/>
        <v>-3.6189239425521436E-2</v>
      </c>
      <c r="G234" s="10">
        <f t="shared" ca="1" si="338"/>
        <v>-9.0197815220516286E-2</v>
      </c>
      <c r="H234" s="10">
        <f t="shared" ca="1" si="338"/>
        <v>-8.1231640937107219E-2</v>
      </c>
      <c r="I234" s="10">
        <f t="shared" ca="1" si="338"/>
        <v>-8.6306738757135903E-2</v>
      </c>
      <c r="J234" s="10">
        <f t="shared" ca="1" si="338"/>
        <v>-8.7917785118596381E-2</v>
      </c>
      <c r="K234" s="10">
        <f t="shared" ca="1" si="338"/>
        <v>-0.19176681663489736</v>
      </c>
      <c r="L234" s="10">
        <f t="shared" ca="1" si="338"/>
        <v>-1.517519466898154E-3</v>
      </c>
      <c r="M234" s="10">
        <f t="shared" ca="1" si="338"/>
        <v>-2.4795232562124792E-2</v>
      </c>
      <c r="N234" s="10">
        <f t="shared" ca="1" si="338"/>
        <v>-4.6231383086925426E-2</v>
      </c>
      <c r="O234" s="10">
        <f t="shared" ca="1" si="338"/>
        <v>-1.4263719986318257E-2</v>
      </c>
      <c r="P234" s="10">
        <f t="shared" ca="1" si="338"/>
        <v>-3.4917708160664418E-3</v>
      </c>
      <c r="Q234" s="10">
        <f t="shared" ca="1" si="338"/>
        <v>-1.6615562505895021E-2</v>
      </c>
      <c r="R234" s="10">
        <f t="shared" ca="1" si="338"/>
        <v>-1.6901843076777556E-2</v>
      </c>
      <c r="S234" s="10">
        <f t="shared" ca="1" si="338"/>
        <v>-5.7287237405478919E-2</v>
      </c>
      <c r="T234" s="10">
        <f t="shared" ca="1" si="338"/>
        <v>-3.4023671952898571E-2</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B3:AM57"/>
  <sheetViews>
    <sheetView topLeftCell="B1" zoomScale="55" zoomScaleNormal="55" workbookViewId="0">
      <selection activeCell="I24" sqref="I24"/>
    </sheetView>
  </sheetViews>
  <sheetFormatPr defaultColWidth="8.75" defaultRowHeight="16.5"/>
  <cols>
    <col min="1" max="1" width="8.75" style="10"/>
    <col min="2" max="2" width="35.625" style="10" customWidth="1"/>
    <col min="3" max="3" width="12.375" style="10" customWidth="1"/>
    <col min="4" max="38" width="8.75" style="10"/>
    <col min="39" max="39" width="12.25" style="10" customWidth="1"/>
    <col min="40" max="101" width="8.75" style="10"/>
    <col min="102" max="102" width="14.125" style="10" customWidth="1"/>
    <col min="103" max="103" width="9.875" style="10" customWidth="1"/>
    <col min="104" max="16384" width="8.75" style="10"/>
  </cols>
  <sheetData>
    <row r="3" spans="2:39" ht="16.5" customHeight="1">
      <c r="C3" s="10">
        <v>0</v>
      </c>
      <c r="D3" s="10">
        <v>1</v>
      </c>
      <c r="E3" s="10">
        <v>2</v>
      </c>
      <c r="F3" s="10">
        <v>3</v>
      </c>
      <c r="G3" s="10">
        <v>4</v>
      </c>
      <c r="H3" s="10">
        <v>5</v>
      </c>
      <c r="I3" s="10">
        <v>6</v>
      </c>
      <c r="J3" s="10">
        <v>7</v>
      </c>
      <c r="K3" s="10" t="s">
        <v>889</v>
      </c>
      <c r="L3" s="10">
        <v>8</v>
      </c>
      <c r="M3" s="10">
        <v>9</v>
      </c>
      <c r="N3" s="10">
        <v>10</v>
      </c>
      <c r="O3" s="10" t="s">
        <v>890</v>
      </c>
      <c r="P3" s="10">
        <v>11</v>
      </c>
      <c r="Q3" s="10">
        <v>12</v>
      </c>
      <c r="R3" s="10">
        <v>13</v>
      </c>
      <c r="S3" s="10">
        <v>14</v>
      </c>
      <c r="T3" s="10">
        <v>15</v>
      </c>
      <c r="U3" s="10" t="s">
        <v>891</v>
      </c>
      <c r="V3" s="10">
        <v>16</v>
      </c>
      <c r="W3" s="10">
        <v>17</v>
      </c>
      <c r="X3" s="10">
        <v>18</v>
      </c>
      <c r="Y3" s="10">
        <v>19</v>
      </c>
      <c r="Z3" s="10">
        <v>20</v>
      </c>
      <c r="AA3" s="10" t="s">
        <v>892</v>
      </c>
      <c r="AB3" s="10">
        <v>21</v>
      </c>
      <c r="AC3" s="10">
        <v>22</v>
      </c>
      <c r="AD3" s="10">
        <v>23</v>
      </c>
      <c r="AE3" s="10" t="s">
        <v>893</v>
      </c>
      <c r="AF3" s="10">
        <v>24</v>
      </c>
      <c r="AG3" s="10">
        <v>25</v>
      </c>
      <c r="AH3" s="10">
        <v>26</v>
      </c>
      <c r="AI3" s="10">
        <v>27</v>
      </c>
      <c r="AJ3" s="10">
        <v>28</v>
      </c>
      <c r="AK3" s="10">
        <v>29</v>
      </c>
      <c r="AL3" s="10">
        <v>30</v>
      </c>
      <c r="AM3" s="10">
        <v>31</v>
      </c>
    </row>
    <row r="4" spans="2:39" ht="16.5" customHeight="1">
      <c r="B4" s="10" t="s">
        <v>771</v>
      </c>
      <c r="C4" s="10">
        <f t="shared" ref="C4:J4" si="0">C3*PI()/MAX($C3:$AM3)</f>
        <v>0</v>
      </c>
      <c r="D4" s="10">
        <f t="shared" si="0"/>
        <v>0.10134169850289655</v>
      </c>
      <c r="E4" s="10">
        <f t="shared" si="0"/>
        <v>0.2026833970057931</v>
      </c>
      <c r="F4" s="10">
        <f t="shared" si="0"/>
        <v>0.30402509550868967</v>
      </c>
      <c r="G4" s="10">
        <f t="shared" si="0"/>
        <v>0.40536679401158621</v>
      </c>
      <c r="H4" s="10">
        <f t="shared" si="0"/>
        <v>0.5067084925144828</v>
      </c>
      <c r="I4" s="10">
        <f t="shared" si="0"/>
        <v>0.60805019101737934</v>
      </c>
      <c r="J4" s="10">
        <f t="shared" si="0"/>
        <v>0.70939188952027588</v>
      </c>
      <c r="K4" s="10">
        <f>PI()/4</f>
        <v>0.78539816339744828</v>
      </c>
      <c r="L4" s="10">
        <f>L3*PI()/MAX($C3:$AM3)</f>
        <v>0.81073358802317241</v>
      </c>
      <c r="M4" s="10">
        <f>M3*PI()/MAX($C3:$AM3)</f>
        <v>0.91207528652606895</v>
      </c>
      <c r="N4" s="10">
        <f>N3*PI()/MAX($C3:$AM3)</f>
        <v>1.0134169850289656</v>
      </c>
      <c r="O4" s="10">
        <f>PI()/3</f>
        <v>1.0471975511965976</v>
      </c>
      <c r="P4" s="10">
        <f>P3*PI()/MAX($C3:$AM3)</f>
        <v>1.1147586835318619</v>
      </c>
      <c r="Q4" s="10">
        <f>Q3*PI()/MAX($C3:$AM3)</f>
        <v>1.2161003820347587</v>
      </c>
      <c r="R4" s="10">
        <f>R3*PI()/MAX($C3:$AM3)</f>
        <v>1.3174420805376552</v>
      </c>
      <c r="S4" s="10">
        <f>S3*PI()/MAX($C3:$AM3)</f>
        <v>1.4187837790405518</v>
      </c>
      <c r="T4" s="10">
        <f>T3*PI()/MAX($C3:$AM3)</f>
        <v>1.5201254775434481</v>
      </c>
      <c r="U4" s="10">
        <f>PI()/2</f>
        <v>1.5707963267948966</v>
      </c>
      <c r="V4" s="10">
        <f>V3*PI()/MAX($C3:$AM3)</f>
        <v>1.6214671760463448</v>
      </c>
      <c r="W4" s="10">
        <f>W3*PI()/MAX($C3:$AM3)</f>
        <v>1.7228088745492416</v>
      </c>
      <c r="X4" s="10">
        <f>X3*PI()/MAX($C3:$AM3)</f>
        <v>1.8241505730521379</v>
      </c>
      <c r="Y4" s="10">
        <f>Y3*PI()/MAX($C3:$AM3)</f>
        <v>1.9254922715550344</v>
      </c>
      <c r="Z4" s="10">
        <f>Z3*PI()/MAX($C3:$AM3)</f>
        <v>2.0268339700579312</v>
      </c>
      <c r="AA4" s="10">
        <f>2*PI()/3</f>
        <v>2.0943951023931953</v>
      </c>
      <c r="AB4" s="10">
        <f>AB3*PI()/MAX($C3:$AM3)</f>
        <v>2.1281756685608277</v>
      </c>
      <c r="AC4" s="10">
        <f>AC3*PI()/MAX($C3:$AM3)</f>
        <v>2.2295173670637238</v>
      </c>
      <c r="AD4" s="10">
        <f>AD3*PI()/MAX($C3:$AM3)</f>
        <v>2.3308590655666204</v>
      </c>
      <c r="AE4" s="10">
        <f>3*PI()/4</f>
        <v>2.3561944901923448</v>
      </c>
      <c r="AF4" s="10">
        <f t="shared" ref="AF4:AM4" si="1">AF3*PI()/MAX($C3:$AM3)</f>
        <v>2.4322007640695174</v>
      </c>
      <c r="AG4" s="10">
        <f t="shared" si="1"/>
        <v>2.5335424625724139</v>
      </c>
      <c r="AH4" s="10">
        <f t="shared" si="1"/>
        <v>2.6348841610753104</v>
      </c>
      <c r="AI4" s="10">
        <f t="shared" si="1"/>
        <v>2.736225859578207</v>
      </c>
      <c r="AJ4" s="10">
        <f t="shared" si="1"/>
        <v>2.8375675580811035</v>
      </c>
      <c r="AK4" s="10">
        <f t="shared" si="1"/>
        <v>2.938909256584</v>
      </c>
      <c r="AL4" s="10">
        <f t="shared" si="1"/>
        <v>3.0402509550868961</v>
      </c>
      <c r="AM4" s="10">
        <f t="shared" si="1"/>
        <v>3.1415926535897931</v>
      </c>
    </row>
    <row r="5" spans="2:39" ht="16.5" customHeight="1">
      <c r="B5" s="10" t="s">
        <v>149</v>
      </c>
      <c r="C5" s="10">
        <f>'Design Spec'!$D$95</f>
        <v>25</v>
      </c>
      <c r="D5" s="10">
        <f>'Design Spec'!$D$95</f>
        <v>25</v>
      </c>
      <c r="E5" s="10">
        <f>'Design Spec'!$D$95</f>
        <v>25</v>
      </c>
      <c r="F5" s="10">
        <f>'Design Spec'!$D$95</f>
        <v>25</v>
      </c>
      <c r="G5" s="10">
        <f>'Design Spec'!$D$95</f>
        <v>25</v>
      </c>
      <c r="H5" s="10">
        <f>'Design Spec'!$D$95</f>
        <v>25</v>
      </c>
      <c r="I5" s="10">
        <f>'Design Spec'!$D$95</f>
        <v>25</v>
      </c>
      <c r="J5" s="10">
        <f>'Design Spec'!$D$95</f>
        <v>25</v>
      </c>
      <c r="K5" s="10">
        <f>'Design Spec'!$D$95</f>
        <v>25</v>
      </c>
      <c r="L5" s="10">
        <f>'Design Spec'!$D$95</f>
        <v>25</v>
      </c>
      <c r="M5" s="10">
        <f>'Design Spec'!$D$95</f>
        <v>25</v>
      </c>
      <c r="N5" s="10">
        <f>'Design Spec'!$D$95</f>
        <v>25</v>
      </c>
      <c r="O5" s="10">
        <f>'Design Spec'!$D$95</f>
        <v>25</v>
      </c>
      <c r="P5" s="10">
        <f>'Design Spec'!$D$95</f>
        <v>25</v>
      </c>
      <c r="Q5" s="10">
        <f>'Design Spec'!$D$95</f>
        <v>25</v>
      </c>
      <c r="R5" s="10">
        <f>'Design Spec'!$D$95</f>
        <v>25</v>
      </c>
      <c r="S5" s="10">
        <f>'Design Spec'!$D$95</f>
        <v>25</v>
      </c>
      <c r="T5" s="10">
        <f>'Design Spec'!$D$95</f>
        <v>25</v>
      </c>
      <c r="U5" s="10">
        <f>'Design Spec'!$D$95</f>
        <v>25</v>
      </c>
      <c r="V5" s="10">
        <f>'Design Spec'!$D$95</f>
        <v>25</v>
      </c>
      <c r="W5" s="10">
        <f>'Design Spec'!$D$95</f>
        <v>25</v>
      </c>
      <c r="X5" s="10">
        <f>'Design Spec'!$D$95</f>
        <v>25</v>
      </c>
      <c r="Y5" s="10">
        <f>'Design Spec'!$D$95</f>
        <v>25</v>
      </c>
      <c r="Z5" s="10">
        <f>'Design Spec'!$D$95</f>
        <v>25</v>
      </c>
      <c r="AA5" s="10">
        <f>'Design Spec'!$D$95</f>
        <v>25</v>
      </c>
      <c r="AB5" s="10">
        <f>'Design Spec'!$D$95</f>
        <v>25</v>
      </c>
      <c r="AC5" s="10">
        <f>'Design Spec'!$D$95</f>
        <v>25</v>
      </c>
      <c r="AD5" s="10">
        <f>'Design Spec'!$D$95</f>
        <v>25</v>
      </c>
      <c r="AE5" s="10">
        <f>'Design Spec'!$D$95</f>
        <v>25</v>
      </c>
      <c r="AF5" s="10">
        <f>'Design Spec'!$D$95</f>
        <v>25</v>
      </c>
      <c r="AG5" s="10">
        <f>'Design Spec'!$D$95</f>
        <v>25</v>
      </c>
      <c r="AH5" s="10">
        <f>'Design Spec'!$D$95</f>
        <v>25</v>
      </c>
      <c r="AI5" s="10">
        <f>'Design Spec'!$D$95</f>
        <v>25</v>
      </c>
      <c r="AJ5" s="10">
        <f>'Design Spec'!$D$95</f>
        <v>25</v>
      </c>
      <c r="AK5" s="10">
        <f>'Design Spec'!$D$95</f>
        <v>25</v>
      </c>
      <c r="AL5" s="10">
        <f>'Design Spec'!$D$95</f>
        <v>25</v>
      </c>
      <c r="AM5" s="10">
        <f>'Design Spec'!$D$95</f>
        <v>25</v>
      </c>
    </row>
    <row r="6" spans="2:39" ht="16.5" customHeight="1">
      <c r="B6" s="10" t="s">
        <v>772</v>
      </c>
      <c r="C6" s="10">
        <f>'Design Spec'!$D$106</f>
        <v>0</v>
      </c>
      <c r="D6" s="10">
        <f>'Design Spec'!$D$106</f>
        <v>0</v>
      </c>
      <c r="E6" s="10">
        <f>'Design Spec'!$D$106</f>
        <v>0</v>
      </c>
      <c r="F6" s="10">
        <f>'Design Spec'!$D$106</f>
        <v>0</v>
      </c>
      <c r="G6" s="10">
        <f>'Design Spec'!$D$106</f>
        <v>0</v>
      </c>
      <c r="H6" s="10">
        <f>'Design Spec'!$D$106</f>
        <v>0</v>
      </c>
      <c r="I6" s="10">
        <f>'Design Spec'!$D$106</f>
        <v>0</v>
      </c>
      <c r="J6" s="10">
        <f>'Design Spec'!$D$106</f>
        <v>0</v>
      </c>
      <c r="K6" s="10">
        <f>'Design Spec'!$D$106</f>
        <v>0</v>
      </c>
      <c r="L6" s="10">
        <f>'Design Spec'!$D$106</f>
        <v>0</v>
      </c>
      <c r="M6" s="10">
        <f>'Design Spec'!$D$106</f>
        <v>0</v>
      </c>
      <c r="N6" s="10">
        <f>'Design Spec'!$D$106</f>
        <v>0</v>
      </c>
      <c r="O6" s="10">
        <f>'Design Spec'!$D$106</f>
        <v>0</v>
      </c>
      <c r="P6" s="10">
        <f>'Design Spec'!$D$106</f>
        <v>0</v>
      </c>
      <c r="Q6" s="10">
        <f>'Design Spec'!$D$106</f>
        <v>0</v>
      </c>
      <c r="R6" s="10">
        <f>'Design Spec'!$D$106</f>
        <v>0</v>
      </c>
      <c r="S6" s="10">
        <f>'Design Spec'!$D$106</f>
        <v>0</v>
      </c>
      <c r="T6" s="10">
        <f>'Design Spec'!$D$106</f>
        <v>0</v>
      </c>
      <c r="U6" s="10">
        <f>'Design Spec'!$D$106</f>
        <v>0</v>
      </c>
      <c r="V6" s="10">
        <f>'Design Spec'!$D$106</f>
        <v>0</v>
      </c>
      <c r="W6" s="10">
        <f>'Design Spec'!$D$106</f>
        <v>0</v>
      </c>
      <c r="X6" s="10">
        <f>'Design Spec'!$D$106</f>
        <v>0</v>
      </c>
      <c r="Y6" s="10">
        <f>'Design Spec'!$D$106</f>
        <v>0</v>
      </c>
      <c r="Z6" s="10">
        <f>'Design Spec'!$D$106</f>
        <v>0</v>
      </c>
      <c r="AA6" s="10">
        <f>'Design Spec'!$D$106</f>
        <v>0</v>
      </c>
      <c r="AB6" s="10">
        <f>'Design Spec'!$D$106</f>
        <v>0</v>
      </c>
      <c r="AC6" s="10">
        <f>'Design Spec'!$D$106</f>
        <v>0</v>
      </c>
      <c r="AD6" s="10">
        <f>'Design Spec'!$D$106</f>
        <v>0</v>
      </c>
      <c r="AE6" s="10">
        <f>'Design Spec'!$D$106</f>
        <v>0</v>
      </c>
      <c r="AF6" s="10">
        <f>'Design Spec'!$D$106</f>
        <v>0</v>
      </c>
      <c r="AG6" s="10">
        <f>'Design Spec'!$D$106</f>
        <v>0</v>
      </c>
      <c r="AH6" s="10">
        <f>'Design Spec'!$D$106</f>
        <v>0</v>
      </c>
      <c r="AI6" s="10">
        <f>'Design Spec'!$D$106</f>
        <v>0</v>
      </c>
      <c r="AJ6" s="10">
        <f>'Design Spec'!$D$106</f>
        <v>0</v>
      </c>
      <c r="AK6" s="10">
        <f>'Design Spec'!$D$106</f>
        <v>0</v>
      </c>
      <c r="AL6" s="10">
        <f>'Design Spec'!$D$106</f>
        <v>0</v>
      </c>
      <c r="AM6" s="10">
        <f>'Design Spec'!$D$106</f>
        <v>0</v>
      </c>
    </row>
    <row r="7" spans="2:39" ht="16.5" customHeight="1">
      <c r="B7" s="10" t="s">
        <v>773</v>
      </c>
      <c r="C7" s="10">
        <f>'Design Spec'!$D$83</f>
        <v>173.24116139070412</v>
      </c>
      <c r="D7" s="10">
        <f>'Design Spec'!$D$83</f>
        <v>173.24116139070412</v>
      </c>
      <c r="E7" s="10">
        <f>'Design Spec'!$D$83</f>
        <v>173.24116139070412</v>
      </c>
      <c r="F7" s="10">
        <f>'Design Spec'!$D$83</f>
        <v>173.24116139070412</v>
      </c>
      <c r="G7" s="10">
        <f>'Design Spec'!$D$83</f>
        <v>173.24116139070412</v>
      </c>
      <c r="H7" s="10">
        <f>'Design Spec'!$D$83</f>
        <v>173.24116139070412</v>
      </c>
      <c r="I7" s="10">
        <f>'Design Spec'!$D$83</f>
        <v>173.24116139070412</v>
      </c>
      <c r="J7" s="10">
        <f>'Design Spec'!$D$83</f>
        <v>173.24116139070412</v>
      </c>
      <c r="K7" s="10">
        <f>'Design Spec'!$D$83</f>
        <v>173.24116139070412</v>
      </c>
      <c r="L7" s="10">
        <f>'Design Spec'!$D$83</f>
        <v>173.24116139070412</v>
      </c>
      <c r="M7" s="10">
        <f>'Design Spec'!$D$83</f>
        <v>173.24116139070412</v>
      </c>
      <c r="N7" s="10">
        <f>'Design Spec'!$D$83</f>
        <v>173.24116139070412</v>
      </c>
      <c r="O7" s="10">
        <f>'Design Spec'!$D$83</f>
        <v>173.24116139070412</v>
      </c>
      <c r="P7" s="10">
        <f>'Design Spec'!$D$83</f>
        <v>173.24116139070412</v>
      </c>
      <c r="Q7" s="10">
        <f>'Design Spec'!$D$83</f>
        <v>173.24116139070412</v>
      </c>
      <c r="R7" s="10">
        <f>'Design Spec'!$D$83</f>
        <v>173.24116139070412</v>
      </c>
      <c r="S7" s="10">
        <f>'Design Spec'!$D$83</f>
        <v>173.24116139070412</v>
      </c>
      <c r="T7" s="10">
        <f>'Design Spec'!$D$83</f>
        <v>173.24116139070412</v>
      </c>
      <c r="U7" s="10">
        <f>'Design Spec'!$D$83</f>
        <v>173.24116139070412</v>
      </c>
      <c r="V7" s="10">
        <f>'Design Spec'!$D$83</f>
        <v>173.24116139070412</v>
      </c>
      <c r="W7" s="10">
        <f>'Design Spec'!$D$83</f>
        <v>173.24116139070412</v>
      </c>
      <c r="X7" s="10">
        <f>'Design Spec'!$D$83</f>
        <v>173.24116139070412</v>
      </c>
      <c r="Y7" s="10">
        <f>'Design Spec'!$D$83</f>
        <v>173.24116139070412</v>
      </c>
      <c r="Z7" s="10">
        <f>'Design Spec'!$D$83</f>
        <v>173.24116139070412</v>
      </c>
      <c r="AA7" s="10">
        <f>'Design Spec'!$D$83</f>
        <v>173.24116139070412</v>
      </c>
      <c r="AB7" s="10">
        <f>'Design Spec'!$D$83</f>
        <v>173.24116139070412</v>
      </c>
      <c r="AC7" s="10">
        <f>'Design Spec'!$D$83</f>
        <v>173.24116139070412</v>
      </c>
      <c r="AD7" s="10">
        <f>'Design Spec'!$D$83</f>
        <v>173.24116139070412</v>
      </c>
      <c r="AE7" s="10">
        <f>'Design Spec'!$D$83</f>
        <v>173.24116139070412</v>
      </c>
      <c r="AF7" s="10">
        <f>'Design Spec'!$D$83</f>
        <v>173.24116139070412</v>
      </c>
      <c r="AG7" s="10">
        <f>'Design Spec'!$D$83</f>
        <v>173.24116139070412</v>
      </c>
      <c r="AH7" s="10">
        <f>'Design Spec'!$D$83</f>
        <v>173.24116139070412</v>
      </c>
      <c r="AI7" s="10">
        <f>'Design Spec'!$D$83</f>
        <v>173.24116139070412</v>
      </c>
      <c r="AJ7" s="10">
        <f>'Design Spec'!$D$83</f>
        <v>173.24116139070412</v>
      </c>
      <c r="AK7" s="10">
        <f>'Design Spec'!$D$83</f>
        <v>173.24116139070412</v>
      </c>
      <c r="AL7" s="10">
        <f>'Design Spec'!$D$83</f>
        <v>173.24116139070412</v>
      </c>
      <c r="AM7" s="10">
        <f>'Design Spec'!$D$83</f>
        <v>173.24116139070412</v>
      </c>
    </row>
    <row r="8" spans="2:39" ht="16.5" customHeight="1">
      <c r="B8" s="10" t="s">
        <v>775</v>
      </c>
      <c r="C8" s="10">
        <f>'Design Spec'!$D$79</f>
        <v>264</v>
      </c>
      <c r="D8" s="10">
        <f>'Design Spec'!$D$79</f>
        <v>264</v>
      </c>
      <c r="E8" s="10">
        <f>'Design Spec'!$D$79</f>
        <v>264</v>
      </c>
      <c r="F8" s="10">
        <f>'Design Spec'!$D$79</f>
        <v>264</v>
      </c>
      <c r="G8" s="10">
        <f>'Design Spec'!$D$79</f>
        <v>264</v>
      </c>
      <c r="H8" s="10">
        <f>'Design Spec'!$D$79</f>
        <v>264</v>
      </c>
      <c r="I8" s="10">
        <f>'Design Spec'!$D$79</f>
        <v>264</v>
      </c>
      <c r="J8" s="10">
        <f>'Design Spec'!$D$79</f>
        <v>264</v>
      </c>
      <c r="K8" s="10">
        <f>'Design Spec'!$D$79</f>
        <v>264</v>
      </c>
      <c r="L8" s="10">
        <f>'Design Spec'!$D$79</f>
        <v>264</v>
      </c>
      <c r="M8" s="10">
        <f>'Design Spec'!$D$79</f>
        <v>264</v>
      </c>
      <c r="N8" s="10">
        <f>'Design Spec'!$D$79</f>
        <v>264</v>
      </c>
      <c r="O8" s="10">
        <f>'Design Spec'!$D$79</f>
        <v>264</v>
      </c>
      <c r="P8" s="10">
        <f>'Design Spec'!$D$79</f>
        <v>264</v>
      </c>
      <c r="Q8" s="10">
        <f>'Design Spec'!$D$79</f>
        <v>264</v>
      </c>
      <c r="R8" s="10">
        <f>'Design Spec'!$D$79</f>
        <v>264</v>
      </c>
      <c r="S8" s="10">
        <f>'Design Spec'!$D$79</f>
        <v>264</v>
      </c>
      <c r="T8" s="10">
        <f>'Design Spec'!$D$79</f>
        <v>264</v>
      </c>
      <c r="U8" s="10">
        <f>'Design Spec'!$D$79</f>
        <v>264</v>
      </c>
      <c r="V8" s="10">
        <f>'Design Spec'!$D$79</f>
        <v>264</v>
      </c>
      <c r="W8" s="10">
        <f>'Design Spec'!$D$79</f>
        <v>264</v>
      </c>
      <c r="X8" s="10">
        <f>'Design Spec'!$D$79</f>
        <v>264</v>
      </c>
      <c r="Y8" s="10">
        <f>'Design Spec'!$D$79</f>
        <v>264</v>
      </c>
      <c r="Z8" s="10">
        <f>'Design Spec'!$D$79</f>
        <v>264</v>
      </c>
      <c r="AA8" s="10">
        <f>'Design Spec'!$D$79</f>
        <v>264</v>
      </c>
      <c r="AB8" s="10">
        <f>'Design Spec'!$D$79</f>
        <v>264</v>
      </c>
      <c r="AC8" s="10">
        <f>'Design Spec'!$D$79</f>
        <v>264</v>
      </c>
      <c r="AD8" s="10">
        <f>'Design Spec'!$D$79</f>
        <v>264</v>
      </c>
      <c r="AE8" s="10">
        <f>'Design Spec'!$D$79</f>
        <v>264</v>
      </c>
      <c r="AF8" s="10">
        <f>'Design Spec'!$D$79</f>
        <v>264</v>
      </c>
      <c r="AG8" s="10">
        <f>'Design Spec'!$D$79</f>
        <v>264</v>
      </c>
      <c r="AH8" s="10">
        <f>'Design Spec'!$D$79</f>
        <v>264</v>
      </c>
      <c r="AI8" s="10">
        <f>'Design Spec'!$D$79</f>
        <v>264</v>
      </c>
      <c r="AJ8" s="10">
        <f>'Design Spec'!$D$79</f>
        <v>264</v>
      </c>
      <c r="AK8" s="10">
        <f>'Design Spec'!$D$79</f>
        <v>264</v>
      </c>
      <c r="AL8" s="10">
        <f>'Design Spec'!$D$79</f>
        <v>264</v>
      </c>
      <c r="AM8" s="10">
        <f>'Design Spec'!$D$79</f>
        <v>264</v>
      </c>
    </row>
    <row r="9" spans="2:39" ht="16.5" customHeight="1">
      <c r="B9" s="10" t="s">
        <v>268</v>
      </c>
      <c r="C9" s="10">
        <f>IF('Res. Tank Design'!$F$9,'Res. Tank Design'!$F$9,'Res. Tank Design'!$D$9)</f>
        <v>7.4527000000000001</v>
      </c>
      <c r="D9" s="10">
        <f>IF('Res. Tank Design'!$F$9,'Res. Tank Design'!$F$9,'Res. Tank Design'!$D$9)</f>
        <v>7.4527000000000001</v>
      </c>
      <c r="E9" s="10">
        <f>IF('Res. Tank Design'!$F$9,'Res. Tank Design'!$F$9,'Res. Tank Design'!$D$9)</f>
        <v>7.4527000000000001</v>
      </c>
      <c r="F9" s="10">
        <f>IF('Res. Tank Design'!$F$9,'Res. Tank Design'!$F$9,'Res. Tank Design'!$D$9)</f>
        <v>7.4527000000000001</v>
      </c>
      <c r="G9" s="10">
        <f>IF('Res. Tank Design'!$F$9,'Res. Tank Design'!$F$9,'Res. Tank Design'!$D$9)</f>
        <v>7.4527000000000001</v>
      </c>
      <c r="H9" s="10">
        <f>IF('Res. Tank Design'!$F$9,'Res. Tank Design'!$F$9,'Res. Tank Design'!$D$9)</f>
        <v>7.4527000000000001</v>
      </c>
      <c r="I9" s="10">
        <f>IF('Res. Tank Design'!$F$9,'Res. Tank Design'!$F$9,'Res. Tank Design'!$D$9)</f>
        <v>7.4527000000000001</v>
      </c>
      <c r="J9" s="10">
        <f>IF('Res. Tank Design'!$F$9,'Res. Tank Design'!$F$9,'Res. Tank Design'!$D$9)</f>
        <v>7.4527000000000001</v>
      </c>
      <c r="K9" s="10">
        <f>IF('Res. Tank Design'!$F$9,'Res. Tank Design'!$F$9,'Res. Tank Design'!$D$9)</f>
        <v>7.4527000000000001</v>
      </c>
      <c r="L9" s="10">
        <f>IF('Res. Tank Design'!$F$9,'Res. Tank Design'!$F$9,'Res. Tank Design'!$D$9)</f>
        <v>7.4527000000000001</v>
      </c>
      <c r="M9" s="10">
        <f>IF('Res. Tank Design'!$F$9,'Res. Tank Design'!$F$9,'Res. Tank Design'!$D$9)</f>
        <v>7.4527000000000001</v>
      </c>
      <c r="N9" s="10">
        <f>IF('Res. Tank Design'!$F$9,'Res. Tank Design'!$F$9,'Res. Tank Design'!$D$9)</f>
        <v>7.4527000000000001</v>
      </c>
      <c r="O9" s="10">
        <f>IF('Res. Tank Design'!$F$9,'Res. Tank Design'!$F$9,'Res. Tank Design'!$D$9)</f>
        <v>7.4527000000000001</v>
      </c>
      <c r="P9" s="10">
        <f>IF('Res. Tank Design'!$F$9,'Res. Tank Design'!$F$9,'Res. Tank Design'!$D$9)</f>
        <v>7.4527000000000001</v>
      </c>
      <c r="Q9" s="10">
        <f>IF('Res. Tank Design'!$F$9,'Res. Tank Design'!$F$9,'Res. Tank Design'!$D$9)</f>
        <v>7.4527000000000001</v>
      </c>
      <c r="R9" s="10">
        <f>IF('Res. Tank Design'!$F$9,'Res. Tank Design'!$F$9,'Res. Tank Design'!$D$9)</f>
        <v>7.4527000000000001</v>
      </c>
      <c r="S9" s="10">
        <f>IF('Res. Tank Design'!$F$9,'Res. Tank Design'!$F$9,'Res. Tank Design'!$D$9)</f>
        <v>7.4527000000000001</v>
      </c>
      <c r="T9" s="10">
        <f>IF('Res. Tank Design'!$F$9,'Res. Tank Design'!$F$9,'Res. Tank Design'!$D$9)</f>
        <v>7.4527000000000001</v>
      </c>
      <c r="U9" s="10">
        <f>IF('Res. Tank Design'!$F$9,'Res. Tank Design'!$F$9,'Res. Tank Design'!$D$9)</f>
        <v>7.4527000000000001</v>
      </c>
      <c r="V9" s="10">
        <f>IF('Res. Tank Design'!$F$9,'Res. Tank Design'!$F$9,'Res. Tank Design'!$D$9)</f>
        <v>7.4527000000000001</v>
      </c>
      <c r="W9" s="10">
        <f>IF('Res. Tank Design'!$F$9,'Res. Tank Design'!$F$9,'Res. Tank Design'!$D$9)</f>
        <v>7.4527000000000001</v>
      </c>
      <c r="X9" s="10">
        <f>IF('Res. Tank Design'!$F$9,'Res. Tank Design'!$F$9,'Res. Tank Design'!$D$9)</f>
        <v>7.4527000000000001</v>
      </c>
      <c r="Y9" s="10">
        <f>IF('Res. Tank Design'!$F$9,'Res. Tank Design'!$F$9,'Res. Tank Design'!$D$9)</f>
        <v>7.4527000000000001</v>
      </c>
      <c r="Z9" s="10">
        <f>IF('Res. Tank Design'!$F$9,'Res. Tank Design'!$F$9,'Res. Tank Design'!$D$9)</f>
        <v>7.4527000000000001</v>
      </c>
      <c r="AA9" s="10">
        <f>IF('Res. Tank Design'!$F$9,'Res. Tank Design'!$F$9,'Res. Tank Design'!$D$9)</f>
        <v>7.4527000000000001</v>
      </c>
      <c r="AB9" s="10">
        <f>IF('Res. Tank Design'!$F$9,'Res. Tank Design'!$F$9,'Res. Tank Design'!$D$9)</f>
        <v>7.4527000000000001</v>
      </c>
      <c r="AC9" s="10">
        <f>IF('Res. Tank Design'!$F$9,'Res. Tank Design'!$F$9,'Res. Tank Design'!$D$9)</f>
        <v>7.4527000000000001</v>
      </c>
      <c r="AD9" s="10">
        <f>IF('Res. Tank Design'!$F$9,'Res. Tank Design'!$F$9,'Res. Tank Design'!$D$9)</f>
        <v>7.4527000000000001</v>
      </c>
      <c r="AE9" s="10">
        <f>IF('Res. Tank Design'!$F$9,'Res. Tank Design'!$F$9,'Res. Tank Design'!$D$9)</f>
        <v>7.4527000000000001</v>
      </c>
      <c r="AF9" s="10">
        <f>IF('Res. Tank Design'!$F$9,'Res. Tank Design'!$F$9,'Res. Tank Design'!$D$9)</f>
        <v>7.4527000000000001</v>
      </c>
      <c r="AG9" s="10">
        <f>IF('Res. Tank Design'!$F$9,'Res. Tank Design'!$F$9,'Res. Tank Design'!$D$9)</f>
        <v>7.4527000000000001</v>
      </c>
      <c r="AH9" s="10">
        <f>IF('Res. Tank Design'!$F$9,'Res. Tank Design'!$F$9,'Res. Tank Design'!$D$9)</f>
        <v>7.4527000000000001</v>
      </c>
      <c r="AI9" s="10">
        <f>IF('Res. Tank Design'!$F$9,'Res. Tank Design'!$F$9,'Res. Tank Design'!$D$9)</f>
        <v>7.4527000000000001</v>
      </c>
      <c r="AJ9" s="10">
        <f>IF('Res. Tank Design'!$F$9,'Res. Tank Design'!$F$9,'Res. Tank Design'!$D$9)</f>
        <v>7.4527000000000001</v>
      </c>
      <c r="AK9" s="10">
        <f>IF('Res. Tank Design'!$F$9,'Res. Tank Design'!$F$9,'Res. Tank Design'!$D$9)</f>
        <v>7.4527000000000001</v>
      </c>
      <c r="AL9" s="10">
        <f>IF('Res. Tank Design'!$F$9,'Res. Tank Design'!$F$9,'Res. Tank Design'!$D$9)</f>
        <v>7.4527000000000001</v>
      </c>
      <c r="AM9" s="10">
        <f>IF('Res. Tank Design'!$F$9,'Res. Tank Design'!$F$9,'Res. Tank Design'!$D$9)</f>
        <v>7.4527000000000001</v>
      </c>
    </row>
    <row r="10" spans="2:39" ht="16.5" customHeight="1">
      <c r="B10" s="10" t="s">
        <v>776</v>
      </c>
      <c r="C10" s="10">
        <f>'Design Spec'!$D$98</f>
        <v>657.5</v>
      </c>
      <c r="D10" s="10">
        <f>'Design Spec'!$D$98</f>
        <v>657.5</v>
      </c>
      <c r="E10" s="10">
        <f>'Design Spec'!$D$98</f>
        <v>657.5</v>
      </c>
      <c r="F10" s="10">
        <f>'Design Spec'!$D$98</f>
        <v>657.5</v>
      </c>
      <c r="G10" s="10">
        <f>'Design Spec'!$D$98</f>
        <v>657.5</v>
      </c>
      <c r="H10" s="10">
        <f>'Design Spec'!$D$98</f>
        <v>657.5</v>
      </c>
      <c r="I10" s="10">
        <f>'Design Spec'!$D$98</f>
        <v>657.5</v>
      </c>
      <c r="J10" s="10">
        <f>'Design Spec'!$D$98</f>
        <v>657.5</v>
      </c>
      <c r="K10" s="10">
        <f>'Design Spec'!$D$98</f>
        <v>657.5</v>
      </c>
      <c r="L10" s="10">
        <f>'Design Spec'!$D$98</f>
        <v>657.5</v>
      </c>
      <c r="M10" s="10">
        <f>'Design Spec'!$D$98</f>
        <v>657.5</v>
      </c>
      <c r="N10" s="10">
        <f>'Design Spec'!$D$98</f>
        <v>657.5</v>
      </c>
      <c r="O10" s="10">
        <f>'Design Spec'!$D$98</f>
        <v>657.5</v>
      </c>
      <c r="P10" s="10">
        <f>'Design Spec'!$D$98</f>
        <v>657.5</v>
      </c>
      <c r="Q10" s="10">
        <f>'Design Spec'!$D$98</f>
        <v>657.5</v>
      </c>
      <c r="R10" s="10">
        <f>'Design Spec'!$D$98</f>
        <v>657.5</v>
      </c>
      <c r="S10" s="10">
        <f>'Design Spec'!$D$98</f>
        <v>657.5</v>
      </c>
      <c r="T10" s="10">
        <f>'Design Spec'!$D$98</f>
        <v>657.5</v>
      </c>
      <c r="U10" s="10">
        <f>'Design Spec'!$D$98</f>
        <v>657.5</v>
      </c>
      <c r="V10" s="10">
        <f>'Design Spec'!$D$98</f>
        <v>657.5</v>
      </c>
      <c r="W10" s="10">
        <f>'Design Spec'!$D$98</f>
        <v>657.5</v>
      </c>
      <c r="X10" s="10">
        <f>'Design Spec'!$D$98</f>
        <v>657.5</v>
      </c>
      <c r="Y10" s="10">
        <f>'Design Spec'!$D$98</f>
        <v>657.5</v>
      </c>
      <c r="Z10" s="10">
        <f>'Design Spec'!$D$98</f>
        <v>657.5</v>
      </c>
      <c r="AA10" s="10">
        <f>'Design Spec'!$D$98</f>
        <v>657.5</v>
      </c>
      <c r="AB10" s="10">
        <f>'Design Spec'!$D$98</f>
        <v>657.5</v>
      </c>
      <c r="AC10" s="10">
        <f>'Design Spec'!$D$98</f>
        <v>657.5</v>
      </c>
      <c r="AD10" s="10">
        <f>'Design Spec'!$D$98</f>
        <v>657.5</v>
      </c>
      <c r="AE10" s="10">
        <f>'Design Spec'!$D$98</f>
        <v>657.5</v>
      </c>
      <c r="AF10" s="10">
        <f>'Design Spec'!$D$98</f>
        <v>657.5</v>
      </c>
      <c r="AG10" s="10">
        <f>'Design Spec'!$D$98</f>
        <v>657.5</v>
      </c>
      <c r="AH10" s="10">
        <f>'Design Spec'!$D$98</f>
        <v>657.5</v>
      </c>
      <c r="AI10" s="10">
        <f>'Design Spec'!$D$98</f>
        <v>657.5</v>
      </c>
      <c r="AJ10" s="10">
        <f>'Design Spec'!$D$98</f>
        <v>657.5</v>
      </c>
      <c r="AK10" s="10">
        <f>'Design Spec'!$D$98</f>
        <v>657.5</v>
      </c>
      <c r="AL10" s="10">
        <f>'Design Spec'!$D$98</f>
        <v>657.5</v>
      </c>
      <c r="AM10" s="10">
        <f>'Design Spec'!$D$98</f>
        <v>657.5</v>
      </c>
    </row>
    <row r="11" spans="2:39" ht="16.5" customHeight="1">
      <c r="B11" s="162" t="s">
        <v>777</v>
      </c>
      <c r="C11" s="162">
        <f t="shared" ref="C11:AM11" si="2">C10/4*3</f>
        <v>493.125</v>
      </c>
      <c r="D11" s="162">
        <f t="shared" si="2"/>
        <v>493.125</v>
      </c>
      <c r="E11" s="162">
        <f t="shared" si="2"/>
        <v>493.125</v>
      </c>
      <c r="F11" s="162">
        <f t="shared" si="2"/>
        <v>493.125</v>
      </c>
      <c r="G11" s="162">
        <f t="shared" si="2"/>
        <v>493.125</v>
      </c>
      <c r="H11" s="162">
        <f t="shared" si="2"/>
        <v>493.125</v>
      </c>
      <c r="I11" s="162">
        <f t="shared" si="2"/>
        <v>493.125</v>
      </c>
      <c r="J11" s="162">
        <f t="shared" si="2"/>
        <v>493.125</v>
      </c>
      <c r="K11" s="162">
        <f t="shared" si="2"/>
        <v>493.125</v>
      </c>
      <c r="L11" s="162">
        <f t="shared" si="2"/>
        <v>493.125</v>
      </c>
      <c r="M11" s="162">
        <f t="shared" si="2"/>
        <v>493.125</v>
      </c>
      <c r="N11" s="162">
        <f t="shared" si="2"/>
        <v>493.125</v>
      </c>
      <c r="O11" s="162">
        <f t="shared" si="2"/>
        <v>493.125</v>
      </c>
      <c r="P11" s="162">
        <f t="shared" si="2"/>
        <v>493.125</v>
      </c>
      <c r="Q11" s="162">
        <f t="shared" si="2"/>
        <v>493.125</v>
      </c>
      <c r="R11" s="162">
        <f t="shared" si="2"/>
        <v>493.125</v>
      </c>
      <c r="S11" s="162">
        <f t="shared" si="2"/>
        <v>493.125</v>
      </c>
      <c r="T11" s="162">
        <f t="shared" si="2"/>
        <v>493.125</v>
      </c>
      <c r="U11" s="162">
        <f t="shared" si="2"/>
        <v>493.125</v>
      </c>
      <c r="V11" s="162">
        <f t="shared" si="2"/>
        <v>493.125</v>
      </c>
      <c r="W11" s="162">
        <f t="shared" si="2"/>
        <v>493.125</v>
      </c>
      <c r="X11" s="162">
        <f t="shared" si="2"/>
        <v>493.125</v>
      </c>
      <c r="Y11" s="162">
        <f t="shared" si="2"/>
        <v>493.125</v>
      </c>
      <c r="Z11" s="162">
        <f t="shared" si="2"/>
        <v>493.125</v>
      </c>
      <c r="AA11" s="162">
        <f t="shared" si="2"/>
        <v>493.125</v>
      </c>
      <c r="AB11" s="162">
        <f t="shared" si="2"/>
        <v>493.125</v>
      </c>
      <c r="AC11" s="162">
        <f t="shared" si="2"/>
        <v>493.125</v>
      </c>
      <c r="AD11" s="162">
        <f t="shared" si="2"/>
        <v>493.125</v>
      </c>
      <c r="AE11" s="162">
        <f t="shared" si="2"/>
        <v>493.125</v>
      </c>
      <c r="AF11" s="162">
        <f t="shared" si="2"/>
        <v>493.125</v>
      </c>
      <c r="AG11" s="162">
        <f t="shared" si="2"/>
        <v>493.125</v>
      </c>
      <c r="AH11" s="162">
        <f t="shared" si="2"/>
        <v>493.125</v>
      </c>
      <c r="AI11" s="162">
        <f t="shared" si="2"/>
        <v>493.125</v>
      </c>
      <c r="AJ11" s="162">
        <f t="shared" si="2"/>
        <v>493.125</v>
      </c>
      <c r="AK11" s="162">
        <f t="shared" si="2"/>
        <v>493.125</v>
      </c>
      <c r="AL11" s="162">
        <f t="shared" si="2"/>
        <v>493.125</v>
      </c>
      <c r="AM11" s="162">
        <f t="shared" si="2"/>
        <v>493.125</v>
      </c>
    </row>
    <row r="12" spans="2:39" ht="16.5" customHeight="1">
      <c r="B12" s="162" t="s">
        <v>778</v>
      </c>
      <c r="C12" s="162">
        <f t="shared" ref="C12:AM12" si="3">C10/2</f>
        <v>328.75</v>
      </c>
      <c r="D12" s="162">
        <f t="shared" si="3"/>
        <v>328.75</v>
      </c>
      <c r="E12" s="162">
        <f t="shared" si="3"/>
        <v>328.75</v>
      </c>
      <c r="F12" s="162">
        <f t="shared" si="3"/>
        <v>328.75</v>
      </c>
      <c r="G12" s="162">
        <f t="shared" si="3"/>
        <v>328.75</v>
      </c>
      <c r="H12" s="162">
        <f t="shared" si="3"/>
        <v>328.75</v>
      </c>
      <c r="I12" s="162">
        <f t="shared" si="3"/>
        <v>328.75</v>
      </c>
      <c r="J12" s="162">
        <f t="shared" si="3"/>
        <v>328.75</v>
      </c>
      <c r="K12" s="162">
        <f t="shared" si="3"/>
        <v>328.75</v>
      </c>
      <c r="L12" s="162">
        <f t="shared" si="3"/>
        <v>328.75</v>
      </c>
      <c r="M12" s="162">
        <f t="shared" si="3"/>
        <v>328.75</v>
      </c>
      <c r="N12" s="162">
        <f t="shared" si="3"/>
        <v>328.75</v>
      </c>
      <c r="O12" s="162">
        <f t="shared" si="3"/>
        <v>328.75</v>
      </c>
      <c r="P12" s="162">
        <f t="shared" si="3"/>
        <v>328.75</v>
      </c>
      <c r="Q12" s="162">
        <f t="shared" si="3"/>
        <v>328.75</v>
      </c>
      <c r="R12" s="162">
        <f t="shared" si="3"/>
        <v>328.75</v>
      </c>
      <c r="S12" s="162">
        <f t="shared" si="3"/>
        <v>328.75</v>
      </c>
      <c r="T12" s="162">
        <f t="shared" si="3"/>
        <v>328.75</v>
      </c>
      <c r="U12" s="162">
        <f t="shared" si="3"/>
        <v>328.75</v>
      </c>
      <c r="V12" s="162">
        <f t="shared" si="3"/>
        <v>328.75</v>
      </c>
      <c r="W12" s="162">
        <f t="shared" si="3"/>
        <v>328.75</v>
      </c>
      <c r="X12" s="162">
        <f t="shared" si="3"/>
        <v>328.75</v>
      </c>
      <c r="Y12" s="162">
        <f t="shared" si="3"/>
        <v>328.75</v>
      </c>
      <c r="Z12" s="162">
        <f t="shared" si="3"/>
        <v>328.75</v>
      </c>
      <c r="AA12" s="162">
        <f t="shared" si="3"/>
        <v>328.75</v>
      </c>
      <c r="AB12" s="162">
        <f t="shared" si="3"/>
        <v>328.75</v>
      </c>
      <c r="AC12" s="162">
        <f t="shared" si="3"/>
        <v>328.75</v>
      </c>
      <c r="AD12" s="162">
        <f t="shared" si="3"/>
        <v>328.75</v>
      </c>
      <c r="AE12" s="162">
        <f t="shared" si="3"/>
        <v>328.75</v>
      </c>
      <c r="AF12" s="162">
        <f t="shared" si="3"/>
        <v>328.75</v>
      </c>
      <c r="AG12" s="162">
        <f t="shared" si="3"/>
        <v>328.75</v>
      </c>
      <c r="AH12" s="162">
        <f t="shared" si="3"/>
        <v>328.75</v>
      </c>
      <c r="AI12" s="162">
        <f t="shared" si="3"/>
        <v>328.75</v>
      </c>
      <c r="AJ12" s="162">
        <f t="shared" si="3"/>
        <v>328.75</v>
      </c>
      <c r="AK12" s="162">
        <f t="shared" si="3"/>
        <v>328.75</v>
      </c>
      <c r="AL12" s="162">
        <f t="shared" si="3"/>
        <v>328.75</v>
      </c>
      <c r="AM12" s="162">
        <f t="shared" si="3"/>
        <v>328.75</v>
      </c>
    </row>
    <row r="13" spans="2:39" ht="16.5" customHeight="1">
      <c r="B13" s="162" t="s">
        <v>779</v>
      </c>
      <c r="C13" s="162">
        <f t="shared" ref="C13:AM13" si="4">C10/4</f>
        <v>164.375</v>
      </c>
      <c r="D13" s="162">
        <f t="shared" si="4"/>
        <v>164.375</v>
      </c>
      <c r="E13" s="162">
        <f t="shared" si="4"/>
        <v>164.375</v>
      </c>
      <c r="F13" s="162">
        <f t="shared" si="4"/>
        <v>164.375</v>
      </c>
      <c r="G13" s="162">
        <f t="shared" si="4"/>
        <v>164.375</v>
      </c>
      <c r="H13" s="162">
        <f t="shared" si="4"/>
        <v>164.375</v>
      </c>
      <c r="I13" s="162">
        <f t="shared" si="4"/>
        <v>164.375</v>
      </c>
      <c r="J13" s="162">
        <f t="shared" si="4"/>
        <v>164.375</v>
      </c>
      <c r="K13" s="162">
        <f t="shared" si="4"/>
        <v>164.375</v>
      </c>
      <c r="L13" s="162">
        <f t="shared" si="4"/>
        <v>164.375</v>
      </c>
      <c r="M13" s="162">
        <f t="shared" si="4"/>
        <v>164.375</v>
      </c>
      <c r="N13" s="162">
        <f t="shared" si="4"/>
        <v>164.375</v>
      </c>
      <c r="O13" s="162">
        <f t="shared" si="4"/>
        <v>164.375</v>
      </c>
      <c r="P13" s="162">
        <f t="shared" si="4"/>
        <v>164.375</v>
      </c>
      <c r="Q13" s="162">
        <f t="shared" si="4"/>
        <v>164.375</v>
      </c>
      <c r="R13" s="162">
        <f t="shared" si="4"/>
        <v>164.375</v>
      </c>
      <c r="S13" s="162">
        <f t="shared" si="4"/>
        <v>164.375</v>
      </c>
      <c r="T13" s="162">
        <f t="shared" si="4"/>
        <v>164.375</v>
      </c>
      <c r="U13" s="162">
        <f t="shared" si="4"/>
        <v>164.375</v>
      </c>
      <c r="V13" s="162">
        <f t="shared" si="4"/>
        <v>164.375</v>
      </c>
      <c r="W13" s="162">
        <f t="shared" si="4"/>
        <v>164.375</v>
      </c>
      <c r="X13" s="162">
        <f t="shared" si="4"/>
        <v>164.375</v>
      </c>
      <c r="Y13" s="162">
        <f t="shared" si="4"/>
        <v>164.375</v>
      </c>
      <c r="Z13" s="162">
        <f t="shared" si="4"/>
        <v>164.375</v>
      </c>
      <c r="AA13" s="162">
        <f t="shared" si="4"/>
        <v>164.375</v>
      </c>
      <c r="AB13" s="162">
        <f t="shared" si="4"/>
        <v>164.375</v>
      </c>
      <c r="AC13" s="162">
        <f t="shared" si="4"/>
        <v>164.375</v>
      </c>
      <c r="AD13" s="162">
        <f t="shared" si="4"/>
        <v>164.375</v>
      </c>
      <c r="AE13" s="162">
        <f t="shared" si="4"/>
        <v>164.375</v>
      </c>
      <c r="AF13" s="162">
        <f t="shared" si="4"/>
        <v>164.375</v>
      </c>
      <c r="AG13" s="162">
        <f t="shared" si="4"/>
        <v>164.375</v>
      </c>
      <c r="AH13" s="162">
        <f t="shared" si="4"/>
        <v>164.375</v>
      </c>
      <c r="AI13" s="162">
        <f t="shared" si="4"/>
        <v>164.375</v>
      </c>
      <c r="AJ13" s="162">
        <f t="shared" si="4"/>
        <v>164.375</v>
      </c>
      <c r="AK13" s="162">
        <f t="shared" si="4"/>
        <v>164.375</v>
      </c>
      <c r="AL13" s="162">
        <f t="shared" si="4"/>
        <v>164.375</v>
      </c>
      <c r="AM13" s="162">
        <f t="shared" si="4"/>
        <v>164.375</v>
      </c>
    </row>
    <row r="14" spans="2:39" ht="16.5" customHeight="1">
      <c r="B14" s="162" t="s">
        <v>894</v>
      </c>
      <c r="C14" s="162">
        <f>2*'Design Spec'!$D$98*SIN(C4)^2</f>
        <v>0</v>
      </c>
      <c r="D14" s="162">
        <f>2*'Design Spec'!$D$98*SIN(D4)^2</f>
        <v>13.459063626484866</v>
      </c>
      <c r="E14" s="162">
        <f>2*'Design Spec'!$D$98*SIN(E4)^2</f>
        <v>53.285238859698353</v>
      </c>
      <c r="F14" s="162">
        <f>2*'Design Spec'!$D$98*SIN(F4)^2</f>
        <v>117.84803740621581</v>
      </c>
      <c r="G14" s="162">
        <f>2*'Design Spec'!$D$98*SIN(G4)^2</f>
        <v>204.50425070773605</v>
      </c>
      <c r="H14" s="162">
        <f>2*'Design Spec'!$D$98*SIN(H4)^2</f>
        <v>309.70616321002217</v>
      </c>
      <c r="I14" s="162">
        <f>2*'Design Spec'!$D$98*SIN(I4)^2</f>
        <v>429.14679625453073</v>
      </c>
      <c r="J14" s="162">
        <f>2*'Design Spec'!$D$98*SIN(J4)^2</f>
        <v>557.93623629074079</v>
      </c>
      <c r="K14" s="162">
        <f>2*'Design Spec'!$D$98*SIN(K4)^2</f>
        <v>657.49999999999989</v>
      </c>
      <c r="L14" s="162">
        <f>2*'Design Spec'!$D$98*SIN(L4)^2</f>
        <v>690.80182851145344</v>
      </c>
      <c r="M14" s="162">
        <f>2*'Design Spec'!$D$98*SIN(M4)^2</f>
        <v>822.30403996010864</v>
      </c>
      <c r="N14" s="162">
        <f>2*'Design Spec'!$D$98*SIN(N4)^2</f>
        <v>947.05915464914449</v>
      </c>
      <c r="O14" s="162">
        <f>2*'Design Spec'!$D$98*SIN(O4)^2</f>
        <v>986.24999999999989</v>
      </c>
      <c r="P14" s="162">
        <f>2*'Design Spec'!$D$98*SIN(P4)^2</f>
        <v>1059.9596835250882</v>
      </c>
      <c r="Q14" s="162">
        <f>2*'Design Spec'!$D$98*SIN(Q4)^2</f>
        <v>1156.3834656705101</v>
      </c>
      <c r="R14" s="162">
        <f>2*'Design Spec'!$D$98*SIN(R4)^2</f>
        <v>1232.3829001150627</v>
      </c>
      <c r="S14" s="162">
        <f>2*'Design Spec'!$D$98*SIN(S4)^2</f>
        <v>1284.8465610830322</v>
      </c>
      <c r="T14" s="162">
        <f>2*'Design Spec'!$D$98*SIN(T4)^2</f>
        <v>1311.6265801301711</v>
      </c>
      <c r="U14" s="162">
        <f>2*'Design Spec'!$D$98*SIN(U4)^2</f>
        <v>1315</v>
      </c>
      <c r="V14" s="162">
        <f>2*'Design Spec'!$D$98*SIN(V4)^2</f>
        <v>1311.6265801301711</v>
      </c>
      <c r="W14" s="162">
        <f>2*'Design Spec'!$D$98*SIN(W4)^2</f>
        <v>1284.8465610830322</v>
      </c>
      <c r="X14" s="162">
        <f>2*'Design Spec'!$D$98*SIN(X4)^2</f>
        <v>1232.3829001150627</v>
      </c>
      <c r="Y14" s="162">
        <f>2*'Design Spec'!$D$98*SIN(Y4)^2</f>
        <v>1156.3834656705101</v>
      </c>
      <c r="Z14" s="162">
        <f>2*'Design Spec'!$D$98*SIN(Z4)^2</f>
        <v>1059.9596835250882</v>
      </c>
      <c r="AA14" s="162">
        <f>2*'Design Spec'!$D$98*SIN(AA4)^2</f>
        <v>986.25000000000011</v>
      </c>
      <c r="AB14" s="162">
        <f>2*'Design Spec'!$D$98*SIN(AB4)^2</f>
        <v>947.05915464914449</v>
      </c>
      <c r="AC14" s="162">
        <f>2*'Design Spec'!$D$98*SIN(AC4)^2</f>
        <v>822.30403996010932</v>
      </c>
      <c r="AD14" s="162">
        <f>2*'Design Spec'!$D$98*SIN(AD4)^2</f>
        <v>690.801828511454</v>
      </c>
      <c r="AE14" s="162">
        <f>2*'Design Spec'!$D$98*SIN(AE4)^2</f>
        <v>657.50000000000011</v>
      </c>
      <c r="AF14" s="162">
        <f>2*'Design Spec'!$D$98*SIN(AF4)^2</f>
        <v>557.93623629074091</v>
      </c>
      <c r="AG14" s="162">
        <f>2*'Design Spec'!$D$98*SIN(AG4)^2</f>
        <v>429.14679625453073</v>
      </c>
      <c r="AH14" s="162">
        <f>2*'Design Spec'!$D$98*SIN(AH4)^2</f>
        <v>309.70616321002217</v>
      </c>
      <c r="AI14" s="162">
        <f>2*'Design Spec'!$D$98*SIN(AI4)^2</f>
        <v>204.50425070773611</v>
      </c>
      <c r="AJ14" s="162">
        <f>2*'Design Spec'!$D$98*SIN(AJ4)^2</f>
        <v>117.84803740621588</v>
      </c>
      <c r="AK14" s="162">
        <f>2*'Design Spec'!$D$98*SIN(AK4)^2</f>
        <v>53.285238859698403</v>
      </c>
      <c r="AL14" s="162">
        <f>2*'Design Spec'!$D$98*SIN(AL4)^2</f>
        <v>13.459063626485015</v>
      </c>
      <c r="AM14" s="162">
        <f>2*'Design Spec'!$D$98*SIN(AM4)^2</f>
        <v>1.9738001885829473E-29</v>
      </c>
    </row>
    <row r="15" spans="2:39" ht="16.5" customHeight="1">
      <c r="B15" s="10" t="s">
        <v>895</v>
      </c>
      <c r="C15" s="10">
        <f t="shared" ref="C15:AM15" si="5">C14/C5</f>
        <v>0</v>
      </c>
      <c r="D15" s="10">
        <f t="shared" si="5"/>
        <v>0.53836254505939463</v>
      </c>
      <c r="E15" s="10">
        <f t="shared" si="5"/>
        <v>2.1314095543879343</v>
      </c>
      <c r="F15" s="10">
        <f t="shared" si="5"/>
        <v>4.7139214962486324</v>
      </c>
      <c r="G15" s="10">
        <f t="shared" si="5"/>
        <v>8.1801700283094423</v>
      </c>
      <c r="H15" s="10">
        <f t="shared" si="5"/>
        <v>12.388246528400886</v>
      </c>
      <c r="I15" s="10">
        <f t="shared" si="5"/>
        <v>17.16587185018123</v>
      </c>
      <c r="J15" s="10">
        <f t="shared" si="5"/>
        <v>22.317449451629631</v>
      </c>
      <c r="K15" s="10">
        <f t="shared" si="5"/>
        <v>26.299999999999997</v>
      </c>
      <c r="L15" s="10">
        <f t="shared" si="5"/>
        <v>27.632073140458136</v>
      </c>
      <c r="M15" s="10">
        <f t="shared" si="5"/>
        <v>32.892161598404343</v>
      </c>
      <c r="N15" s="10">
        <f t="shared" si="5"/>
        <v>37.882366185965779</v>
      </c>
      <c r="O15" s="10">
        <f t="shared" si="5"/>
        <v>39.449999999999996</v>
      </c>
      <c r="P15" s="10">
        <f t="shared" si="5"/>
        <v>42.398387341003527</v>
      </c>
      <c r="Q15" s="10">
        <f t="shared" si="5"/>
        <v>46.255338626820404</v>
      </c>
      <c r="R15" s="10">
        <f t="shared" si="5"/>
        <v>49.295316004602512</v>
      </c>
      <c r="S15" s="10">
        <f t="shared" si="5"/>
        <v>51.393862443321289</v>
      </c>
      <c r="T15" s="10">
        <f t="shared" si="5"/>
        <v>52.465063205206846</v>
      </c>
      <c r="U15" s="10">
        <f t="shared" si="5"/>
        <v>52.6</v>
      </c>
      <c r="V15" s="10">
        <f t="shared" si="5"/>
        <v>52.465063205206846</v>
      </c>
      <c r="W15" s="10">
        <f t="shared" si="5"/>
        <v>51.393862443321289</v>
      </c>
      <c r="X15" s="10">
        <f t="shared" si="5"/>
        <v>49.295316004602512</v>
      </c>
      <c r="Y15" s="10">
        <f t="shared" si="5"/>
        <v>46.255338626820404</v>
      </c>
      <c r="Z15" s="10">
        <f t="shared" si="5"/>
        <v>42.398387341003527</v>
      </c>
      <c r="AA15" s="10">
        <f t="shared" si="5"/>
        <v>39.450000000000003</v>
      </c>
      <c r="AB15" s="10">
        <f t="shared" si="5"/>
        <v>37.882366185965779</v>
      </c>
      <c r="AC15" s="10">
        <f t="shared" si="5"/>
        <v>32.892161598404371</v>
      </c>
      <c r="AD15" s="10">
        <f t="shared" si="5"/>
        <v>27.632073140458161</v>
      </c>
      <c r="AE15" s="10">
        <f t="shared" si="5"/>
        <v>26.300000000000004</v>
      </c>
      <c r="AF15" s="10">
        <f t="shared" si="5"/>
        <v>22.317449451629635</v>
      </c>
      <c r="AG15" s="10">
        <f t="shared" si="5"/>
        <v>17.16587185018123</v>
      </c>
      <c r="AH15" s="10">
        <f t="shared" si="5"/>
        <v>12.388246528400886</v>
      </c>
      <c r="AI15" s="10">
        <f t="shared" si="5"/>
        <v>8.1801700283094441</v>
      </c>
      <c r="AJ15" s="10">
        <f t="shared" si="5"/>
        <v>4.7139214962486351</v>
      </c>
      <c r="AK15" s="10">
        <f t="shared" si="5"/>
        <v>2.1314095543879361</v>
      </c>
      <c r="AL15" s="10">
        <f t="shared" si="5"/>
        <v>0.53836254505940062</v>
      </c>
      <c r="AM15" s="10">
        <f t="shared" si="5"/>
        <v>7.8952007543317891E-31</v>
      </c>
    </row>
    <row r="16" spans="2:39" ht="16.5" customHeight="1">
      <c r="C16" s="87"/>
      <c r="D16" s="87"/>
      <c r="E16" s="87"/>
      <c r="F16" s="87"/>
      <c r="G16" s="87"/>
      <c r="H16" s="87"/>
      <c r="I16" s="87"/>
      <c r="J16" s="87"/>
      <c r="K16" s="87"/>
      <c r="L16" s="87"/>
      <c r="M16" s="87"/>
      <c r="N16" s="87"/>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row>
    <row r="17" spans="2:39" ht="16.5" customHeight="1">
      <c r="B17" s="10" t="s">
        <v>149</v>
      </c>
      <c r="C17" s="10">
        <f>'Design Spec'!$D$95</f>
        <v>25</v>
      </c>
      <c r="D17" s="87"/>
      <c r="E17" s="87"/>
      <c r="F17" s="87"/>
      <c r="G17" s="87"/>
      <c r="H17" s="87"/>
      <c r="I17" s="87"/>
      <c r="J17" s="87"/>
      <c r="K17" s="87"/>
      <c r="L17" s="87"/>
      <c r="M17" s="87"/>
      <c r="N17" s="87"/>
      <c r="O17" s="87"/>
      <c r="P17" s="87"/>
      <c r="Q17" s="87"/>
      <c r="R17" s="87"/>
      <c r="S17" s="87"/>
      <c r="T17" s="87"/>
      <c r="U17" s="87"/>
      <c r="V17" s="87"/>
      <c r="W17" s="87"/>
      <c r="X17" s="87"/>
      <c r="Y17" s="87"/>
      <c r="Z17" s="87"/>
      <c r="AA17" s="87"/>
      <c r="AB17" s="87"/>
      <c r="AC17" s="87"/>
      <c r="AD17" s="87"/>
      <c r="AE17" s="87"/>
      <c r="AF17" s="87"/>
      <c r="AG17" s="87"/>
      <c r="AH17" s="87"/>
      <c r="AI17" s="87"/>
      <c r="AJ17" s="87"/>
      <c r="AK17" s="87"/>
      <c r="AL17" s="87"/>
      <c r="AM17" s="87"/>
    </row>
    <row r="18" spans="2:39" ht="16.5" customHeight="1">
      <c r="B18" s="10" t="s">
        <v>268</v>
      </c>
      <c r="C18" s="10">
        <f>IF('Res. Tank Design'!$F$9,'Res. Tank Design'!$F$9,'Res. Tank Design'!$D$9)</f>
        <v>7.4527000000000001</v>
      </c>
      <c r="D18" s="87"/>
      <c r="E18" s="87"/>
      <c r="F18" s="87"/>
      <c r="G18" s="87"/>
      <c r="H18" s="87"/>
      <c r="I18" s="87"/>
      <c r="J18" s="87"/>
      <c r="K18" s="87"/>
      <c r="L18" s="87"/>
      <c r="M18" s="87"/>
      <c r="N18" s="87"/>
      <c r="O18" s="87"/>
      <c r="P18" s="87"/>
      <c r="Q18" s="87"/>
      <c r="R18" s="87"/>
      <c r="S18" s="87"/>
      <c r="T18" s="87"/>
      <c r="U18" s="87"/>
      <c r="V18" s="87"/>
      <c r="W18" s="87"/>
      <c r="X18" s="87"/>
      <c r="Y18" s="87"/>
      <c r="Z18" s="87"/>
      <c r="AA18" s="87"/>
      <c r="AB18" s="87"/>
      <c r="AC18" s="87"/>
      <c r="AD18" s="87"/>
      <c r="AE18" s="87"/>
      <c r="AF18" s="87"/>
      <c r="AG18" s="87"/>
      <c r="AH18" s="87"/>
      <c r="AI18" s="87"/>
      <c r="AJ18" s="87"/>
      <c r="AK18" s="87"/>
      <c r="AL18" s="87"/>
      <c r="AM18" s="87"/>
    </row>
    <row r="19" spans="2:39" ht="16.5" customHeight="1">
      <c r="C19" s="87"/>
    </row>
    <row r="20" spans="2:39" ht="16.5" customHeight="1">
      <c r="B20" s="10" t="s">
        <v>896</v>
      </c>
      <c r="C20" s="10" t="s">
        <v>889</v>
      </c>
      <c r="D20" s="10" t="s">
        <v>890</v>
      </c>
      <c r="E20" s="10" t="s">
        <v>891</v>
      </c>
      <c r="F20" s="10" t="s">
        <v>1032</v>
      </c>
      <c r="G20" s="10" t="s">
        <v>1033</v>
      </c>
      <c r="H20" s="10" t="s">
        <v>1034</v>
      </c>
      <c r="I20" s="10" t="s">
        <v>1068</v>
      </c>
      <c r="J20" s="10" t="s">
        <v>1183</v>
      </c>
    </row>
    <row r="21" spans="2:39" ht="16.5" customHeight="1">
      <c r="B21" s="10" t="s">
        <v>897</v>
      </c>
      <c r="C21" s="87">
        <f>RTC!BC152</f>
        <v>100.52167813387345</v>
      </c>
      <c r="D21" s="87">
        <f>RTC!BC151</f>
        <v>104.5199567275929</v>
      </c>
      <c r="E21" s="87">
        <f>RTC!BC149</f>
        <v>108.48073501066828</v>
      </c>
      <c r="F21" s="87">
        <f>RTC!BC150</f>
        <v>107.38597802274474</v>
      </c>
      <c r="G21" s="87">
        <f>RTC!BC153</f>
        <v>95.715550449476737</v>
      </c>
      <c r="H21" s="87">
        <f>RTC!BC154</f>
        <v>90.3794202858966</v>
      </c>
    </row>
    <row r="22" spans="2:39" ht="16.5" customHeight="1">
      <c r="B22" s="10" t="s">
        <v>898</v>
      </c>
      <c r="C22" s="87">
        <f>'Res. Tank Design'!$D$55</f>
        <v>151.7482841316334</v>
      </c>
      <c r="D22" s="87">
        <f>'Res. Tank Design'!$D$55</f>
        <v>151.7482841316334</v>
      </c>
      <c r="E22" s="87">
        <f>'Res. Tank Design'!$D$55</f>
        <v>151.7482841316334</v>
      </c>
      <c r="F22" s="87">
        <f>'Res. Tank Design'!$D$55</f>
        <v>151.7482841316334</v>
      </c>
      <c r="G22" s="87">
        <f>'Res. Tank Design'!$D$55</f>
        <v>151.7482841316334</v>
      </c>
      <c r="H22" s="87">
        <f>'Res. Tank Design'!$D$55</f>
        <v>151.7482841316334</v>
      </c>
    </row>
    <row r="23" spans="2:39" ht="16.5" customHeight="1">
      <c r="B23" s="10" t="s">
        <v>895</v>
      </c>
      <c r="C23" s="87">
        <f>2*'Design Spec'!$D$98/'Design Spec'!$D$95*SIN(PI()/4)^2</f>
        <v>26.299999999999994</v>
      </c>
      <c r="D23" s="87">
        <f>2*'Design Spec'!$D$98/'Design Spec'!$D$95*SIN(PI()/3)^2</f>
        <v>39.449999999999996</v>
      </c>
      <c r="E23" s="87">
        <f>2*'Design Spec'!$D$98/'Design Spec'!$D$95*SIN(PI()/2)^2</f>
        <v>52.6</v>
      </c>
      <c r="F23" s="87">
        <f>2*'Design Spec'!$D$98/'Design Spec'!$D$95*SIN(5*PI()/12)^2</f>
        <v>49.076468119530745</v>
      </c>
      <c r="G23" s="87">
        <f>2*'Design Spec'!$D$98/'Design Spec'!$D$95*SIN(PI()/6)^2</f>
        <v>13.149999999999997</v>
      </c>
      <c r="H23" s="87">
        <f>2*'Design Spec'!$D$98/'Design Spec'!$D$95*SIN(PI()/12)^2</f>
        <v>3.523531880469263</v>
      </c>
      <c r="K23" s="87"/>
      <c r="L23" s="87"/>
      <c r="M23" s="87"/>
      <c r="N23" s="87"/>
      <c r="O23" s="87"/>
      <c r="P23" s="87"/>
      <c r="Q23" s="87"/>
    </row>
    <row r="24" spans="2:39" ht="16.5" customHeight="1">
      <c r="B24" s="10" t="s">
        <v>899</v>
      </c>
      <c r="C24" s="10">
        <f t="shared" ref="C24:H24" si="6">PI()*(C22/C21)*C23*(1-COS(PI()*C22/IF(C21&lt;C22,C22,C21)))^(-1)</f>
        <v>62.364821605353349</v>
      </c>
      <c r="D24" s="10">
        <f t="shared" si="6"/>
        <v>89.968701488680921</v>
      </c>
      <c r="E24" s="10">
        <f t="shared" si="6"/>
        <v>115.57843009956112</v>
      </c>
      <c r="F24" s="10">
        <f t="shared" si="6"/>
        <v>108.93548959056299</v>
      </c>
      <c r="G24" s="10">
        <f t="shared" si="6"/>
        <v>32.748161060823939</v>
      </c>
      <c r="H24" s="10">
        <f t="shared" si="6"/>
        <v>9.2929226017780202</v>
      </c>
      <c r="K24" s="87"/>
      <c r="L24" s="87"/>
      <c r="M24" s="87"/>
      <c r="N24" s="87"/>
      <c r="O24" s="87"/>
      <c r="P24" s="87"/>
      <c r="Q24" s="87"/>
    </row>
    <row r="25" spans="2:39" ht="16.5" customHeight="1">
      <c r="B25" s="10" t="s">
        <v>900</v>
      </c>
      <c r="C25" s="193">
        <f>IF('Design Spec'!$D$107=1,C24*SQRT(MIN(C21,C22)/C22/4*(1-SIN(2*PI()*C22/MAX(C21,C22))/(2*PI()*C22/MAX(C21,C22)))),C24*SQRT(MIN(C21,C22)/C22/2*(1-SIN(2*PI()*C22/MAX(C21,C22))/(2*PI()*C22/MAX(C21,C22)))))</f>
        <v>25.379184285459615</v>
      </c>
      <c r="D25" s="10">
        <f>IF('Design Spec'!$D$107=1,D24*SQRT(MIN(D21,D22)/D22/4*(1-SIN(2*PI()*D22/MAX(D21,D22))/(2*PI()*D22/MAX(D21,D22)))),D24*SQRT(MIN(D21,D22)/D22/2*(1-SIN(2*PI()*D22/MAX(D21,D22))/(2*PI()*D22/MAX(D21,D22)))))</f>
        <v>37.333540063839884</v>
      </c>
      <c r="E25" s="10">
        <f>IF('Design Spec'!$D$107=1,E24*SQRT(MIN(E21,E22)/E22/4*(1-SIN(2*PI()*E22/MAX(E21,E22))/(2*PI()*E22/MAX(E21,E22)))),E24*SQRT(MIN(E21,E22)/E22/2*(1-SIN(2*PI()*E22/MAX(E21,E22))/(2*PI()*E22/MAX(E21,E22)))))</f>
        <v>48.860871676229991</v>
      </c>
      <c r="F25" s="193">
        <f>IF('Design Spec'!$D$107=1,F24*SQRT(MIN(F21,F22)/F22/4*(1-SIN(2*PI()*F22/MAX(F21,F22))/(2*PI()*F22/MAX(F21,F22)))),F24*SQRT(MIN(F21,F22)/F22/2*(1-SIN(2*PI()*F22/MAX(F21,F22))/(2*PI()*F22/MAX(F21,F22)))))</f>
        <v>45.819599399147698</v>
      </c>
      <c r="G25" s="193">
        <f>IF('Design Spec'!$D$107=1,G24*SQRT(MIN(G21,G22)/G22/4*(1-SIN(2*PI()*G22/MAX(G21,G22))/(2*PI()*G22/MAX(G21,G22)))),G24*SQRT(MIN(G21,G22)/G22/2*(1-SIN(2*PI()*G22/MAX(G21,G22))/(2*PI()*G22/MAX(G21,G22)))))</f>
        <v>13.004278988209354</v>
      </c>
      <c r="H25" s="193">
        <f>IF('Design Spec'!$D$107=1,H24*SQRT(MIN(H21,H22)/H22/4*(1-SIN(2*PI()*H22/MAX(H21,H22))/(2*PI()*H22/MAX(H21,H22)))),H24*SQRT(MIN(H21,H22)/H22/2*(1-SIN(2*PI()*H22/MAX(H21,H22))/(2*PI()*H22/MAX(H21,H22)))))</f>
        <v>3.5858754879666574</v>
      </c>
      <c r="J25" s="193">
        <f>SQRT((4*H25^2+2*G25^2+4*C25^2+2*D25^2+4*F25^2+1*E25^2)/18)</f>
        <v>30.312064430593054</v>
      </c>
      <c r="K25" s="87"/>
      <c r="L25" s="87"/>
      <c r="M25" s="87"/>
      <c r="N25" s="87"/>
      <c r="O25" s="87"/>
      <c r="P25" s="87"/>
      <c r="Q25" s="87"/>
    </row>
    <row r="26" spans="2:39" ht="16.5" customHeight="1">
      <c r="B26" s="10" t="s">
        <v>901</v>
      </c>
      <c r="C26" s="193">
        <f>IF('Design Spec'!$D$107=1,C25,C25/SQRT(2))</f>
        <v>25.379184285459615</v>
      </c>
      <c r="D26" s="10">
        <f>IF('Design Spec'!$D$107=1,D25,D25/SQRT(2))</f>
        <v>37.333540063839884</v>
      </c>
      <c r="E26" s="10">
        <f>IF('Design Spec'!$D$107=1,E25,E25/SQRT(2))</f>
        <v>48.860871676229991</v>
      </c>
      <c r="F26" s="193">
        <f>IF('Design Spec'!$D$107=1,F25,F25/SQRT(2))</f>
        <v>45.819599399147698</v>
      </c>
      <c r="G26" s="193">
        <f>IF('Design Spec'!$D$107=1,G25,G25/SQRT(2))</f>
        <v>13.004278988209354</v>
      </c>
      <c r="H26" s="193">
        <f>IF('Design Spec'!$D$107=1,H25,H25/SQRT(2))</f>
        <v>3.5858754879666574</v>
      </c>
      <c r="J26" s="193">
        <f>SQRT((4*H26^2+2*G26^2+4*C26^2+2*D26^2+4*F26^2+1*E26^2)/18)</f>
        <v>30.312064430593054</v>
      </c>
    </row>
    <row r="27" spans="2:39" ht="16.5" customHeight="1">
      <c r="B27" s="10" t="s">
        <v>902</v>
      </c>
      <c r="C27" s="10">
        <f t="shared" ref="C27:H27" si="7">C24/$C$18</f>
        <v>8.368084265481416</v>
      </c>
      <c r="D27" s="10">
        <f t="shared" si="7"/>
        <v>12.071960697288354</v>
      </c>
      <c r="E27" s="10">
        <f t="shared" si="7"/>
        <v>15.508262790607581</v>
      </c>
      <c r="F27" s="10">
        <f t="shared" si="7"/>
        <v>14.616915962075891</v>
      </c>
      <c r="G27" s="10">
        <f t="shared" si="7"/>
        <v>4.3941338120176496</v>
      </c>
      <c r="H27" s="10">
        <f t="shared" si="7"/>
        <v>1.2469202573266092</v>
      </c>
    </row>
    <row r="28" spans="2:39" ht="16.5" customHeight="1">
      <c r="B28" s="10" t="s">
        <v>903</v>
      </c>
      <c r="C28" s="10">
        <f>0.5*(0.5*$C$17*$C$18)/(IF('Res. Tank Design'!$F$45,'Res. Tank Design'!$F$45,'Res. Tank Design'!$D$45)*IF(C21&lt;C22,C22,C21))*1000</f>
        <v>12.789649008374431</v>
      </c>
      <c r="D28" s="10">
        <f>0.5*(0.5*$C$17*$C$18)/(IF('Res. Tank Design'!$F$45,'Res. Tank Design'!$F$45,'Res. Tank Design'!$D$45)*IF(D21&lt;D22,D22,D21))*1000</f>
        <v>12.789649008374431</v>
      </c>
      <c r="E28" s="10">
        <f>0.5*(0.5*$C$17*$C$18)/(IF('Res. Tank Design'!$F$45,'Res. Tank Design'!$F$45,'Res. Tank Design'!$D$45)*IF(E21&lt;E22,E22,E21))*1000</f>
        <v>12.789649008374431</v>
      </c>
      <c r="F28" s="10">
        <f>0.5*(0.5*$C$17*$C$18)/(IF('Res. Tank Design'!$F$45,'Res. Tank Design'!$F$45,'Res. Tank Design'!$D$45)*IF(F21&lt;F22,F22,F21))*1000</f>
        <v>12.789649008374431</v>
      </c>
      <c r="G28" s="10">
        <f>0.5*(0.5*$C$17*$C$18)/(IF('Res. Tank Design'!$F$45,'Res. Tank Design'!$F$45,'Res. Tank Design'!$D$45)*IF(G21&lt;G22,G22,G21))*1000</f>
        <v>12.789649008374431</v>
      </c>
      <c r="H28" s="10">
        <f>0.5*(0.5*$C$17*$C$18)/(IF('Res. Tank Design'!$F$45,'Res. Tank Design'!$F$45,'Res. Tank Design'!$D$45)*IF(H21&lt;H22,H22,H21))*1000</f>
        <v>12.789649008374431</v>
      </c>
      <c r="I28" s="10">
        <f>0.5*(0.5*$C$17*$C$18)/(IF('Res. Tank Design'!$F$45,'Res. Tank Design'!$F$45,'Res. Tank Design'!$D$45)*C22)*1000</f>
        <v>12.789649008374431</v>
      </c>
    </row>
    <row r="29" spans="2:39" ht="16.5" customHeight="1">
      <c r="B29" s="10" t="s">
        <v>904</v>
      </c>
      <c r="C29" s="193">
        <f t="shared" ref="C29:H29" si="8">SQRT(C27^2/2+C28^2/3+(C28*C21*(1/C21-1/C22))^2)</f>
        <v>10.400870088799465</v>
      </c>
      <c r="D29" s="10">
        <f t="shared" si="8"/>
        <v>11.968104356532455</v>
      </c>
      <c r="E29" s="10">
        <f t="shared" si="8"/>
        <v>13.714094610539002</v>
      </c>
      <c r="F29" s="193">
        <f t="shared" si="8"/>
        <v>13.241293680921578</v>
      </c>
      <c r="G29" s="193">
        <f t="shared" si="8"/>
        <v>9.2995555608078391</v>
      </c>
      <c r="H29" s="193">
        <f t="shared" si="8"/>
        <v>9.0584234856259993</v>
      </c>
      <c r="I29" s="193">
        <f>SQRT(I28^2/3+(I28*(1-'Res. Tank Design'!$D$54))^2)</f>
        <v>9.2792867861762751</v>
      </c>
      <c r="J29" s="193">
        <f>SQRT((1*I29^2+4*H29^2+2*G29^2+4*C29^2+2*D29^2+4*F29^2+1*E29^2)/18)</f>
        <v>11.045049261133238</v>
      </c>
    </row>
    <row r="30" spans="2:39" ht="16.5" customHeight="1">
      <c r="B30" s="10" t="s">
        <v>905</v>
      </c>
      <c r="C30" s="193">
        <f t="shared" ref="C30:H30" si="9">C29/SQRT(2)</f>
        <v>7.3545257700304303</v>
      </c>
      <c r="D30" s="10">
        <f t="shared" si="9"/>
        <v>8.4627277484523606</v>
      </c>
      <c r="E30" s="10">
        <f t="shared" si="9"/>
        <v>9.6973292969460125</v>
      </c>
      <c r="F30" s="193">
        <f t="shared" si="9"/>
        <v>9.3630085534622278</v>
      </c>
      <c r="G30" s="193">
        <f t="shared" si="9"/>
        <v>6.5757787990682894</v>
      </c>
      <c r="H30" s="193">
        <f t="shared" si="9"/>
        <v>6.4052726735456265</v>
      </c>
      <c r="J30" s="193">
        <f>J29/SQRT(2)</f>
        <v>7.8100292310867783</v>
      </c>
    </row>
    <row r="31" spans="2:39" ht="16.5" customHeight="1">
      <c r="B31" s="10" t="s">
        <v>906</v>
      </c>
      <c r="C31" s="193">
        <f t="shared" ref="C31:H31" si="10">SQRT(0.5*MIN(C21,C22)/C22*(1-SIN(2*PI()*C22/MAX(C21,C22))/(2*PI()*C22/MAX(C21,C22)))*(C24^2)-C23^2+C15^2/2)</f>
        <v>24.423676831931772</v>
      </c>
      <c r="D31" s="10">
        <f t="shared" si="10"/>
        <v>35.091720455281724</v>
      </c>
      <c r="E31" s="10">
        <f t="shared" si="10"/>
        <v>44.836157454294579</v>
      </c>
      <c r="F31" s="193">
        <f t="shared" si="10"/>
        <v>42.443870971505795</v>
      </c>
      <c r="G31" s="193">
        <f t="shared" si="10"/>
        <v>14.098142957581068</v>
      </c>
      <c r="H31" s="193">
        <f t="shared" si="10"/>
        <v>9.4887330630561681</v>
      </c>
      <c r="J31" s="193">
        <f>SQRT((4*H32+2*G32+4*C32+2*D32+4*F32+1*E32)/18-('Design Spec'!$D$98/'Design Spec'!$D$95)^2)</f>
        <v>33.851920183186792</v>
      </c>
    </row>
    <row r="32" spans="2:39">
      <c r="B32" s="10" t="s">
        <v>1184</v>
      </c>
      <c r="C32" s="193">
        <f t="shared" ref="C32:H32" si="11">0.5*MIN(C21,C22)/C22*(1-SIN(2*PI()*C22/MAX(C21,C22))/(2*PI()*C22/MAX(C21,C22)))*(C24^2)</f>
        <v>1288.2059899906405</v>
      </c>
      <c r="D32" s="193">
        <f t="shared" si="11"/>
        <v>2787.5864273966758</v>
      </c>
      <c r="E32" s="193">
        <f t="shared" si="11"/>
        <v>4774.7695619220276</v>
      </c>
      <c r="F32" s="193">
        <f t="shared" si="11"/>
        <v>4198.8713781967526</v>
      </c>
      <c r="G32" s="193">
        <f t="shared" si="11"/>
        <v>338.22254400636655</v>
      </c>
      <c r="H32" s="193">
        <f t="shared" si="11"/>
        <v>25.717006030400231</v>
      </c>
    </row>
    <row r="33" spans="2:5" ht="16.5" customHeight="1">
      <c r="B33" s="10" t="s">
        <v>907</v>
      </c>
      <c r="C33" s="10" t="s">
        <v>889</v>
      </c>
      <c r="D33" s="10" t="s">
        <v>890</v>
      </c>
      <c r="E33" s="10" t="s">
        <v>891</v>
      </c>
    </row>
    <row r="34" spans="2:5" ht="16.5" customHeight="1">
      <c r="B34" s="10" t="s">
        <v>897</v>
      </c>
      <c r="C34" s="87">
        <f>RTC!BC200</f>
        <v>136.30295600670789</v>
      </c>
      <c r="D34" s="10">
        <f>RTC!BC199</f>
        <v>169.10768602606672</v>
      </c>
      <c r="E34" s="10">
        <f>RTC!BC197</f>
        <v>209.49207052165292</v>
      </c>
    </row>
    <row r="35" spans="2:5" ht="16.5" customHeight="1">
      <c r="B35" s="10" t="s">
        <v>898</v>
      </c>
      <c r="C35" s="87">
        <f>'Res. Tank Design'!$D$55</f>
        <v>151.7482841316334</v>
      </c>
      <c r="D35" s="87">
        <f>'Res. Tank Design'!$D$55</f>
        <v>151.7482841316334</v>
      </c>
      <c r="E35" s="87">
        <f>'Res. Tank Design'!$D$55</f>
        <v>151.7482841316334</v>
      </c>
    </row>
    <row r="36" spans="2:5" ht="16.5" customHeight="1">
      <c r="B36" s="10" t="s">
        <v>895</v>
      </c>
      <c r="C36" s="87">
        <f>2*'Design Spec'!$D$98/'Design Spec'!$D$95*SIN(PI()/4)^2</f>
        <v>26.299999999999994</v>
      </c>
      <c r="D36" s="10">
        <f>2*'Design Spec'!$D$98/'Design Spec'!$D$95*SIN(PI()/3)^2</f>
        <v>39.449999999999996</v>
      </c>
      <c r="E36" s="10">
        <f>2*'Design Spec'!$D$98/'Design Spec'!$D$95*SIN(PI()/2)^2</f>
        <v>52.6</v>
      </c>
    </row>
    <row r="37" spans="2:5" ht="16.5" customHeight="1">
      <c r="B37" s="10" t="s">
        <v>899</v>
      </c>
      <c r="C37" s="10">
        <f>PI()*(C35/C34)*C36*(1-COS(PI()*C35/IF(C34&lt;C35,C35,C34)))^(-1)</f>
        <v>45.993254350120253</v>
      </c>
      <c r="D37" s="10">
        <f>PI()*(D35/D34)*D36*(1-COS(PI()*D35/IF(D34&lt;D35,D35,D34)))^(-1)</f>
        <v>57.077967220459414</v>
      </c>
      <c r="E37" s="10">
        <f>PI()*(E35/E34)*E36*(1-COS(PI()*E35/IF(E34&lt;E35,E35,E34)))^(-1)</f>
        <v>72.63641960193867</v>
      </c>
    </row>
    <row r="38" spans="2:5" ht="16.5" customHeight="1">
      <c r="B38" s="10" t="s">
        <v>900</v>
      </c>
      <c r="C38" s="193">
        <f>IF('Design Spec'!$D$107=1,C37/2,C37/SQRT(2))</f>
        <v>22.996627175060127</v>
      </c>
      <c r="D38" s="10">
        <f>IF('Design Spec'!$D$107=1,D37/2,D37/SQRT(2))</f>
        <v>28.538983610229707</v>
      </c>
      <c r="E38" s="10">
        <f>IF('Design Spec'!$D$107=1,E37/2,E37/SQRT(2))</f>
        <v>36.318209800969335</v>
      </c>
    </row>
    <row r="39" spans="2:5" ht="16.5" customHeight="1">
      <c r="B39" s="10" t="s">
        <v>901</v>
      </c>
      <c r="C39" s="193">
        <f>IF('Design Spec'!$D$107=1,C38,C38/SQRT(2))</f>
        <v>22.996627175060127</v>
      </c>
      <c r="D39" s="10">
        <f>IF('Design Spec'!$D$107=1,D38,D38/SQRT(2))</f>
        <v>28.538983610229707</v>
      </c>
      <c r="E39" s="10">
        <f>IF('Design Spec'!$D$107=1,E38,E38/SQRT(2))</f>
        <v>36.318209800969335</v>
      </c>
    </row>
    <row r="40" spans="2:5" ht="16.5" customHeight="1">
      <c r="B40" s="10" t="s">
        <v>902</v>
      </c>
      <c r="C40" s="10">
        <f>C37/$C$18</f>
        <v>6.1713545896279536</v>
      </c>
      <c r="D40" s="10">
        <f>D37/$C$18</f>
        <v>7.6586964751646267</v>
      </c>
      <c r="E40" s="10">
        <f>E37/$C$18</f>
        <v>9.7463227557715548</v>
      </c>
    </row>
    <row r="41" spans="2:5" ht="16.5" customHeight="1">
      <c r="B41" s="10" t="s">
        <v>903</v>
      </c>
      <c r="C41" s="10">
        <f>0.5*(0.5*$C$17*$C$18)/(IF('Res. Tank Design'!$F$45,'Res. Tank Design'!$F$45,'Res. Tank Design'!$D$45)*IF(C34&lt;C35,C35,C34))*1000</f>
        <v>12.789649008374431</v>
      </c>
      <c r="D41" s="10">
        <f>0.5*(0.5*$C$17*$C$18)/(IF('Res. Tank Design'!$F$45,'Res. Tank Design'!$F$45,'Res. Tank Design'!$D$45)*IF(D34&lt;D35,D35,D34))*1000</f>
        <v>11.476753879581235</v>
      </c>
      <c r="E41" s="10">
        <f>0.5*(0.5*$C$17*$C$18)/(IF('Res. Tank Design'!$F$45,'Res. Tank Design'!$F$45,'Res. Tank Design'!$D$45)*IF(E34&lt;E35,E35,E34))*1000</f>
        <v>9.2643472702040377</v>
      </c>
    </row>
    <row r="42" spans="2:5" ht="16.5" customHeight="1">
      <c r="B42" s="10" t="s">
        <v>904</v>
      </c>
      <c r="C42" s="193">
        <f>SQRT(C40^2/2+C41^2/3+(C41*C34*(1/C34-1/C35))^2)</f>
        <v>8.6753925928562889</v>
      </c>
      <c r="D42" s="10">
        <f>SQRT(D40^2/2+D41^2/3+(D41*D34*(1/D34-1/D35))^2)</f>
        <v>8.6577596797739442</v>
      </c>
      <c r="E42" s="10">
        <f>SQRT(E40^2/2+E41^2/3+(E41*E34*(1/E34-1/E35))^2)</f>
        <v>9.4091727987087914</v>
      </c>
    </row>
    <row r="43" spans="2:5" ht="16.5" customHeight="1">
      <c r="B43" s="10" t="s">
        <v>905</v>
      </c>
      <c r="C43" s="193">
        <f>C42/SQRT(2)</f>
        <v>6.1344289318642264</v>
      </c>
      <c r="D43" s="10">
        <f>D42/SQRT(2)</f>
        <v>6.1219605794516276</v>
      </c>
      <c r="E43" s="10">
        <f>E42/SQRT(2)</f>
        <v>6.6532898913229923</v>
      </c>
    </row>
    <row r="44" spans="2:5" ht="16.5" customHeight="1">
      <c r="B44" s="10" t="s">
        <v>906</v>
      </c>
      <c r="C44" s="193">
        <f>SQRT(0.5*IF(C34&gt;C35,C35,C34)/C35*(C37^2)-C36^2)</f>
        <v>16.073125400034581</v>
      </c>
    </row>
    <row r="46" spans="2:5" ht="16.5" customHeight="1">
      <c r="B46" s="10" t="s">
        <v>908</v>
      </c>
      <c r="C46" s="10" t="s">
        <v>889</v>
      </c>
      <c r="D46" s="10" t="s">
        <v>890</v>
      </c>
      <c r="E46" s="10" t="s">
        <v>891</v>
      </c>
    </row>
    <row r="47" spans="2:5" ht="16.5" customHeight="1">
      <c r="B47" s="10" t="s">
        <v>897</v>
      </c>
      <c r="C47" s="87">
        <f>RTC!BC176</f>
        <v>109.6647071786537</v>
      </c>
      <c r="D47" s="10">
        <f>RTC!BC175</f>
        <v>119.29396947335819</v>
      </c>
      <c r="E47" s="10">
        <f>RTC!BC173</f>
        <v>130.71975083013285</v>
      </c>
    </row>
    <row r="48" spans="2:5" ht="16.5" customHeight="1">
      <c r="B48" s="10" t="s">
        <v>898</v>
      </c>
      <c r="C48" s="87">
        <f>'Res. Tank Design'!$D$55</f>
        <v>151.7482841316334</v>
      </c>
      <c r="D48" s="87">
        <f>'Res. Tank Design'!$D$55</f>
        <v>151.7482841316334</v>
      </c>
      <c r="E48" s="87">
        <f>'Res. Tank Design'!$D$55</f>
        <v>151.7482841316334</v>
      </c>
    </row>
    <row r="49" spans="2:5" ht="16.5" customHeight="1">
      <c r="B49" s="10" t="s">
        <v>895</v>
      </c>
      <c r="C49" s="87">
        <f>2*'Design Spec'!$D$98/'Design Spec'!$D$95*SIN(PI()/4)^2</f>
        <v>26.299999999999994</v>
      </c>
      <c r="D49" s="10">
        <f>2*'Design Spec'!$D$98/'Design Spec'!$D$95*SIN(PI()/3)^2</f>
        <v>39.449999999999996</v>
      </c>
      <c r="E49" s="10">
        <f>2*'Design Spec'!$D$98/'Design Spec'!$D$95*SIN(PI()/2)^2</f>
        <v>52.6</v>
      </c>
    </row>
    <row r="50" spans="2:5" ht="16.5" customHeight="1">
      <c r="B50" s="10" t="s">
        <v>899</v>
      </c>
      <c r="C50" s="10">
        <f>PI()*(C48/C47)*C49*(1-COS(PI()*C48/IF(C47&lt;C48,C48,C47)))^(-1)</f>
        <v>57.165305826941875</v>
      </c>
      <c r="D50" s="10">
        <f>PI()*(D48/D47)*D49*(1-COS(PI()*D48/IF(D47&lt;D48,D48,D47)))^(-1)</f>
        <v>78.826489117161387</v>
      </c>
      <c r="E50" s="10">
        <f>PI()*(E48/E47)*E49*(1-COS(PI()*E48/IF(E47&lt;E48,E48,E47)))^(-1)</f>
        <v>95.915368327716649</v>
      </c>
    </row>
    <row r="51" spans="2:5" ht="16.5" customHeight="1">
      <c r="B51" s="10" t="s">
        <v>900</v>
      </c>
      <c r="C51" s="193">
        <f>IF('Design Spec'!$D$107=1,C50/2,C50/SQRT(2))</f>
        <v>28.582652913470938</v>
      </c>
      <c r="D51" s="10">
        <f>IF('Design Spec'!$D$107=1,D50/2,D50/SQRT(2))</f>
        <v>39.413244558580693</v>
      </c>
      <c r="E51" s="10">
        <f>IF('Design Spec'!$D$107=1,E50/2,E50/SQRT(2))</f>
        <v>47.957684163858325</v>
      </c>
    </row>
    <row r="52" spans="2:5" ht="16.5" customHeight="1">
      <c r="B52" s="10" t="s">
        <v>901</v>
      </c>
      <c r="C52" s="193">
        <f>IF('Design Spec'!$D$107=1,C51,C51/SQRT(2))</f>
        <v>28.582652913470938</v>
      </c>
      <c r="D52" s="10">
        <f>IF('Design Spec'!$D$107=1,D51,D51/SQRT(2))</f>
        <v>39.413244558580693</v>
      </c>
      <c r="E52" s="10">
        <f>IF('Design Spec'!$D$107=1,E51,E51/SQRT(2))</f>
        <v>47.957684163858325</v>
      </c>
    </row>
    <row r="53" spans="2:5" ht="16.5" customHeight="1">
      <c r="B53" s="10" t="s">
        <v>902</v>
      </c>
      <c r="C53" s="10">
        <f>C50/$C$18</f>
        <v>7.6704155308736262</v>
      </c>
      <c r="D53" s="10">
        <f>D50/$C$18</f>
        <v>10.576903554035637</v>
      </c>
      <c r="E53" s="10">
        <f>E50/$C$18</f>
        <v>12.869881831781321</v>
      </c>
    </row>
    <row r="54" spans="2:5" ht="16.5" customHeight="1">
      <c r="B54" s="10" t="s">
        <v>903</v>
      </c>
      <c r="C54" s="10">
        <f>0.5*(0.5*$C$17*$C$18)/(IF('Res. Tank Design'!$F$45,'Res. Tank Design'!$F$45,'Res. Tank Design'!$D$45)*IF(C47&lt;C48,C48,C47))*1000</f>
        <v>12.789649008374431</v>
      </c>
      <c r="D54" s="10">
        <f>0.5*(0.5*$C$17*$C$18)/(IF('Res. Tank Design'!$F$45,'Res. Tank Design'!$F$45,'Res. Tank Design'!$D$45)*IF(D47&lt;D48,D48,D47))*1000</f>
        <v>12.789649008374431</v>
      </c>
      <c r="E54" s="10">
        <f>0.5*(0.5*$C$17*$C$18)/(IF('Res. Tank Design'!$F$45,'Res. Tank Design'!$F$45,'Res. Tank Design'!$D$45)*IF(E47&lt;E48,E48,E47))*1000</f>
        <v>12.789649008374431</v>
      </c>
    </row>
    <row r="55" spans="2:5" ht="16.5" customHeight="1">
      <c r="B55" s="10" t="s">
        <v>904</v>
      </c>
      <c r="C55" s="193">
        <f>SQRT(C53^2/2+C54^2/3+(C54*C47*(1/C47-1/C48))^2)</f>
        <v>9.8246166722726915</v>
      </c>
      <c r="D55" s="10">
        <f>SQRT(D53^2/2+D54^2/3+(D54*D47*(1/D47-1/D48))^2)</f>
        <v>10.860130330922493</v>
      </c>
      <c r="E55" s="10">
        <f>SQRT(E53^2/2+E54^2/3+(E54*E47*(1/E47-1/E48))^2)</f>
        <v>11.852557203838602</v>
      </c>
    </row>
    <row r="56" spans="2:5" ht="16.5" customHeight="1">
      <c r="B56" s="10" t="s">
        <v>905</v>
      </c>
      <c r="C56" s="193">
        <f>C55/SQRT(2)</f>
        <v>6.9470530715224319</v>
      </c>
      <c r="D56" s="10">
        <f>D55/SQRT(2)</f>
        <v>7.6792718015649983</v>
      </c>
      <c r="E56" s="10">
        <f>E55/SQRT(2)</f>
        <v>8.3810235732357388</v>
      </c>
    </row>
    <row r="57" spans="2:5" ht="16.5" customHeight="1">
      <c r="B57" s="10" t="s">
        <v>906</v>
      </c>
      <c r="C57" s="193">
        <f>SQRT(0.5*IF(C47&gt;C48,C48,C47)/C48*(C50^2)-C49^2)</f>
        <v>22.115943100664587</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GZ266"/>
  <sheetViews>
    <sheetView zoomScale="50" zoomScaleNormal="50" workbookViewId="0">
      <selection activeCell="AR21" sqref="AR21"/>
    </sheetView>
  </sheetViews>
  <sheetFormatPr defaultColWidth="8.75" defaultRowHeight="16.5"/>
  <cols>
    <col min="1" max="2" width="8.75" style="165"/>
    <col min="3" max="3" width="10.25" style="165" customWidth="1"/>
    <col min="4" max="6" width="8.75" style="165"/>
    <col min="7" max="7" width="11.375" style="165" customWidth="1"/>
    <col min="8" max="9" width="8.75" style="165"/>
    <col min="10" max="12" width="12" style="165" customWidth="1"/>
    <col min="13" max="14" width="8.75" style="165"/>
    <col min="15" max="15" width="9.125" style="165" customWidth="1"/>
    <col min="16" max="20" width="8.75" style="165"/>
    <col min="21" max="21" width="12" style="165" customWidth="1"/>
    <col min="22" max="22" width="8.75" style="165"/>
    <col min="23" max="23" width="12" style="165" customWidth="1"/>
    <col min="24" max="26" width="8.75" style="165"/>
    <col min="27" max="27" width="9.125" style="165" customWidth="1"/>
    <col min="28" max="39" width="8.75" style="165"/>
    <col min="40" max="208" width="8.75" style="10"/>
    <col min="209" max="16384" width="8.75" style="165"/>
  </cols>
  <sheetData>
    <row r="1" spans="1:28" ht="16.5" customHeight="1">
      <c r="A1" s="194" t="s">
        <v>909</v>
      </c>
      <c r="I1" s="165" t="s">
        <v>910</v>
      </c>
    </row>
    <row r="2" spans="1:28" ht="16.5" customHeight="1">
      <c r="A2" s="194"/>
    </row>
    <row r="3" spans="1:28" ht="25.5" customHeight="1">
      <c r="A3" s="195" t="s">
        <v>911</v>
      </c>
      <c r="B3" s="195" t="s">
        <v>912</v>
      </c>
      <c r="C3" s="195" t="s">
        <v>913</v>
      </c>
      <c r="D3" s="195" t="s">
        <v>914</v>
      </c>
      <c r="E3" s="195" t="s">
        <v>915</v>
      </c>
      <c r="F3" s="195" t="s">
        <v>916</v>
      </c>
      <c r="G3" s="195" t="s">
        <v>917</v>
      </c>
      <c r="H3" s="195" t="s">
        <v>918</v>
      </c>
      <c r="I3" s="195" t="s">
        <v>919</v>
      </c>
      <c r="J3" s="195" t="s">
        <v>920</v>
      </c>
      <c r="K3" s="195"/>
      <c r="L3" s="195" t="s">
        <v>921</v>
      </c>
      <c r="M3" s="195" t="s">
        <v>922</v>
      </c>
      <c r="N3" s="195" t="s">
        <v>923</v>
      </c>
      <c r="O3" s="195" t="s">
        <v>911</v>
      </c>
      <c r="P3" s="195" t="s">
        <v>912</v>
      </c>
      <c r="Q3" s="195" t="s">
        <v>913</v>
      </c>
      <c r="R3" s="195" t="s">
        <v>914</v>
      </c>
      <c r="S3" s="195" t="s">
        <v>376</v>
      </c>
      <c r="U3" s="195" t="s">
        <v>924</v>
      </c>
      <c r="V3" s="195" t="s">
        <v>911</v>
      </c>
      <c r="W3" s="195" t="s">
        <v>912</v>
      </c>
      <c r="X3" s="195" t="s">
        <v>913</v>
      </c>
      <c r="Y3" s="195" t="s">
        <v>914</v>
      </c>
      <c r="Z3" s="195" t="s">
        <v>376</v>
      </c>
      <c r="AA3" s="195" t="s">
        <v>925</v>
      </c>
      <c r="AB3" s="195" t="s">
        <v>926</v>
      </c>
    </row>
    <row r="4" spans="1:28" ht="16.5" customHeight="1">
      <c r="A4" s="165">
        <v>25</v>
      </c>
      <c r="B4" s="196">
        <v>3300</v>
      </c>
      <c r="C4" s="197">
        <v>20</v>
      </c>
      <c r="D4" s="165">
        <v>30</v>
      </c>
      <c r="E4" s="197">
        <v>2.0499999999999998</v>
      </c>
      <c r="F4" s="165">
        <v>0.2</v>
      </c>
      <c r="G4" s="197">
        <f t="shared" ref="G4:G67" si="0">F4/(2*PI()*120*B4*10^-6)</f>
        <v>8.0381284389846139E-2</v>
      </c>
      <c r="H4" s="165">
        <f t="shared" ref="H4:H67" si="1">0.001*D4*PI()*(C4/2)^2</f>
        <v>9.4247779607693793</v>
      </c>
      <c r="I4" s="165">
        <f t="shared" ref="I4:I67" si="2">B4/H4</f>
        <v>350.14087480216978</v>
      </c>
      <c r="J4" s="165">
        <f t="shared" ref="J4:J67" si="3">0.5*I4*A4^2</f>
        <v>109419.02337567805</v>
      </c>
      <c r="L4" s="165" t="str">
        <f t="shared" ref="L4:L67" si="4">IF(AND($W$9&lt;A4,D4&lt;=$W$14),0.5*I4*$W$7,"")</f>
        <v/>
      </c>
      <c r="M4" s="165" t="str">
        <f t="shared" ref="M4:M67" si="5">IF(L4&lt;&gt;"",ROUNDUP($W$12/B4,0)*H4,"")</f>
        <v/>
      </c>
      <c r="N4" s="165" t="str">
        <f t="shared" ref="N4:N67" si="6">IF(M4=MIN($M$4:$M$266),M4,"")</f>
        <v/>
      </c>
      <c r="O4" s="165" t="str">
        <f t="shared" ref="O4:O67" si="7">IF($N4=MIN($M$4:$M$266),A4,"")</f>
        <v/>
      </c>
      <c r="P4" s="165" t="str">
        <f t="shared" ref="P4:P67" si="8">IF($N4=MIN($M$4:$M$266),B4,"")</f>
        <v/>
      </c>
      <c r="Q4" s="165" t="str">
        <f t="shared" ref="Q4:Q67" si="9">IF($N4=MIN($M$4:$M$266),C4,"")</f>
        <v/>
      </c>
      <c r="R4" s="165" t="str">
        <f t="shared" ref="R4:R67" si="10">IF($N4=MIN($M$4:$M$266),D4,"")</f>
        <v/>
      </c>
      <c r="S4" s="165" t="str">
        <f t="shared" ref="S4:S67" si="11">IF($N4=MIN($M$4:$M$266),G4,"")</f>
        <v/>
      </c>
      <c r="U4" s="165">
        <f t="shared" ref="U4:Z4" si="12">IF(MAX(N4:N266)&lt;&gt;0,MAX(N4:N266),"")</f>
        <v>282.74333882308139</v>
      </c>
      <c r="V4" s="165">
        <f t="shared" si="12"/>
        <v>50</v>
      </c>
      <c r="W4" s="165">
        <f t="shared" si="12"/>
        <v>4700</v>
      </c>
      <c r="X4" s="165">
        <f t="shared" si="12"/>
        <v>30</v>
      </c>
      <c r="Y4" s="165">
        <f t="shared" si="12"/>
        <v>25</v>
      </c>
      <c r="Z4" s="165">
        <f t="shared" si="12"/>
        <v>8.4656884623348583E-2</v>
      </c>
      <c r="AA4" s="165">
        <f>IF(W4&lt;&gt;"",ROUNDUP(W12/W4,0),"")</f>
        <v>16</v>
      </c>
      <c r="AB4" s="165">
        <f>0.001*AA4*Y4*PI()*(X4/2)^2</f>
        <v>282.74333882308139</v>
      </c>
    </row>
    <row r="5" spans="1:28" ht="16.5" customHeight="1">
      <c r="A5" s="165">
        <v>25</v>
      </c>
      <c r="B5" s="196">
        <v>3300</v>
      </c>
      <c r="C5" s="197">
        <v>22</v>
      </c>
      <c r="D5" s="165">
        <v>25</v>
      </c>
      <c r="E5" s="197">
        <v>2.1</v>
      </c>
      <c r="F5" s="165">
        <v>0.2</v>
      </c>
      <c r="G5" s="197">
        <f t="shared" si="0"/>
        <v>8.0381284389846139E-2</v>
      </c>
      <c r="H5" s="165">
        <f t="shared" si="1"/>
        <v>9.5033177771091246</v>
      </c>
      <c r="I5" s="165">
        <f t="shared" si="2"/>
        <v>347.24714856413527</v>
      </c>
      <c r="J5" s="165">
        <f t="shared" si="3"/>
        <v>108514.73392629228</v>
      </c>
      <c r="L5" s="165" t="str">
        <f t="shared" si="4"/>
        <v/>
      </c>
      <c r="M5" s="165" t="str">
        <f t="shared" si="5"/>
        <v/>
      </c>
      <c r="N5" s="165" t="str">
        <f t="shared" si="6"/>
        <v/>
      </c>
      <c r="O5" s="165" t="str">
        <f t="shared" si="7"/>
        <v/>
      </c>
      <c r="P5" s="165" t="str">
        <f t="shared" si="8"/>
        <v/>
      </c>
      <c r="Q5" s="165" t="str">
        <f t="shared" si="9"/>
        <v/>
      </c>
      <c r="R5" s="165" t="str">
        <f t="shared" si="10"/>
        <v/>
      </c>
      <c r="S5" s="165" t="str">
        <f t="shared" si="11"/>
        <v/>
      </c>
    </row>
    <row r="6" spans="1:28" ht="16.5" customHeight="1">
      <c r="A6" s="165">
        <v>25</v>
      </c>
      <c r="B6" s="196">
        <v>4700</v>
      </c>
      <c r="C6" s="197">
        <v>20</v>
      </c>
      <c r="D6" s="165">
        <v>30</v>
      </c>
      <c r="E6" s="197">
        <v>2.5</v>
      </c>
      <c r="F6" s="165">
        <v>0.3</v>
      </c>
      <c r="G6" s="197">
        <f t="shared" si="0"/>
        <v>8.4656884623348583E-2</v>
      </c>
      <c r="H6" s="165">
        <f t="shared" si="1"/>
        <v>9.4247779607693793</v>
      </c>
      <c r="I6" s="165">
        <f t="shared" si="2"/>
        <v>498.68548835460541</v>
      </c>
      <c r="J6" s="165">
        <f t="shared" si="3"/>
        <v>155839.2151108142</v>
      </c>
      <c r="L6" s="165" t="str">
        <f t="shared" si="4"/>
        <v/>
      </c>
      <c r="M6" s="165" t="str">
        <f t="shared" si="5"/>
        <v/>
      </c>
      <c r="N6" s="165" t="str">
        <f t="shared" si="6"/>
        <v/>
      </c>
      <c r="O6" s="165" t="str">
        <f t="shared" si="7"/>
        <v/>
      </c>
      <c r="P6" s="165" t="str">
        <f t="shared" si="8"/>
        <v/>
      </c>
      <c r="Q6" s="165" t="str">
        <f t="shared" si="9"/>
        <v/>
      </c>
      <c r="R6" s="165" t="str">
        <f t="shared" si="10"/>
        <v/>
      </c>
      <c r="S6" s="165" t="str">
        <f t="shared" si="11"/>
        <v/>
      </c>
    </row>
    <row r="7" spans="1:28" ht="16.5" customHeight="1">
      <c r="A7" s="165">
        <v>25</v>
      </c>
      <c r="B7" s="196">
        <v>4700</v>
      </c>
      <c r="C7" s="197">
        <v>22</v>
      </c>
      <c r="D7" s="165">
        <v>25</v>
      </c>
      <c r="E7" s="197">
        <v>2.2000000000000002</v>
      </c>
      <c r="F7" s="165">
        <v>0.3</v>
      </c>
      <c r="G7" s="197">
        <f t="shared" si="0"/>
        <v>8.4656884623348583E-2</v>
      </c>
      <c r="H7" s="165">
        <f t="shared" si="1"/>
        <v>9.5033177771091246</v>
      </c>
      <c r="I7" s="165">
        <f t="shared" si="2"/>
        <v>494.56412068225325</v>
      </c>
      <c r="J7" s="165">
        <f t="shared" si="3"/>
        <v>154551.28771320413</v>
      </c>
      <c r="L7" s="165" t="str">
        <f t="shared" si="4"/>
        <v/>
      </c>
      <c r="M7" s="165" t="str">
        <f t="shared" si="5"/>
        <v/>
      </c>
      <c r="N7" s="165" t="str">
        <f t="shared" si="6"/>
        <v/>
      </c>
      <c r="O7" s="165" t="str">
        <f t="shared" si="7"/>
        <v/>
      </c>
      <c r="P7" s="165" t="str">
        <f t="shared" si="8"/>
        <v/>
      </c>
      <c r="Q7" s="165" t="str">
        <f t="shared" si="9"/>
        <v/>
      </c>
      <c r="R7" s="165" t="str">
        <f t="shared" si="10"/>
        <v/>
      </c>
      <c r="S7" s="165" t="str">
        <f t="shared" si="11"/>
        <v/>
      </c>
      <c r="U7" s="165" t="s">
        <v>927</v>
      </c>
      <c r="W7" s="165">
        <f>'Design Spec'!D95</f>
        <v>25</v>
      </c>
      <c r="X7" s="165" t="s">
        <v>928</v>
      </c>
    </row>
    <row r="8" spans="1:28" ht="16.5" customHeight="1">
      <c r="A8" s="165">
        <v>25</v>
      </c>
      <c r="B8" s="196">
        <v>5600</v>
      </c>
      <c r="C8" s="197">
        <v>22</v>
      </c>
      <c r="D8" s="165">
        <v>31</v>
      </c>
      <c r="E8" s="197">
        <v>2.6</v>
      </c>
      <c r="F8" s="165">
        <v>0.3</v>
      </c>
      <c r="G8" s="197">
        <f t="shared" si="0"/>
        <v>7.1051313880310427E-2</v>
      </c>
      <c r="H8" s="165">
        <f t="shared" si="1"/>
        <v>11.784114043615313</v>
      </c>
      <c r="I8" s="165">
        <f t="shared" si="2"/>
        <v>475.2160390907033</v>
      </c>
      <c r="J8" s="165">
        <f t="shared" si="3"/>
        <v>148505.01221584479</v>
      </c>
      <c r="L8" s="165" t="str">
        <f t="shared" si="4"/>
        <v/>
      </c>
      <c r="M8" s="165" t="str">
        <f t="shared" si="5"/>
        <v/>
      </c>
      <c r="N8" s="165" t="str">
        <f t="shared" si="6"/>
        <v/>
      </c>
      <c r="O8" s="165" t="str">
        <f t="shared" si="7"/>
        <v/>
      </c>
      <c r="P8" s="165" t="str">
        <f t="shared" si="8"/>
        <v/>
      </c>
      <c r="Q8" s="165" t="str">
        <f t="shared" si="9"/>
        <v/>
      </c>
      <c r="R8" s="165" t="str">
        <f t="shared" si="10"/>
        <v/>
      </c>
      <c r="S8" s="165" t="str">
        <f t="shared" si="11"/>
        <v/>
      </c>
      <c r="U8" s="165" t="s">
        <v>929</v>
      </c>
      <c r="W8" s="165">
        <f>'Design Spec'!D97</f>
        <v>5</v>
      </c>
    </row>
    <row r="9" spans="1:28" ht="16.5" customHeight="1">
      <c r="A9" s="165">
        <v>25</v>
      </c>
      <c r="B9" s="196">
        <v>6800</v>
      </c>
      <c r="C9" s="197">
        <v>22</v>
      </c>
      <c r="D9" s="165">
        <v>30</v>
      </c>
      <c r="E9" s="197">
        <v>2.85</v>
      </c>
      <c r="F9" s="165">
        <v>0.3</v>
      </c>
      <c r="G9" s="197">
        <f t="shared" si="0"/>
        <v>5.8512846724961529E-2</v>
      </c>
      <c r="H9" s="165">
        <f t="shared" si="1"/>
        <v>11.403981332530948</v>
      </c>
      <c r="I9" s="165">
        <f t="shared" si="2"/>
        <v>596.28298238285856</v>
      </c>
      <c r="J9" s="165">
        <f t="shared" si="3"/>
        <v>186338.4319946433</v>
      </c>
      <c r="L9" s="165" t="str">
        <f t="shared" si="4"/>
        <v/>
      </c>
      <c r="M9" s="165" t="str">
        <f t="shared" si="5"/>
        <v/>
      </c>
      <c r="N9" s="165" t="str">
        <f t="shared" si="6"/>
        <v/>
      </c>
      <c r="O9" s="165" t="str">
        <f t="shared" si="7"/>
        <v/>
      </c>
      <c r="P9" s="165" t="str">
        <f t="shared" si="8"/>
        <v/>
      </c>
      <c r="Q9" s="165" t="str">
        <f t="shared" si="9"/>
        <v/>
      </c>
      <c r="R9" s="165" t="str">
        <f t="shared" si="10"/>
        <v/>
      </c>
      <c r="S9" s="165" t="str">
        <f t="shared" si="11"/>
        <v/>
      </c>
      <c r="U9" s="165" t="s">
        <v>930</v>
      </c>
      <c r="W9" s="165">
        <f>W7+0.5*W7*W8/100+5</f>
        <v>30.625</v>
      </c>
    </row>
    <row r="10" spans="1:28" ht="16.5" customHeight="1">
      <c r="A10" s="165">
        <v>25</v>
      </c>
      <c r="B10" s="196">
        <v>6800</v>
      </c>
      <c r="C10" s="197">
        <v>25</v>
      </c>
      <c r="D10" s="165">
        <v>26</v>
      </c>
      <c r="E10" s="197">
        <v>2.7</v>
      </c>
      <c r="F10" s="165">
        <v>0.3</v>
      </c>
      <c r="G10" s="197">
        <f t="shared" si="0"/>
        <v>5.8512846724961529E-2</v>
      </c>
      <c r="H10" s="165">
        <f t="shared" si="1"/>
        <v>12.762720155208536</v>
      </c>
      <c r="I10" s="165">
        <f t="shared" si="2"/>
        <v>532.80177871994499</v>
      </c>
      <c r="J10" s="165">
        <f t="shared" si="3"/>
        <v>166500.5558499828</v>
      </c>
      <c r="L10" s="165" t="str">
        <f t="shared" si="4"/>
        <v/>
      </c>
      <c r="M10" s="165" t="str">
        <f t="shared" si="5"/>
        <v/>
      </c>
      <c r="N10" s="165" t="str">
        <f t="shared" si="6"/>
        <v/>
      </c>
      <c r="O10" s="165" t="str">
        <f t="shared" si="7"/>
        <v/>
      </c>
      <c r="P10" s="165" t="str">
        <f t="shared" si="8"/>
        <v/>
      </c>
      <c r="Q10" s="165" t="str">
        <f t="shared" si="9"/>
        <v/>
      </c>
      <c r="R10" s="165" t="str">
        <f t="shared" si="10"/>
        <v/>
      </c>
      <c r="S10" s="165" t="str">
        <f t="shared" si="11"/>
        <v/>
      </c>
      <c r="U10" s="165" t="s">
        <v>931</v>
      </c>
      <c r="W10" s="198">
        <f>'Power Components'!D21</f>
        <v>71247.234099010166</v>
      </c>
      <c r="X10" s="165" t="s">
        <v>928</v>
      </c>
    </row>
    <row r="11" spans="1:28" ht="16.5" customHeight="1">
      <c r="A11" s="165">
        <v>25</v>
      </c>
      <c r="B11" s="196">
        <v>8200</v>
      </c>
      <c r="C11" s="197">
        <v>22</v>
      </c>
      <c r="D11" s="165">
        <v>35</v>
      </c>
      <c r="E11" s="197">
        <v>3</v>
      </c>
      <c r="F11" s="165">
        <v>0.3</v>
      </c>
      <c r="G11" s="197">
        <f t="shared" si="0"/>
        <v>4.8522848503626627E-2</v>
      </c>
      <c r="H11" s="165">
        <f t="shared" si="1"/>
        <v>13.304644887952776</v>
      </c>
      <c r="I11" s="165">
        <f t="shared" si="2"/>
        <v>616.3261078411058</v>
      </c>
      <c r="J11" s="165">
        <f t="shared" si="3"/>
        <v>192601.90870034555</v>
      </c>
      <c r="L11" s="165" t="str">
        <f t="shared" si="4"/>
        <v/>
      </c>
      <c r="M11" s="165" t="str">
        <f t="shared" si="5"/>
        <v/>
      </c>
      <c r="N11" s="165" t="str">
        <f t="shared" si="6"/>
        <v/>
      </c>
      <c r="O11" s="165" t="str">
        <f t="shared" si="7"/>
        <v/>
      </c>
      <c r="P11" s="165" t="str">
        <f t="shared" si="8"/>
        <v/>
      </c>
      <c r="Q11" s="165" t="str">
        <f t="shared" si="9"/>
        <v/>
      </c>
      <c r="R11" s="165" t="str">
        <f t="shared" si="10"/>
        <v/>
      </c>
      <c r="S11" s="165" t="str">
        <f t="shared" si="11"/>
        <v/>
      </c>
      <c r="U11" s="165" t="s">
        <v>932</v>
      </c>
      <c r="W11" s="198">
        <f>'Power Components'!D22</f>
        <v>67222.381732846145</v>
      </c>
      <c r="X11" s="165" t="s">
        <v>928</v>
      </c>
    </row>
    <row r="12" spans="1:28" ht="16.5" customHeight="1">
      <c r="A12" s="165">
        <v>25</v>
      </c>
      <c r="B12" s="196">
        <v>8200</v>
      </c>
      <c r="C12" s="197">
        <v>25</v>
      </c>
      <c r="D12" s="165">
        <v>26</v>
      </c>
      <c r="E12" s="197">
        <v>3</v>
      </c>
      <c r="F12" s="165">
        <v>0.3</v>
      </c>
      <c r="G12" s="197">
        <f t="shared" si="0"/>
        <v>4.8522848503626627E-2</v>
      </c>
      <c r="H12" s="165">
        <f t="shared" si="1"/>
        <v>12.762720155208536</v>
      </c>
      <c r="I12" s="165">
        <f t="shared" si="2"/>
        <v>642.49626257405134</v>
      </c>
      <c r="J12" s="165">
        <f t="shared" si="3"/>
        <v>200780.08205439104</v>
      </c>
      <c r="L12" s="165" t="str">
        <f t="shared" si="4"/>
        <v/>
      </c>
      <c r="M12" s="165" t="str">
        <f t="shared" si="5"/>
        <v/>
      </c>
      <c r="N12" s="165" t="str">
        <f t="shared" si="6"/>
        <v/>
      </c>
      <c r="O12" s="165" t="str">
        <f t="shared" si="7"/>
        <v/>
      </c>
      <c r="P12" s="165" t="str">
        <f t="shared" si="8"/>
        <v/>
      </c>
      <c r="Q12" s="165" t="str">
        <f t="shared" si="9"/>
        <v/>
      </c>
      <c r="R12" s="165" t="str">
        <f t="shared" si="10"/>
        <v/>
      </c>
      <c r="S12" s="165" t="str">
        <f t="shared" si="11"/>
        <v/>
      </c>
      <c r="U12" s="165" t="s">
        <v>933</v>
      </c>
      <c r="W12" s="165">
        <f>MAX(W10,W11)</f>
        <v>71247.234099010166</v>
      </c>
    </row>
    <row r="13" spans="1:28" ht="16.5" customHeight="1">
      <c r="A13" s="165">
        <v>25</v>
      </c>
      <c r="B13" s="196">
        <v>10000</v>
      </c>
      <c r="C13" s="197">
        <v>30</v>
      </c>
      <c r="D13" s="165">
        <v>25</v>
      </c>
      <c r="E13" s="197">
        <v>3.1</v>
      </c>
      <c r="F13" s="165">
        <v>0.35</v>
      </c>
      <c r="G13" s="197">
        <f t="shared" si="0"/>
        <v>4.6420191735136146E-2</v>
      </c>
      <c r="H13" s="165">
        <f t="shared" si="1"/>
        <v>17.671458676442587</v>
      </c>
      <c r="I13" s="165">
        <f t="shared" si="2"/>
        <v>565.88424210451672</v>
      </c>
      <c r="J13" s="165">
        <f t="shared" si="3"/>
        <v>176838.82565766148</v>
      </c>
      <c r="L13" s="165" t="str">
        <f t="shared" si="4"/>
        <v/>
      </c>
      <c r="M13" s="165" t="str">
        <f t="shared" si="5"/>
        <v/>
      </c>
      <c r="N13" s="165" t="str">
        <f t="shared" si="6"/>
        <v/>
      </c>
      <c r="O13" s="165" t="str">
        <f t="shared" si="7"/>
        <v/>
      </c>
      <c r="P13" s="165" t="str">
        <f t="shared" si="8"/>
        <v/>
      </c>
      <c r="Q13" s="165" t="str">
        <f t="shared" si="9"/>
        <v/>
      </c>
      <c r="R13" s="165" t="str">
        <f t="shared" si="10"/>
        <v/>
      </c>
      <c r="S13" s="165" t="str">
        <f t="shared" si="11"/>
        <v/>
      </c>
      <c r="U13" s="165" t="s">
        <v>934</v>
      </c>
      <c r="W13" s="165">
        <f>'Design Spec'!D92</f>
        <v>25</v>
      </c>
      <c r="X13" s="165" t="s">
        <v>928</v>
      </c>
    </row>
    <row r="14" spans="1:28" ht="16.5" customHeight="1">
      <c r="A14" s="165">
        <v>25</v>
      </c>
      <c r="B14" s="196">
        <v>10000</v>
      </c>
      <c r="C14" s="197">
        <v>25</v>
      </c>
      <c r="D14" s="165">
        <v>31</v>
      </c>
      <c r="E14" s="197">
        <v>3.15</v>
      </c>
      <c r="F14" s="165">
        <v>0.35</v>
      </c>
      <c r="G14" s="197">
        <f t="shared" si="0"/>
        <v>4.6420191735136146E-2</v>
      </c>
      <c r="H14" s="165">
        <f t="shared" si="1"/>
        <v>15.217089415825559</v>
      </c>
      <c r="I14" s="165">
        <f t="shared" si="2"/>
        <v>657.1558940568583</v>
      </c>
      <c r="J14" s="165">
        <f t="shared" si="3"/>
        <v>205361.21689276822</v>
      </c>
      <c r="L14" s="165" t="str">
        <f t="shared" si="4"/>
        <v/>
      </c>
      <c r="M14" s="165" t="str">
        <f t="shared" si="5"/>
        <v/>
      </c>
      <c r="N14" s="165" t="str">
        <f t="shared" si="6"/>
        <v/>
      </c>
      <c r="O14" s="165" t="str">
        <f t="shared" si="7"/>
        <v/>
      </c>
      <c r="P14" s="165" t="str">
        <f t="shared" si="8"/>
        <v/>
      </c>
      <c r="Q14" s="165" t="str">
        <f t="shared" si="9"/>
        <v/>
      </c>
      <c r="R14" s="165" t="str">
        <f t="shared" si="10"/>
        <v/>
      </c>
      <c r="S14" s="165" t="str">
        <f t="shared" si="11"/>
        <v/>
      </c>
      <c r="U14" s="165" t="s">
        <v>935</v>
      </c>
      <c r="W14" s="165">
        <f>IF(W13&lt;1,100,W13)</f>
        <v>25</v>
      </c>
    </row>
    <row r="15" spans="1:28" ht="16.5" customHeight="1">
      <c r="A15" s="165">
        <v>25</v>
      </c>
      <c r="B15" s="196">
        <v>12000</v>
      </c>
      <c r="C15" s="197">
        <v>22</v>
      </c>
      <c r="D15" s="165">
        <v>50</v>
      </c>
      <c r="E15" s="197">
        <v>3.8</v>
      </c>
      <c r="F15" s="165">
        <v>0.35</v>
      </c>
      <c r="G15" s="197">
        <f t="shared" si="0"/>
        <v>3.8683493112613453E-2</v>
      </c>
      <c r="H15" s="165">
        <f t="shared" si="1"/>
        <v>19.006635554218249</v>
      </c>
      <c r="I15" s="165">
        <f t="shared" si="2"/>
        <v>631.35845193479145</v>
      </c>
      <c r="J15" s="165">
        <f t="shared" si="3"/>
        <v>197299.51622962233</v>
      </c>
      <c r="L15" s="165" t="str">
        <f t="shared" si="4"/>
        <v/>
      </c>
      <c r="M15" s="165" t="str">
        <f t="shared" si="5"/>
        <v/>
      </c>
      <c r="N15" s="165" t="str">
        <f t="shared" si="6"/>
        <v/>
      </c>
      <c r="O15" s="165" t="str">
        <f t="shared" si="7"/>
        <v/>
      </c>
      <c r="P15" s="165" t="str">
        <f t="shared" si="8"/>
        <v/>
      </c>
      <c r="Q15" s="165" t="str">
        <f t="shared" si="9"/>
        <v/>
      </c>
      <c r="R15" s="165" t="str">
        <f t="shared" si="10"/>
        <v/>
      </c>
      <c r="S15" s="165" t="str">
        <f t="shared" si="11"/>
        <v/>
      </c>
    </row>
    <row r="16" spans="1:28" ht="16.5" customHeight="1">
      <c r="A16" s="165">
        <v>25</v>
      </c>
      <c r="B16" s="196">
        <v>12000</v>
      </c>
      <c r="C16" s="197">
        <v>25</v>
      </c>
      <c r="D16" s="165">
        <v>40</v>
      </c>
      <c r="E16" s="197">
        <v>3.75</v>
      </c>
      <c r="F16" s="165">
        <v>0.35</v>
      </c>
      <c r="G16" s="197">
        <f t="shared" si="0"/>
        <v>3.8683493112613453E-2</v>
      </c>
      <c r="H16" s="165">
        <f t="shared" si="1"/>
        <v>19.634954084936208</v>
      </c>
      <c r="I16" s="165">
        <f t="shared" si="2"/>
        <v>611.15498147287803</v>
      </c>
      <c r="J16" s="165">
        <f t="shared" si="3"/>
        <v>190985.9317102744</v>
      </c>
      <c r="L16" s="165" t="str">
        <f t="shared" si="4"/>
        <v/>
      </c>
      <c r="M16" s="165" t="str">
        <f t="shared" si="5"/>
        <v/>
      </c>
      <c r="N16" s="165" t="str">
        <f t="shared" si="6"/>
        <v/>
      </c>
      <c r="O16" s="165" t="str">
        <f t="shared" si="7"/>
        <v/>
      </c>
      <c r="P16" s="165" t="str">
        <f t="shared" si="8"/>
        <v/>
      </c>
      <c r="Q16" s="165" t="str">
        <f t="shared" si="9"/>
        <v/>
      </c>
      <c r="R16" s="165" t="str">
        <f t="shared" si="10"/>
        <v/>
      </c>
      <c r="S16" s="165" t="str">
        <f t="shared" si="11"/>
        <v/>
      </c>
    </row>
    <row r="17" spans="1:19" ht="16.5" customHeight="1">
      <c r="A17" s="165">
        <v>25</v>
      </c>
      <c r="B17" s="196">
        <v>15000</v>
      </c>
      <c r="C17" s="197">
        <v>22</v>
      </c>
      <c r="D17" s="165">
        <v>50</v>
      </c>
      <c r="E17" s="197">
        <v>3.8</v>
      </c>
      <c r="F17" s="165">
        <v>0.35</v>
      </c>
      <c r="G17" s="197">
        <f t="shared" si="0"/>
        <v>3.0946794490090763E-2</v>
      </c>
      <c r="H17" s="165">
        <f t="shared" si="1"/>
        <v>19.006635554218249</v>
      </c>
      <c r="I17" s="165">
        <f t="shared" si="2"/>
        <v>789.19806491848931</v>
      </c>
      <c r="J17" s="165">
        <f t="shared" si="3"/>
        <v>246624.3952870279</v>
      </c>
      <c r="L17" s="165" t="str">
        <f t="shared" si="4"/>
        <v/>
      </c>
      <c r="M17" s="165" t="str">
        <f t="shared" si="5"/>
        <v/>
      </c>
      <c r="N17" s="165" t="str">
        <f t="shared" si="6"/>
        <v/>
      </c>
      <c r="O17" s="165" t="str">
        <f t="shared" si="7"/>
        <v/>
      </c>
      <c r="P17" s="165" t="str">
        <f t="shared" si="8"/>
        <v/>
      </c>
      <c r="Q17" s="165" t="str">
        <f t="shared" si="9"/>
        <v/>
      </c>
      <c r="R17" s="165" t="str">
        <f t="shared" si="10"/>
        <v/>
      </c>
      <c r="S17" s="165" t="str">
        <f t="shared" si="11"/>
        <v/>
      </c>
    </row>
    <row r="18" spans="1:19" ht="16.5" customHeight="1">
      <c r="A18" s="165">
        <v>25</v>
      </c>
      <c r="B18" s="196">
        <v>15000</v>
      </c>
      <c r="C18" s="197">
        <v>30</v>
      </c>
      <c r="D18" s="165">
        <v>35</v>
      </c>
      <c r="E18" s="197">
        <v>3.5</v>
      </c>
      <c r="F18" s="165">
        <v>0.35</v>
      </c>
      <c r="G18" s="197">
        <f t="shared" si="0"/>
        <v>3.0946794490090763E-2</v>
      </c>
      <c r="H18" s="165">
        <f t="shared" si="1"/>
        <v>24.740042147019626</v>
      </c>
      <c r="I18" s="165">
        <f t="shared" si="2"/>
        <v>606.30454511198218</v>
      </c>
      <c r="J18" s="165">
        <f t="shared" si="3"/>
        <v>189470.17034749442</v>
      </c>
      <c r="L18" s="165" t="str">
        <f t="shared" si="4"/>
        <v/>
      </c>
      <c r="M18" s="165" t="str">
        <f t="shared" si="5"/>
        <v/>
      </c>
      <c r="N18" s="165" t="str">
        <f t="shared" si="6"/>
        <v/>
      </c>
      <c r="O18" s="165" t="str">
        <f t="shared" si="7"/>
        <v/>
      </c>
      <c r="P18" s="165" t="str">
        <f t="shared" si="8"/>
        <v/>
      </c>
      <c r="Q18" s="165" t="str">
        <f t="shared" si="9"/>
        <v/>
      </c>
      <c r="R18" s="165" t="str">
        <f t="shared" si="10"/>
        <v/>
      </c>
      <c r="S18" s="165" t="str">
        <f t="shared" si="11"/>
        <v/>
      </c>
    </row>
    <row r="19" spans="1:19" ht="16.5" customHeight="1">
      <c r="A19" s="165">
        <v>25</v>
      </c>
      <c r="B19" s="196">
        <v>18000</v>
      </c>
      <c r="C19" s="197">
        <v>25</v>
      </c>
      <c r="D19" s="165">
        <v>41</v>
      </c>
      <c r="E19" s="197">
        <v>4.5</v>
      </c>
      <c r="F19" s="165">
        <v>0.35</v>
      </c>
      <c r="G19" s="197">
        <f t="shared" si="0"/>
        <v>2.5788995408408968E-2</v>
      </c>
      <c r="H19" s="165">
        <f t="shared" si="1"/>
        <v>20.125827937059615</v>
      </c>
      <c r="I19" s="165">
        <f t="shared" si="2"/>
        <v>894.37314361884592</v>
      </c>
      <c r="J19" s="165">
        <f t="shared" si="3"/>
        <v>279491.60738088936</v>
      </c>
      <c r="L19" s="165" t="str">
        <f t="shared" si="4"/>
        <v/>
      </c>
      <c r="M19" s="165" t="str">
        <f t="shared" si="5"/>
        <v/>
      </c>
      <c r="N19" s="165" t="str">
        <f t="shared" si="6"/>
        <v/>
      </c>
      <c r="O19" s="165" t="str">
        <f t="shared" si="7"/>
        <v/>
      </c>
      <c r="P19" s="165" t="str">
        <f t="shared" si="8"/>
        <v/>
      </c>
      <c r="Q19" s="165" t="str">
        <f t="shared" si="9"/>
        <v/>
      </c>
      <c r="R19" s="165" t="str">
        <f t="shared" si="10"/>
        <v/>
      </c>
      <c r="S19" s="165" t="str">
        <f t="shared" si="11"/>
        <v/>
      </c>
    </row>
    <row r="20" spans="1:19" ht="16.5" customHeight="1">
      <c r="A20" s="165">
        <v>25</v>
      </c>
      <c r="B20" s="196">
        <v>18000</v>
      </c>
      <c r="C20" s="197">
        <v>30</v>
      </c>
      <c r="D20" s="165">
        <v>41</v>
      </c>
      <c r="E20" s="197">
        <v>4.5</v>
      </c>
      <c r="F20" s="165">
        <v>0.35</v>
      </c>
      <c r="G20" s="197">
        <f t="shared" si="0"/>
        <v>2.5788995408408968E-2</v>
      </c>
      <c r="H20" s="165">
        <f t="shared" si="1"/>
        <v>28.981192229365845</v>
      </c>
      <c r="I20" s="165">
        <f t="shared" si="2"/>
        <v>621.09246084642075</v>
      </c>
      <c r="J20" s="165">
        <f t="shared" si="3"/>
        <v>194091.39401450648</v>
      </c>
      <c r="L20" s="165" t="str">
        <f t="shared" si="4"/>
        <v/>
      </c>
      <c r="M20" s="165" t="str">
        <f t="shared" si="5"/>
        <v/>
      </c>
      <c r="N20" s="165" t="str">
        <f t="shared" si="6"/>
        <v/>
      </c>
      <c r="O20" s="165" t="str">
        <f t="shared" si="7"/>
        <v/>
      </c>
      <c r="P20" s="165" t="str">
        <f t="shared" si="8"/>
        <v/>
      </c>
      <c r="Q20" s="165" t="str">
        <f t="shared" si="9"/>
        <v/>
      </c>
      <c r="R20" s="165" t="str">
        <f t="shared" si="10"/>
        <v/>
      </c>
      <c r="S20" s="165" t="str">
        <f t="shared" si="11"/>
        <v/>
      </c>
    </row>
    <row r="21" spans="1:19" ht="16.5" customHeight="1">
      <c r="A21" s="165">
        <v>25</v>
      </c>
      <c r="B21" s="196">
        <v>22000</v>
      </c>
      <c r="C21" s="197">
        <v>30</v>
      </c>
      <c r="D21" s="165">
        <v>45</v>
      </c>
      <c r="E21" s="197">
        <v>4.8</v>
      </c>
      <c r="F21" s="165">
        <v>0.35</v>
      </c>
      <c r="G21" s="197">
        <f t="shared" si="0"/>
        <v>2.110008715233461E-2</v>
      </c>
      <c r="H21" s="165">
        <f t="shared" si="1"/>
        <v>31.808625617596658</v>
      </c>
      <c r="I21" s="165">
        <f t="shared" si="2"/>
        <v>691.63629590552046</v>
      </c>
      <c r="J21" s="165">
        <f t="shared" si="3"/>
        <v>216136.34247047515</v>
      </c>
      <c r="L21" s="165" t="str">
        <f t="shared" si="4"/>
        <v/>
      </c>
      <c r="M21" s="165" t="str">
        <f t="shared" si="5"/>
        <v/>
      </c>
      <c r="N21" s="165" t="str">
        <f t="shared" si="6"/>
        <v/>
      </c>
      <c r="O21" s="165" t="str">
        <f t="shared" si="7"/>
        <v/>
      </c>
      <c r="P21" s="165" t="str">
        <f t="shared" si="8"/>
        <v/>
      </c>
      <c r="Q21" s="165" t="str">
        <f t="shared" si="9"/>
        <v/>
      </c>
      <c r="R21" s="165" t="str">
        <f t="shared" si="10"/>
        <v/>
      </c>
      <c r="S21" s="165" t="str">
        <f t="shared" si="11"/>
        <v/>
      </c>
    </row>
    <row r="22" spans="1:19" ht="16.5" customHeight="1">
      <c r="A22" s="165">
        <v>25</v>
      </c>
      <c r="B22" s="196">
        <v>22000</v>
      </c>
      <c r="C22" s="197">
        <v>35</v>
      </c>
      <c r="D22" s="165">
        <v>30</v>
      </c>
      <c r="E22" s="197">
        <v>5.2</v>
      </c>
      <c r="F22" s="165">
        <v>0.35</v>
      </c>
      <c r="G22" s="197">
        <f t="shared" si="0"/>
        <v>2.110008715233461E-2</v>
      </c>
      <c r="H22" s="165">
        <f t="shared" si="1"/>
        <v>28.863382504856222</v>
      </c>
      <c r="I22" s="165">
        <f t="shared" si="2"/>
        <v>762.2114281407778</v>
      </c>
      <c r="J22" s="165">
        <f t="shared" si="3"/>
        <v>238191.07129399307</v>
      </c>
      <c r="L22" s="165" t="str">
        <f t="shared" si="4"/>
        <v/>
      </c>
      <c r="M22" s="165" t="str">
        <f t="shared" si="5"/>
        <v/>
      </c>
      <c r="N22" s="165" t="str">
        <f t="shared" si="6"/>
        <v/>
      </c>
      <c r="O22" s="165" t="str">
        <f t="shared" si="7"/>
        <v/>
      </c>
      <c r="P22" s="165" t="str">
        <f t="shared" si="8"/>
        <v/>
      </c>
      <c r="Q22" s="165" t="str">
        <f t="shared" si="9"/>
        <v/>
      </c>
      <c r="R22" s="165" t="str">
        <f t="shared" si="10"/>
        <v/>
      </c>
      <c r="S22" s="165" t="str">
        <f t="shared" si="11"/>
        <v/>
      </c>
    </row>
    <row r="23" spans="1:19" ht="16.5" customHeight="1">
      <c r="A23" s="165">
        <v>25</v>
      </c>
      <c r="B23" s="196">
        <v>27000</v>
      </c>
      <c r="C23" s="197">
        <v>30</v>
      </c>
      <c r="D23" s="165">
        <v>41</v>
      </c>
      <c r="E23" s="197">
        <v>5.8</v>
      </c>
      <c r="F23" s="165">
        <v>0.4</v>
      </c>
      <c r="G23" s="197">
        <f t="shared" si="0"/>
        <v>1.9648758406406834E-2</v>
      </c>
      <c r="H23" s="165">
        <f t="shared" si="1"/>
        <v>28.981192229365845</v>
      </c>
      <c r="I23" s="165">
        <f t="shared" si="2"/>
        <v>931.63869126963118</v>
      </c>
      <c r="J23" s="165">
        <f t="shared" si="3"/>
        <v>291137.09102175973</v>
      </c>
      <c r="L23" s="165" t="str">
        <f t="shared" si="4"/>
        <v/>
      </c>
      <c r="M23" s="165" t="str">
        <f t="shared" si="5"/>
        <v/>
      </c>
      <c r="N23" s="165" t="str">
        <f t="shared" si="6"/>
        <v/>
      </c>
      <c r="O23" s="165" t="str">
        <f t="shared" si="7"/>
        <v/>
      </c>
      <c r="P23" s="165" t="str">
        <f t="shared" si="8"/>
        <v/>
      </c>
      <c r="Q23" s="165" t="str">
        <f t="shared" si="9"/>
        <v/>
      </c>
      <c r="R23" s="165" t="str">
        <f t="shared" si="10"/>
        <v/>
      </c>
      <c r="S23" s="165" t="str">
        <f t="shared" si="11"/>
        <v/>
      </c>
    </row>
    <row r="24" spans="1:19" ht="16.5" customHeight="1">
      <c r="A24" s="165">
        <v>25</v>
      </c>
      <c r="B24" s="196">
        <v>27000</v>
      </c>
      <c r="C24" s="197">
        <v>35</v>
      </c>
      <c r="D24" s="165">
        <v>36</v>
      </c>
      <c r="E24" s="197">
        <v>6.5</v>
      </c>
      <c r="F24" s="165">
        <v>0.4</v>
      </c>
      <c r="G24" s="197">
        <f t="shared" si="0"/>
        <v>1.9648758406406834E-2</v>
      </c>
      <c r="H24" s="165">
        <f t="shared" si="1"/>
        <v>34.636059005827477</v>
      </c>
      <c r="I24" s="165">
        <f t="shared" si="2"/>
        <v>779.53441514397707</v>
      </c>
      <c r="J24" s="165">
        <f t="shared" si="3"/>
        <v>243604.50473249285</v>
      </c>
      <c r="L24" s="165" t="str">
        <f t="shared" si="4"/>
        <v/>
      </c>
      <c r="M24" s="165" t="str">
        <f t="shared" si="5"/>
        <v/>
      </c>
      <c r="N24" s="165" t="str">
        <f t="shared" si="6"/>
        <v/>
      </c>
      <c r="O24" s="165" t="str">
        <f t="shared" si="7"/>
        <v/>
      </c>
      <c r="P24" s="165" t="str">
        <f t="shared" si="8"/>
        <v/>
      </c>
      <c r="Q24" s="165" t="str">
        <f t="shared" si="9"/>
        <v/>
      </c>
      <c r="R24" s="165" t="str">
        <f t="shared" si="10"/>
        <v/>
      </c>
      <c r="S24" s="165" t="str">
        <f t="shared" si="11"/>
        <v/>
      </c>
    </row>
    <row r="25" spans="1:19" ht="16.5" customHeight="1">
      <c r="A25" s="165">
        <v>25</v>
      </c>
      <c r="B25" s="196">
        <v>33000</v>
      </c>
      <c r="C25" s="197">
        <v>30</v>
      </c>
      <c r="D25" s="165">
        <v>51</v>
      </c>
      <c r="E25" s="197">
        <v>8.9499999999999993</v>
      </c>
      <c r="F25" s="165">
        <v>0.4</v>
      </c>
      <c r="G25" s="197">
        <f t="shared" si="0"/>
        <v>1.6076256877969229E-2</v>
      </c>
      <c r="H25" s="165">
        <f t="shared" si="1"/>
        <v>36.049775699942877</v>
      </c>
      <c r="I25" s="165">
        <f t="shared" si="2"/>
        <v>915.40097987495358</v>
      </c>
      <c r="J25" s="165">
        <f t="shared" si="3"/>
        <v>286062.80621092301</v>
      </c>
      <c r="L25" s="165" t="str">
        <f t="shared" si="4"/>
        <v/>
      </c>
      <c r="M25" s="165" t="str">
        <f t="shared" si="5"/>
        <v/>
      </c>
      <c r="N25" s="165" t="str">
        <f t="shared" si="6"/>
        <v/>
      </c>
      <c r="O25" s="165" t="str">
        <f t="shared" si="7"/>
        <v/>
      </c>
      <c r="P25" s="165" t="str">
        <f t="shared" si="8"/>
        <v/>
      </c>
      <c r="Q25" s="165" t="str">
        <f t="shared" si="9"/>
        <v/>
      </c>
      <c r="R25" s="165" t="str">
        <f t="shared" si="10"/>
        <v/>
      </c>
      <c r="S25" s="165" t="str">
        <f t="shared" si="11"/>
        <v/>
      </c>
    </row>
    <row r="26" spans="1:19" ht="16.5" customHeight="1">
      <c r="A26" s="165">
        <v>25</v>
      </c>
      <c r="B26" s="196">
        <v>39000</v>
      </c>
      <c r="C26" s="197">
        <v>35</v>
      </c>
      <c r="D26" s="165">
        <v>51</v>
      </c>
      <c r="E26" s="197">
        <v>9</v>
      </c>
      <c r="F26" s="165">
        <v>0.4</v>
      </c>
      <c r="G26" s="197">
        <f t="shared" si="0"/>
        <v>1.3602986589050885E-2</v>
      </c>
      <c r="H26" s="165">
        <f t="shared" si="1"/>
        <v>49.067750258255579</v>
      </c>
      <c r="I26" s="165">
        <f t="shared" si="2"/>
        <v>794.81940367621212</v>
      </c>
      <c r="J26" s="165">
        <f t="shared" si="3"/>
        <v>248381.06364881629</v>
      </c>
      <c r="L26" s="165" t="str">
        <f t="shared" si="4"/>
        <v/>
      </c>
      <c r="M26" s="165" t="str">
        <f t="shared" si="5"/>
        <v/>
      </c>
      <c r="N26" s="165" t="str">
        <f t="shared" si="6"/>
        <v/>
      </c>
      <c r="O26" s="165" t="str">
        <f t="shared" si="7"/>
        <v/>
      </c>
      <c r="P26" s="165" t="str">
        <f t="shared" si="8"/>
        <v/>
      </c>
      <c r="Q26" s="165" t="str">
        <f t="shared" si="9"/>
        <v/>
      </c>
      <c r="R26" s="165" t="str">
        <f t="shared" si="10"/>
        <v/>
      </c>
      <c r="S26" s="165" t="str">
        <f t="shared" si="11"/>
        <v/>
      </c>
    </row>
    <row r="27" spans="1:19" ht="16.5" customHeight="1">
      <c r="A27" s="165">
        <v>25</v>
      </c>
      <c r="B27" s="196">
        <v>47000</v>
      </c>
      <c r="C27" s="197">
        <v>35</v>
      </c>
      <c r="D27" s="165">
        <v>56</v>
      </c>
      <c r="E27" s="197">
        <v>9.1999999999999993</v>
      </c>
      <c r="F27" s="165">
        <v>0.4</v>
      </c>
      <c r="G27" s="197">
        <f t="shared" si="0"/>
        <v>1.1287584616446482E-2</v>
      </c>
      <c r="H27" s="165">
        <f t="shared" si="1"/>
        <v>53.878314009064951</v>
      </c>
      <c r="I27" s="165">
        <f t="shared" si="2"/>
        <v>872.33613123254588</v>
      </c>
      <c r="J27" s="165">
        <f t="shared" si="3"/>
        <v>272605.04101017059</v>
      </c>
      <c r="L27" s="165" t="str">
        <f t="shared" si="4"/>
        <v/>
      </c>
      <c r="M27" s="165" t="str">
        <f t="shared" si="5"/>
        <v/>
      </c>
      <c r="N27" s="165" t="str">
        <f t="shared" si="6"/>
        <v/>
      </c>
      <c r="O27" s="165" t="str">
        <f t="shared" si="7"/>
        <v/>
      </c>
      <c r="P27" s="165" t="str">
        <f t="shared" si="8"/>
        <v/>
      </c>
      <c r="Q27" s="165" t="str">
        <f t="shared" si="9"/>
        <v/>
      </c>
      <c r="R27" s="165" t="str">
        <f t="shared" si="10"/>
        <v/>
      </c>
      <c r="S27" s="165" t="str">
        <f t="shared" si="11"/>
        <v/>
      </c>
    </row>
    <row r="28" spans="1:19" ht="16.5" customHeight="1">
      <c r="A28" s="197">
        <v>35</v>
      </c>
      <c r="B28" s="196">
        <v>6800</v>
      </c>
      <c r="C28" s="165">
        <v>22</v>
      </c>
      <c r="D28" s="165">
        <v>40</v>
      </c>
      <c r="E28" s="197">
        <v>3</v>
      </c>
      <c r="F28" s="197">
        <v>0.3</v>
      </c>
      <c r="G28" s="197">
        <f t="shared" si="0"/>
        <v>5.8512846724961529E-2</v>
      </c>
      <c r="H28" s="165">
        <f t="shared" si="1"/>
        <v>15.2053084433746</v>
      </c>
      <c r="I28" s="165">
        <f t="shared" si="2"/>
        <v>447.21223678714392</v>
      </c>
      <c r="J28" s="165">
        <f t="shared" si="3"/>
        <v>273917.49503212568</v>
      </c>
      <c r="L28" s="165" t="str">
        <f t="shared" si="4"/>
        <v/>
      </c>
      <c r="M28" s="165" t="str">
        <f t="shared" si="5"/>
        <v/>
      </c>
      <c r="N28" s="165" t="str">
        <f t="shared" si="6"/>
        <v/>
      </c>
      <c r="O28" s="165" t="str">
        <f t="shared" si="7"/>
        <v/>
      </c>
      <c r="P28" s="165" t="str">
        <f t="shared" si="8"/>
        <v/>
      </c>
      <c r="Q28" s="165" t="str">
        <f t="shared" si="9"/>
        <v/>
      </c>
      <c r="R28" s="165" t="str">
        <f t="shared" si="10"/>
        <v/>
      </c>
      <c r="S28" s="165" t="str">
        <f t="shared" si="11"/>
        <v/>
      </c>
    </row>
    <row r="29" spans="1:19" ht="16.5" customHeight="1">
      <c r="A29" s="197">
        <v>35</v>
      </c>
      <c r="B29" s="196">
        <v>6800</v>
      </c>
      <c r="C29" s="165">
        <v>26</v>
      </c>
      <c r="D29" s="165">
        <v>30</v>
      </c>
      <c r="E29" s="197">
        <v>2.9</v>
      </c>
      <c r="F29" s="197">
        <v>0.3</v>
      </c>
      <c r="G29" s="197">
        <f t="shared" si="0"/>
        <v>5.8512846724961529E-2</v>
      </c>
      <c r="H29" s="165">
        <f t="shared" si="1"/>
        <v>15.92787475370025</v>
      </c>
      <c r="I29" s="165">
        <f t="shared" si="2"/>
        <v>426.92450217944315</v>
      </c>
      <c r="J29" s="165">
        <f t="shared" si="3"/>
        <v>261491.25758490892</v>
      </c>
      <c r="L29" s="165" t="str">
        <f t="shared" si="4"/>
        <v/>
      </c>
      <c r="M29" s="165" t="str">
        <f t="shared" si="5"/>
        <v/>
      </c>
      <c r="N29" s="165" t="str">
        <f t="shared" si="6"/>
        <v/>
      </c>
      <c r="O29" s="165" t="str">
        <f t="shared" si="7"/>
        <v/>
      </c>
      <c r="P29" s="165" t="str">
        <f t="shared" si="8"/>
        <v/>
      </c>
      <c r="Q29" s="165" t="str">
        <f t="shared" si="9"/>
        <v/>
      </c>
      <c r="R29" s="165" t="str">
        <f t="shared" si="10"/>
        <v/>
      </c>
      <c r="S29" s="165" t="str">
        <f t="shared" si="11"/>
        <v/>
      </c>
    </row>
    <row r="30" spans="1:19" ht="16.5" customHeight="1">
      <c r="A30" s="197">
        <v>35</v>
      </c>
      <c r="B30" s="196">
        <v>8200</v>
      </c>
      <c r="C30" s="165">
        <v>22</v>
      </c>
      <c r="D30" s="165">
        <v>41</v>
      </c>
      <c r="E30" s="197">
        <v>3.45</v>
      </c>
      <c r="F30" s="197">
        <v>0.3</v>
      </c>
      <c r="G30" s="197">
        <f t="shared" si="0"/>
        <v>4.8522848503626627E-2</v>
      </c>
      <c r="H30" s="165">
        <f t="shared" si="1"/>
        <v>15.585441154458964</v>
      </c>
      <c r="I30" s="165">
        <f t="shared" si="2"/>
        <v>526.1320432789928</v>
      </c>
      <c r="J30" s="165">
        <f t="shared" si="3"/>
        <v>322255.87650838308</v>
      </c>
      <c r="L30" s="165" t="str">
        <f t="shared" si="4"/>
        <v/>
      </c>
      <c r="M30" s="165" t="str">
        <f t="shared" si="5"/>
        <v/>
      </c>
      <c r="N30" s="165" t="str">
        <f t="shared" si="6"/>
        <v/>
      </c>
      <c r="O30" s="165" t="str">
        <f t="shared" si="7"/>
        <v/>
      </c>
      <c r="P30" s="165" t="str">
        <f t="shared" si="8"/>
        <v/>
      </c>
      <c r="Q30" s="165" t="str">
        <f t="shared" si="9"/>
        <v/>
      </c>
      <c r="R30" s="165" t="str">
        <f t="shared" si="10"/>
        <v/>
      </c>
      <c r="S30" s="165" t="str">
        <f t="shared" si="11"/>
        <v/>
      </c>
    </row>
    <row r="31" spans="1:19" ht="16.5" customHeight="1">
      <c r="A31" s="197">
        <v>35</v>
      </c>
      <c r="B31" s="196">
        <v>8200</v>
      </c>
      <c r="C31" s="165">
        <v>25</v>
      </c>
      <c r="D31" s="165">
        <v>30</v>
      </c>
      <c r="E31" s="197">
        <v>3.25</v>
      </c>
      <c r="F31" s="197">
        <v>0.3</v>
      </c>
      <c r="G31" s="197">
        <f t="shared" si="0"/>
        <v>4.8522848503626627E-2</v>
      </c>
      <c r="H31" s="165">
        <f t="shared" si="1"/>
        <v>14.726215563702155</v>
      </c>
      <c r="I31" s="165">
        <f t="shared" si="2"/>
        <v>556.83009423084457</v>
      </c>
      <c r="J31" s="165">
        <f t="shared" si="3"/>
        <v>341058.43271639227</v>
      </c>
      <c r="L31" s="165" t="str">
        <f t="shared" si="4"/>
        <v/>
      </c>
      <c r="M31" s="165" t="str">
        <f t="shared" si="5"/>
        <v/>
      </c>
      <c r="N31" s="165" t="str">
        <f t="shared" si="6"/>
        <v/>
      </c>
      <c r="O31" s="165" t="str">
        <f t="shared" si="7"/>
        <v/>
      </c>
      <c r="P31" s="165" t="str">
        <f t="shared" si="8"/>
        <v/>
      </c>
      <c r="Q31" s="165" t="str">
        <f t="shared" si="9"/>
        <v/>
      </c>
      <c r="R31" s="165" t="str">
        <f t="shared" si="10"/>
        <v/>
      </c>
      <c r="S31" s="165" t="str">
        <f t="shared" si="11"/>
        <v/>
      </c>
    </row>
    <row r="32" spans="1:19" ht="16.5" customHeight="1">
      <c r="A32" s="197">
        <v>35</v>
      </c>
      <c r="B32" s="196">
        <v>10000</v>
      </c>
      <c r="C32" s="165">
        <v>22</v>
      </c>
      <c r="D32" s="165">
        <v>46</v>
      </c>
      <c r="E32" s="197">
        <v>3.5</v>
      </c>
      <c r="F32" s="197">
        <v>0.3</v>
      </c>
      <c r="G32" s="197">
        <f t="shared" si="0"/>
        <v>3.9788735772973836E-2</v>
      </c>
      <c r="H32" s="165">
        <f t="shared" si="1"/>
        <v>17.486104709880788</v>
      </c>
      <c r="I32" s="165">
        <f t="shared" si="2"/>
        <v>571.88265573803574</v>
      </c>
      <c r="J32" s="165">
        <f t="shared" si="3"/>
        <v>350278.12663954688</v>
      </c>
      <c r="L32" s="165" t="str">
        <f t="shared" si="4"/>
        <v/>
      </c>
      <c r="M32" s="165" t="str">
        <f t="shared" si="5"/>
        <v/>
      </c>
      <c r="N32" s="165" t="str">
        <f t="shared" si="6"/>
        <v/>
      </c>
      <c r="O32" s="165" t="str">
        <f t="shared" si="7"/>
        <v/>
      </c>
      <c r="P32" s="165" t="str">
        <f t="shared" si="8"/>
        <v/>
      </c>
      <c r="Q32" s="165" t="str">
        <f t="shared" si="9"/>
        <v/>
      </c>
      <c r="R32" s="165" t="str">
        <f t="shared" si="10"/>
        <v/>
      </c>
      <c r="S32" s="165" t="str">
        <f t="shared" si="11"/>
        <v/>
      </c>
    </row>
    <row r="33" spans="1:19" ht="16.5" customHeight="1">
      <c r="A33" s="197">
        <v>35</v>
      </c>
      <c r="B33" s="196">
        <v>10000</v>
      </c>
      <c r="C33" s="165">
        <v>30</v>
      </c>
      <c r="D33" s="165">
        <v>30</v>
      </c>
      <c r="E33" s="197">
        <v>3.5</v>
      </c>
      <c r="F33" s="197">
        <v>0.3</v>
      </c>
      <c r="G33" s="197">
        <f t="shared" si="0"/>
        <v>3.9788735772973836E-2</v>
      </c>
      <c r="H33" s="165">
        <f t="shared" si="1"/>
        <v>21.205750411731103</v>
      </c>
      <c r="I33" s="165">
        <f t="shared" si="2"/>
        <v>471.57020175376397</v>
      </c>
      <c r="J33" s="165">
        <f t="shared" si="3"/>
        <v>288836.74857418041</v>
      </c>
      <c r="L33" s="165" t="str">
        <f t="shared" si="4"/>
        <v/>
      </c>
      <c r="M33" s="165" t="str">
        <f t="shared" si="5"/>
        <v/>
      </c>
      <c r="N33" s="165" t="str">
        <f t="shared" si="6"/>
        <v/>
      </c>
      <c r="O33" s="165" t="str">
        <f t="shared" si="7"/>
        <v/>
      </c>
      <c r="P33" s="165" t="str">
        <f t="shared" si="8"/>
        <v/>
      </c>
      <c r="Q33" s="165" t="str">
        <f t="shared" si="9"/>
        <v/>
      </c>
      <c r="R33" s="165" t="str">
        <f t="shared" si="10"/>
        <v/>
      </c>
      <c r="S33" s="165" t="str">
        <f t="shared" si="11"/>
        <v/>
      </c>
    </row>
    <row r="34" spans="1:19" ht="16.5" customHeight="1">
      <c r="A34" s="197">
        <v>35</v>
      </c>
      <c r="B34" s="196">
        <v>12000</v>
      </c>
      <c r="C34" s="165">
        <v>25</v>
      </c>
      <c r="D34" s="165">
        <v>41</v>
      </c>
      <c r="E34" s="197">
        <v>3.85</v>
      </c>
      <c r="F34" s="197">
        <v>0.3</v>
      </c>
      <c r="G34" s="197">
        <f t="shared" si="0"/>
        <v>3.3157279810811534E-2</v>
      </c>
      <c r="H34" s="165">
        <f t="shared" si="1"/>
        <v>20.125827937059615</v>
      </c>
      <c r="I34" s="165">
        <f t="shared" si="2"/>
        <v>596.24876241256391</v>
      </c>
      <c r="J34" s="165">
        <f t="shared" si="3"/>
        <v>365202.36697769538</v>
      </c>
      <c r="L34" s="165" t="str">
        <f t="shared" si="4"/>
        <v/>
      </c>
      <c r="M34" s="165" t="str">
        <f t="shared" si="5"/>
        <v/>
      </c>
      <c r="N34" s="165" t="str">
        <f t="shared" si="6"/>
        <v/>
      </c>
      <c r="O34" s="165" t="str">
        <f t="shared" si="7"/>
        <v/>
      </c>
      <c r="P34" s="165" t="str">
        <f t="shared" si="8"/>
        <v/>
      </c>
      <c r="Q34" s="165" t="str">
        <f t="shared" si="9"/>
        <v/>
      </c>
      <c r="R34" s="165" t="str">
        <f t="shared" si="10"/>
        <v/>
      </c>
      <c r="S34" s="165" t="str">
        <f t="shared" si="11"/>
        <v/>
      </c>
    </row>
    <row r="35" spans="1:19" ht="16.5" customHeight="1">
      <c r="A35" s="197">
        <v>35</v>
      </c>
      <c r="B35" s="196">
        <v>12000</v>
      </c>
      <c r="C35" s="165">
        <v>35</v>
      </c>
      <c r="D35" s="165">
        <v>35</v>
      </c>
      <c r="E35" s="197">
        <v>3.7</v>
      </c>
      <c r="F35" s="197">
        <v>0.3</v>
      </c>
      <c r="G35" s="197">
        <f t="shared" si="0"/>
        <v>3.3157279810811534E-2</v>
      </c>
      <c r="H35" s="165">
        <f t="shared" si="1"/>
        <v>33.673946255665598</v>
      </c>
      <c r="I35" s="165">
        <f t="shared" si="2"/>
        <v>356.35858978010384</v>
      </c>
      <c r="J35" s="165">
        <f t="shared" si="3"/>
        <v>218269.63624031362</v>
      </c>
      <c r="L35" s="165" t="str">
        <f t="shared" si="4"/>
        <v/>
      </c>
      <c r="M35" s="165" t="str">
        <f t="shared" si="5"/>
        <v/>
      </c>
      <c r="N35" s="165" t="str">
        <f t="shared" si="6"/>
        <v/>
      </c>
      <c r="O35" s="165" t="str">
        <f t="shared" si="7"/>
        <v/>
      </c>
      <c r="P35" s="165" t="str">
        <f t="shared" si="8"/>
        <v/>
      </c>
      <c r="Q35" s="165" t="str">
        <f t="shared" si="9"/>
        <v/>
      </c>
      <c r="R35" s="165" t="str">
        <f t="shared" si="10"/>
        <v/>
      </c>
      <c r="S35" s="165" t="str">
        <f t="shared" si="11"/>
        <v/>
      </c>
    </row>
    <row r="36" spans="1:19" ht="16.5" customHeight="1">
      <c r="A36" s="197">
        <v>35</v>
      </c>
      <c r="B36" s="196">
        <v>15000</v>
      </c>
      <c r="C36" s="165">
        <v>25</v>
      </c>
      <c r="D36" s="165">
        <v>50</v>
      </c>
      <c r="E36" s="197">
        <v>4.5</v>
      </c>
      <c r="F36" s="197">
        <v>0.3</v>
      </c>
      <c r="G36" s="197">
        <f t="shared" si="0"/>
        <v>2.6525823848649228E-2</v>
      </c>
      <c r="H36" s="165">
        <f t="shared" si="1"/>
        <v>24.543692606170257</v>
      </c>
      <c r="I36" s="165">
        <f t="shared" si="2"/>
        <v>611.15498147287815</v>
      </c>
      <c r="J36" s="165">
        <f t="shared" si="3"/>
        <v>374332.42615213786</v>
      </c>
      <c r="L36" s="165" t="str">
        <f t="shared" si="4"/>
        <v/>
      </c>
      <c r="M36" s="165" t="str">
        <f t="shared" si="5"/>
        <v/>
      </c>
      <c r="N36" s="165" t="str">
        <f t="shared" si="6"/>
        <v/>
      </c>
      <c r="O36" s="165" t="str">
        <f t="shared" si="7"/>
        <v/>
      </c>
      <c r="P36" s="165" t="str">
        <f t="shared" si="8"/>
        <v/>
      </c>
      <c r="Q36" s="165" t="str">
        <f t="shared" si="9"/>
        <v/>
      </c>
      <c r="R36" s="165" t="str">
        <f t="shared" si="10"/>
        <v/>
      </c>
      <c r="S36" s="165" t="str">
        <f t="shared" si="11"/>
        <v/>
      </c>
    </row>
    <row r="37" spans="1:19" ht="16.5" customHeight="1">
      <c r="A37" s="197">
        <v>35</v>
      </c>
      <c r="B37" s="196">
        <v>15000</v>
      </c>
      <c r="C37" s="165">
        <v>30</v>
      </c>
      <c r="D37" s="165">
        <v>40</v>
      </c>
      <c r="E37" s="197">
        <v>4.0999999999999996</v>
      </c>
      <c r="F37" s="197">
        <v>0.3</v>
      </c>
      <c r="G37" s="197">
        <f t="shared" si="0"/>
        <v>2.6525823848649228E-2</v>
      </c>
      <c r="H37" s="165">
        <f t="shared" si="1"/>
        <v>28.274333882308142</v>
      </c>
      <c r="I37" s="165">
        <f t="shared" si="2"/>
        <v>530.51647697298438</v>
      </c>
      <c r="J37" s="165">
        <f t="shared" si="3"/>
        <v>324941.34214595292</v>
      </c>
      <c r="L37" s="165" t="str">
        <f t="shared" si="4"/>
        <v/>
      </c>
      <c r="M37" s="165" t="str">
        <f t="shared" si="5"/>
        <v/>
      </c>
      <c r="N37" s="165" t="str">
        <f t="shared" si="6"/>
        <v/>
      </c>
      <c r="O37" s="165" t="str">
        <f t="shared" si="7"/>
        <v/>
      </c>
      <c r="P37" s="165" t="str">
        <f t="shared" si="8"/>
        <v/>
      </c>
      <c r="Q37" s="165" t="str">
        <f t="shared" si="9"/>
        <v/>
      </c>
      <c r="R37" s="165" t="str">
        <f t="shared" si="10"/>
        <v/>
      </c>
      <c r="S37" s="165" t="str">
        <f t="shared" si="11"/>
        <v/>
      </c>
    </row>
    <row r="38" spans="1:19" ht="16.5" customHeight="1">
      <c r="A38" s="197">
        <v>35</v>
      </c>
      <c r="B38" s="196">
        <v>18000</v>
      </c>
      <c r="C38" s="165">
        <v>30</v>
      </c>
      <c r="D38" s="165">
        <v>46</v>
      </c>
      <c r="E38" s="197">
        <v>4.8</v>
      </c>
      <c r="F38" s="197">
        <v>0.3</v>
      </c>
      <c r="G38" s="197">
        <f t="shared" si="0"/>
        <v>2.2104853207207689E-2</v>
      </c>
      <c r="H38" s="165">
        <f t="shared" si="1"/>
        <v>32.515483964654358</v>
      </c>
      <c r="I38" s="165">
        <f t="shared" si="2"/>
        <v>553.58241075441856</v>
      </c>
      <c r="J38" s="165">
        <f t="shared" si="3"/>
        <v>339069.22658708139</v>
      </c>
      <c r="L38" s="165" t="str">
        <f t="shared" si="4"/>
        <v/>
      </c>
      <c r="M38" s="165" t="str">
        <f t="shared" si="5"/>
        <v/>
      </c>
      <c r="N38" s="165" t="str">
        <f t="shared" si="6"/>
        <v/>
      </c>
      <c r="O38" s="165" t="str">
        <f t="shared" si="7"/>
        <v/>
      </c>
      <c r="P38" s="165" t="str">
        <f t="shared" si="8"/>
        <v/>
      </c>
      <c r="Q38" s="165" t="str">
        <f t="shared" si="9"/>
        <v/>
      </c>
      <c r="R38" s="165" t="str">
        <f t="shared" si="10"/>
        <v/>
      </c>
      <c r="S38" s="165" t="str">
        <f t="shared" si="11"/>
        <v/>
      </c>
    </row>
    <row r="39" spans="1:19" ht="16.5" customHeight="1">
      <c r="A39" s="197">
        <v>35</v>
      </c>
      <c r="B39" s="196">
        <v>18000</v>
      </c>
      <c r="C39" s="165">
        <v>35</v>
      </c>
      <c r="D39" s="165">
        <v>37</v>
      </c>
      <c r="E39" s="197">
        <v>4.5999999999999996</v>
      </c>
      <c r="F39" s="197">
        <v>0.3</v>
      </c>
      <c r="G39" s="197">
        <f t="shared" si="0"/>
        <v>2.2104853207207689E-2</v>
      </c>
      <c r="H39" s="165">
        <f t="shared" si="1"/>
        <v>35.598171755989341</v>
      </c>
      <c r="I39" s="165">
        <f t="shared" si="2"/>
        <v>505.64394495825547</v>
      </c>
      <c r="J39" s="165">
        <f t="shared" si="3"/>
        <v>309706.91628693149</v>
      </c>
      <c r="L39" s="165" t="str">
        <f t="shared" si="4"/>
        <v/>
      </c>
      <c r="M39" s="165" t="str">
        <f t="shared" si="5"/>
        <v/>
      </c>
      <c r="N39" s="165" t="str">
        <f t="shared" si="6"/>
        <v/>
      </c>
      <c r="O39" s="165" t="str">
        <f t="shared" si="7"/>
        <v/>
      </c>
      <c r="P39" s="165" t="str">
        <f t="shared" si="8"/>
        <v/>
      </c>
      <c r="Q39" s="165" t="str">
        <f t="shared" si="9"/>
        <v/>
      </c>
      <c r="R39" s="165" t="str">
        <f t="shared" si="10"/>
        <v/>
      </c>
      <c r="S39" s="165" t="str">
        <f t="shared" si="11"/>
        <v/>
      </c>
    </row>
    <row r="40" spans="1:19" ht="16.5" customHeight="1">
      <c r="A40" s="197">
        <v>35</v>
      </c>
      <c r="B40" s="196">
        <v>22000</v>
      </c>
      <c r="C40" s="165">
        <v>30</v>
      </c>
      <c r="D40" s="165">
        <v>50</v>
      </c>
      <c r="E40" s="197">
        <v>5.7</v>
      </c>
      <c r="F40" s="197">
        <v>0.3</v>
      </c>
      <c r="G40" s="197">
        <f t="shared" si="0"/>
        <v>1.808578898771538E-2</v>
      </c>
      <c r="H40" s="165">
        <f t="shared" si="1"/>
        <v>35.342917352885173</v>
      </c>
      <c r="I40" s="165">
        <f t="shared" si="2"/>
        <v>622.47266631496848</v>
      </c>
      <c r="J40" s="165">
        <f t="shared" si="3"/>
        <v>381264.50811791822</v>
      </c>
      <c r="L40" s="165" t="str">
        <f t="shared" si="4"/>
        <v/>
      </c>
      <c r="M40" s="165" t="str">
        <f t="shared" si="5"/>
        <v/>
      </c>
      <c r="N40" s="165" t="str">
        <f t="shared" si="6"/>
        <v/>
      </c>
      <c r="O40" s="165" t="str">
        <f t="shared" si="7"/>
        <v/>
      </c>
      <c r="P40" s="165" t="str">
        <f t="shared" si="8"/>
        <v/>
      </c>
      <c r="Q40" s="165" t="str">
        <f t="shared" si="9"/>
        <v/>
      </c>
      <c r="R40" s="165" t="str">
        <f t="shared" si="10"/>
        <v/>
      </c>
      <c r="S40" s="165" t="str">
        <f t="shared" si="11"/>
        <v/>
      </c>
    </row>
    <row r="41" spans="1:19" ht="16.5" customHeight="1">
      <c r="A41" s="197">
        <v>35</v>
      </c>
      <c r="B41" s="196">
        <v>22000</v>
      </c>
      <c r="C41" s="165">
        <v>35</v>
      </c>
      <c r="D41" s="165">
        <v>45</v>
      </c>
      <c r="E41" s="197">
        <v>5</v>
      </c>
      <c r="F41" s="197">
        <v>0.3</v>
      </c>
      <c r="G41" s="197">
        <f t="shared" si="0"/>
        <v>1.808578898771538E-2</v>
      </c>
      <c r="H41" s="165">
        <f t="shared" si="1"/>
        <v>43.295073757284335</v>
      </c>
      <c r="I41" s="165">
        <f t="shared" si="2"/>
        <v>508.14095209385181</v>
      </c>
      <c r="J41" s="165">
        <f t="shared" si="3"/>
        <v>311236.33315748425</v>
      </c>
      <c r="L41" s="165" t="str">
        <f t="shared" si="4"/>
        <v/>
      </c>
      <c r="M41" s="165" t="str">
        <f t="shared" si="5"/>
        <v/>
      </c>
      <c r="N41" s="165" t="str">
        <f t="shared" si="6"/>
        <v/>
      </c>
      <c r="O41" s="165" t="str">
        <f t="shared" si="7"/>
        <v/>
      </c>
      <c r="P41" s="165" t="str">
        <f t="shared" si="8"/>
        <v/>
      </c>
      <c r="Q41" s="165" t="str">
        <f t="shared" si="9"/>
        <v/>
      </c>
      <c r="R41" s="165" t="str">
        <f t="shared" si="10"/>
        <v/>
      </c>
      <c r="S41" s="165" t="str">
        <f t="shared" si="11"/>
        <v/>
      </c>
    </row>
    <row r="42" spans="1:19" ht="16.5" customHeight="1">
      <c r="A42" s="197">
        <v>35</v>
      </c>
      <c r="B42" s="196">
        <v>27000</v>
      </c>
      <c r="C42" s="165">
        <v>35</v>
      </c>
      <c r="D42" s="165">
        <v>50</v>
      </c>
      <c r="E42" s="197">
        <v>5.8</v>
      </c>
      <c r="F42" s="197">
        <v>0.35</v>
      </c>
      <c r="G42" s="197">
        <f t="shared" si="0"/>
        <v>1.7192663605605979E-2</v>
      </c>
      <c r="H42" s="165">
        <f t="shared" si="1"/>
        <v>48.105637508093707</v>
      </c>
      <c r="I42" s="165">
        <f t="shared" si="2"/>
        <v>561.26477890366357</v>
      </c>
      <c r="J42" s="165">
        <f t="shared" si="3"/>
        <v>343774.67707849393</v>
      </c>
      <c r="L42" s="165" t="str">
        <f t="shared" si="4"/>
        <v/>
      </c>
      <c r="M42" s="165" t="str">
        <f t="shared" si="5"/>
        <v/>
      </c>
      <c r="N42" s="165" t="str">
        <f t="shared" si="6"/>
        <v/>
      </c>
      <c r="O42" s="165" t="str">
        <f t="shared" si="7"/>
        <v/>
      </c>
      <c r="P42" s="165" t="str">
        <f t="shared" si="8"/>
        <v/>
      </c>
      <c r="Q42" s="165" t="str">
        <f t="shared" si="9"/>
        <v/>
      </c>
      <c r="R42" s="165" t="str">
        <f t="shared" si="10"/>
        <v/>
      </c>
      <c r="S42" s="165" t="str">
        <f t="shared" si="11"/>
        <v/>
      </c>
    </row>
    <row r="43" spans="1:19" ht="16.5" customHeight="1">
      <c r="A43" s="197">
        <v>35</v>
      </c>
      <c r="B43" s="196">
        <v>33000</v>
      </c>
      <c r="C43" s="165">
        <v>35</v>
      </c>
      <c r="D43" s="165">
        <v>51</v>
      </c>
      <c r="E43" s="197">
        <v>6</v>
      </c>
      <c r="F43" s="197">
        <v>0.35</v>
      </c>
      <c r="G43" s="197">
        <f t="shared" si="0"/>
        <v>1.4066724768223073E-2</v>
      </c>
      <c r="H43" s="165">
        <f t="shared" si="1"/>
        <v>49.067750258255579</v>
      </c>
      <c r="I43" s="165">
        <f t="shared" si="2"/>
        <v>672.53949541833333</v>
      </c>
      <c r="J43" s="165">
        <f t="shared" si="3"/>
        <v>411930.44094372919</v>
      </c>
      <c r="L43" s="165" t="str">
        <f t="shared" si="4"/>
        <v/>
      </c>
      <c r="M43" s="165" t="str">
        <f t="shared" si="5"/>
        <v/>
      </c>
      <c r="N43" s="165" t="str">
        <f t="shared" si="6"/>
        <v/>
      </c>
      <c r="O43" s="165" t="str">
        <f t="shared" si="7"/>
        <v/>
      </c>
      <c r="P43" s="165" t="str">
        <f t="shared" si="8"/>
        <v/>
      </c>
      <c r="Q43" s="165" t="str">
        <f t="shared" si="9"/>
        <v/>
      </c>
      <c r="R43" s="165" t="str">
        <f t="shared" si="10"/>
        <v/>
      </c>
      <c r="S43" s="165" t="str">
        <f t="shared" si="11"/>
        <v/>
      </c>
    </row>
    <row r="44" spans="1:19" ht="16.5" customHeight="1">
      <c r="A44" s="197">
        <v>50</v>
      </c>
      <c r="B44" s="196">
        <v>1500</v>
      </c>
      <c r="C44" s="165">
        <v>22</v>
      </c>
      <c r="D44" s="165">
        <v>26</v>
      </c>
      <c r="E44" s="197">
        <v>1.4</v>
      </c>
      <c r="F44" s="197">
        <v>0.2</v>
      </c>
      <c r="G44" s="197">
        <f t="shared" si="0"/>
        <v>0.17683882565766154</v>
      </c>
      <c r="H44" s="165">
        <f t="shared" si="1"/>
        <v>9.8834504881934908</v>
      </c>
      <c r="I44" s="165">
        <f t="shared" si="2"/>
        <v>151.768858638171</v>
      </c>
      <c r="J44" s="165">
        <f t="shared" si="3"/>
        <v>189711.07329771374</v>
      </c>
      <c r="L44" s="165" t="str">
        <f t="shared" si="4"/>
        <v/>
      </c>
      <c r="M44" s="165" t="str">
        <f t="shared" si="5"/>
        <v/>
      </c>
      <c r="N44" s="165" t="str">
        <f t="shared" si="6"/>
        <v/>
      </c>
      <c r="O44" s="165" t="str">
        <f t="shared" si="7"/>
        <v/>
      </c>
      <c r="P44" s="165" t="str">
        <f t="shared" si="8"/>
        <v/>
      </c>
      <c r="Q44" s="165" t="str">
        <f t="shared" si="9"/>
        <v/>
      </c>
      <c r="R44" s="165" t="str">
        <f t="shared" si="10"/>
        <v/>
      </c>
      <c r="S44" s="165" t="str">
        <f t="shared" si="11"/>
        <v/>
      </c>
    </row>
    <row r="45" spans="1:19" ht="16.5" customHeight="1">
      <c r="A45" s="197">
        <v>50</v>
      </c>
      <c r="B45" s="196">
        <v>2200</v>
      </c>
      <c r="C45" s="165">
        <v>22</v>
      </c>
      <c r="D45" s="165">
        <v>25</v>
      </c>
      <c r="E45" s="197">
        <v>1.9</v>
      </c>
      <c r="F45" s="197">
        <v>0.2</v>
      </c>
      <c r="G45" s="197">
        <f t="shared" si="0"/>
        <v>0.12057192658476922</v>
      </c>
      <c r="H45" s="165">
        <f t="shared" si="1"/>
        <v>9.5033177771091246</v>
      </c>
      <c r="I45" s="165">
        <f t="shared" si="2"/>
        <v>231.49809904275685</v>
      </c>
      <c r="J45" s="165">
        <f t="shared" si="3"/>
        <v>289372.62380344607</v>
      </c>
      <c r="L45" s="165">
        <f t="shared" si="4"/>
        <v>2893.7262380344605</v>
      </c>
      <c r="M45" s="165">
        <f t="shared" si="5"/>
        <v>313.60948664460113</v>
      </c>
      <c r="N45" s="165" t="str">
        <f t="shared" si="6"/>
        <v/>
      </c>
      <c r="O45" s="165" t="str">
        <f t="shared" si="7"/>
        <v/>
      </c>
      <c r="P45" s="165" t="str">
        <f t="shared" si="8"/>
        <v/>
      </c>
      <c r="Q45" s="165" t="str">
        <f t="shared" si="9"/>
        <v/>
      </c>
      <c r="R45" s="165" t="str">
        <f t="shared" si="10"/>
        <v/>
      </c>
      <c r="S45" s="165" t="str">
        <f t="shared" si="11"/>
        <v/>
      </c>
    </row>
    <row r="46" spans="1:19" ht="16.5" customHeight="1">
      <c r="A46" s="197">
        <v>50</v>
      </c>
      <c r="B46" s="196">
        <v>2200</v>
      </c>
      <c r="C46" s="165">
        <v>25</v>
      </c>
      <c r="D46" s="165">
        <v>25</v>
      </c>
      <c r="E46" s="197">
        <v>2</v>
      </c>
      <c r="F46" s="197">
        <v>0.2</v>
      </c>
      <c r="G46" s="197">
        <f t="shared" si="0"/>
        <v>0.12057192658476922</v>
      </c>
      <c r="H46" s="165">
        <f t="shared" si="1"/>
        <v>12.271846303085129</v>
      </c>
      <c r="I46" s="165">
        <f t="shared" si="2"/>
        <v>179.27212789871092</v>
      </c>
      <c r="J46" s="165">
        <f t="shared" si="3"/>
        <v>224090.15987338865</v>
      </c>
      <c r="L46" s="165">
        <f t="shared" si="4"/>
        <v>2240.9015987338867</v>
      </c>
      <c r="M46" s="165">
        <f t="shared" si="5"/>
        <v>404.97092800180923</v>
      </c>
      <c r="N46" s="165" t="str">
        <f t="shared" si="6"/>
        <v/>
      </c>
      <c r="O46" s="165" t="str">
        <f t="shared" si="7"/>
        <v/>
      </c>
      <c r="P46" s="165" t="str">
        <f t="shared" si="8"/>
        <v/>
      </c>
      <c r="Q46" s="165" t="str">
        <f t="shared" si="9"/>
        <v/>
      </c>
      <c r="R46" s="165" t="str">
        <f t="shared" si="10"/>
        <v/>
      </c>
      <c r="S46" s="165" t="str">
        <f t="shared" si="11"/>
        <v/>
      </c>
    </row>
    <row r="47" spans="1:19" ht="16.5" customHeight="1">
      <c r="A47" s="197">
        <v>50</v>
      </c>
      <c r="B47" s="196">
        <v>2700</v>
      </c>
      <c r="C47" s="165">
        <v>22</v>
      </c>
      <c r="D47" s="165">
        <v>31</v>
      </c>
      <c r="E47" s="197">
        <v>2.2999999999999998</v>
      </c>
      <c r="F47" s="197">
        <v>0.2</v>
      </c>
      <c r="G47" s="197">
        <f t="shared" si="0"/>
        <v>9.8243792032034191E-2</v>
      </c>
      <c r="H47" s="165">
        <f t="shared" si="1"/>
        <v>11.784114043615313</v>
      </c>
      <c r="I47" s="165">
        <f t="shared" si="2"/>
        <v>229.12201884730337</v>
      </c>
      <c r="J47" s="165">
        <f t="shared" si="3"/>
        <v>286402.52355912921</v>
      </c>
      <c r="L47" s="165" t="str">
        <f t="shared" si="4"/>
        <v/>
      </c>
      <c r="M47" s="165" t="str">
        <f t="shared" si="5"/>
        <v/>
      </c>
      <c r="N47" s="165" t="str">
        <f t="shared" si="6"/>
        <v/>
      </c>
      <c r="O47" s="165" t="str">
        <f t="shared" si="7"/>
        <v/>
      </c>
      <c r="P47" s="165" t="str">
        <f t="shared" si="8"/>
        <v/>
      </c>
      <c r="Q47" s="165" t="str">
        <f t="shared" si="9"/>
        <v/>
      </c>
      <c r="R47" s="165" t="str">
        <f t="shared" si="10"/>
        <v/>
      </c>
      <c r="S47" s="165" t="str">
        <f t="shared" si="11"/>
        <v/>
      </c>
    </row>
    <row r="48" spans="1:19" ht="16.5" customHeight="1">
      <c r="A48" s="197">
        <v>50</v>
      </c>
      <c r="B48" s="196">
        <v>3300</v>
      </c>
      <c r="C48" s="165">
        <v>22</v>
      </c>
      <c r="D48" s="165">
        <v>31</v>
      </c>
      <c r="E48" s="197">
        <v>2.5</v>
      </c>
      <c r="F48" s="197">
        <v>0.2</v>
      </c>
      <c r="G48" s="197">
        <f t="shared" si="0"/>
        <v>8.0381284389846139E-2</v>
      </c>
      <c r="H48" s="165">
        <f t="shared" si="1"/>
        <v>11.784114043615313</v>
      </c>
      <c r="I48" s="165">
        <f t="shared" si="2"/>
        <v>280.03802303559303</v>
      </c>
      <c r="J48" s="165">
        <f t="shared" si="3"/>
        <v>350047.52879449126</v>
      </c>
      <c r="L48" s="165" t="str">
        <f t="shared" si="4"/>
        <v/>
      </c>
      <c r="M48" s="165" t="str">
        <f t="shared" si="5"/>
        <v/>
      </c>
      <c r="N48" s="165" t="str">
        <f t="shared" si="6"/>
        <v/>
      </c>
      <c r="O48" s="165" t="str">
        <f t="shared" si="7"/>
        <v/>
      </c>
      <c r="P48" s="165" t="str">
        <f t="shared" si="8"/>
        <v/>
      </c>
      <c r="Q48" s="165" t="str">
        <f t="shared" si="9"/>
        <v/>
      </c>
      <c r="R48" s="165" t="str">
        <f t="shared" si="10"/>
        <v/>
      </c>
      <c r="S48" s="165" t="str">
        <f t="shared" si="11"/>
        <v/>
      </c>
    </row>
    <row r="49" spans="1:19" ht="16.5" customHeight="1">
      <c r="A49" s="197">
        <v>50</v>
      </c>
      <c r="B49" s="196">
        <v>3300</v>
      </c>
      <c r="C49" s="165">
        <v>25</v>
      </c>
      <c r="D49" s="165">
        <v>26</v>
      </c>
      <c r="E49" s="197">
        <v>2.4</v>
      </c>
      <c r="F49" s="197">
        <v>0.2</v>
      </c>
      <c r="G49" s="197">
        <f t="shared" si="0"/>
        <v>8.0381284389846139E-2</v>
      </c>
      <c r="H49" s="165">
        <f t="shared" si="1"/>
        <v>12.762720155208536</v>
      </c>
      <c r="I49" s="165">
        <f t="shared" si="2"/>
        <v>258.56556908467917</v>
      </c>
      <c r="J49" s="165">
        <f t="shared" si="3"/>
        <v>323206.96135584894</v>
      </c>
      <c r="L49" s="165" t="str">
        <f t="shared" si="4"/>
        <v/>
      </c>
      <c r="M49" s="165" t="str">
        <f t="shared" si="5"/>
        <v/>
      </c>
      <c r="N49" s="165" t="str">
        <f t="shared" si="6"/>
        <v/>
      </c>
      <c r="O49" s="165" t="str">
        <f t="shared" si="7"/>
        <v/>
      </c>
      <c r="P49" s="165" t="str">
        <f t="shared" si="8"/>
        <v/>
      </c>
      <c r="Q49" s="165" t="str">
        <f t="shared" si="9"/>
        <v/>
      </c>
      <c r="R49" s="165" t="str">
        <f t="shared" si="10"/>
        <v/>
      </c>
      <c r="S49" s="165" t="str">
        <f t="shared" si="11"/>
        <v/>
      </c>
    </row>
    <row r="50" spans="1:19" ht="16.5" customHeight="1">
      <c r="A50" s="197">
        <v>50</v>
      </c>
      <c r="B50" s="196">
        <v>4700</v>
      </c>
      <c r="C50" s="165">
        <v>22</v>
      </c>
      <c r="D50" s="165">
        <v>36</v>
      </c>
      <c r="E50" s="197">
        <v>3</v>
      </c>
      <c r="F50" s="197">
        <v>0.3</v>
      </c>
      <c r="G50" s="197">
        <f t="shared" si="0"/>
        <v>8.4656884623348583E-2</v>
      </c>
      <c r="H50" s="165">
        <f t="shared" si="1"/>
        <v>13.68477759903714</v>
      </c>
      <c r="I50" s="165">
        <f t="shared" si="2"/>
        <v>343.44730602934254</v>
      </c>
      <c r="J50" s="165">
        <f t="shared" si="3"/>
        <v>429309.13253667817</v>
      </c>
      <c r="L50" s="165" t="str">
        <f t="shared" si="4"/>
        <v/>
      </c>
      <c r="M50" s="165" t="str">
        <f t="shared" si="5"/>
        <v/>
      </c>
      <c r="N50" s="165" t="str">
        <f t="shared" si="6"/>
        <v/>
      </c>
      <c r="O50" s="165" t="str">
        <f t="shared" si="7"/>
        <v/>
      </c>
      <c r="P50" s="165" t="str">
        <f t="shared" si="8"/>
        <v/>
      </c>
      <c r="Q50" s="165" t="str">
        <f t="shared" si="9"/>
        <v/>
      </c>
      <c r="R50" s="165" t="str">
        <f t="shared" si="10"/>
        <v/>
      </c>
      <c r="S50" s="165" t="str">
        <f t="shared" si="11"/>
        <v/>
      </c>
    </row>
    <row r="51" spans="1:19" ht="16.5" customHeight="1">
      <c r="A51" s="197">
        <v>50</v>
      </c>
      <c r="B51" s="196">
        <v>4700</v>
      </c>
      <c r="C51" s="165">
        <v>30</v>
      </c>
      <c r="D51" s="165">
        <v>25</v>
      </c>
      <c r="E51" s="197">
        <v>3</v>
      </c>
      <c r="F51" s="197">
        <v>0.3</v>
      </c>
      <c r="G51" s="197">
        <f t="shared" si="0"/>
        <v>8.4656884623348583E-2</v>
      </c>
      <c r="H51" s="165">
        <f t="shared" si="1"/>
        <v>17.671458676442587</v>
      </c>
      <c r="I51" s="165">
        <f t="shared" si="2"/>
        <v>265.96559378912286</v>
      </c>
      <c r="J51" s="165">
        <f t="shared" si="3"/>
        <v>332456.99223640357</v>
      </c>
      <c r="L51" s="165">
        <f t="shared" si="4"/>
        <v>3324.5699223640358</v>
      </c>
      <c r="M51" s="165">
        <f t="shared" si="5"/>
        <v>282.74333882308139</v>
      </c>
      <c r="N51" s="165">
        <f t="shared" si="6"/>
        <v>282.74333882308139</v>
      </c>
      <c r="O51" s="165">
        <f t="shared" si="7"/>
        <v>50</v>
      </c>
      <c r="P51" s="165">
        <f t="shared" si="8"/>
        <v>4700</v>
      </c>
      <c r="Q51" s="165">
        <f t="shared" si="9"/>
        <v>30</v>
      </c>
      <c r="R51" s="165">
        <f t="shared" si="10"/>
        <v>25</v>
      </c>
      <c r="S51" s="165">
        <f t="shared" si="11"/>
        <v>8.4656884623348583E-2</v>
      </c>
    </row>
    <row r="52" spans="1:19" ht="16.5" customHeight="1">
      <c r="A52" s="197">
        <v>50</v>
      </c>
      <c r="B52" s="196">
        <v>5600</v>
      </c>
      <c r="C52" s="165">
        <v>22</v>
      </c>
      <c r="D52" s="165">
        <v>40</v>
      </c>
      <c r="E52" s="197">
        <v>3</v>
      </c>
      <c r="F52" s="197">
        <v>0.3</v>
      </c>
      <c r="G52" s="197">
        <f t="shared" si="0"/>
        <v>7.1051313880310427E-2</v>
      </c>
      <c r="H52" s="165">
        <f t="shared" si="1"/>
        <v>15.2053084433746</v>
      </c>
      <c r="I52" s="165">
        <f t="shared" si="2"/>
        <v>368.29243029529499</v>
      </c>
      <c r="J52" s="165">
        <f t="shared" si="3"/>
        <v>460365.53786911874</v>
      </c>
      <c r="L52" s="165" t="str">
        <f t="shared" si="4"/>
        <v/>
      </c>
      <c r="M52" s="165" t="str">
        <f t="shared" si="5"/>
        <v/>
      </c>
      <c r="N52" s="165" t="str">
        <f t="shared" si="6"/>
        <v/>
      </c>
      <c r="O52" s="165" t="str">
        <f t="shared" si="7"/>
        <v/>
      </c>
      <c r="P52" s="165" t="str">
        <f t="shared" si="8"/>
        <v/>
      </c>
      <c r="Q52" s="165" t="str">
        <f t="shared" si="9"/>
        <v/>
      </c>
      <c r="R52" s="165" t="str">
        <f t="shared" si="10"/>
        <v/>
      </c>
      <c r="S52" s="165" t="str">
        <f t="shared" si="11"/>
        <v/>
      </c>
    </row>
    <row r="53" spans="1:19" ht="16.5" customHeight="1">
      <c r="A53" s="197">
        <v>50</v>
      </c>
      <c r="B53" s="196">
        <v>5600</v>
      </c>
      <c r="C53" s="165">
        <v>25</v>
      </c>
      <c r="D53" s="165">
        <v>40</v>
      </c>
      <c r="E53" s="197">
        <v>3</v>
      </c>
      <c r="F53" s="197">
        <v>0.3</v>
      </c>
      <c r="G53" s="197">
        <f t="shared" si="0"/>
        <v>7.1051313880310427E-2</v>
      </c>
      <c r="H53" s="165">
        <f t="shared" si="1"/>
        <v>19.634954084936208</v>
      </c>
      <c r="I53" s="165">
        <f t="shared" si="2"/>
        <v>285.20565802067642</v>
      </c>
      <c r="J53" s="165">
        <f t="shared" si="3"/>
        <v>356507.07252584555</v>
      </c>
      <c r="L53" s="165" t="str">
        <f t="shared" si="4"/>
        <v/>
      </c>
      <c r="M53" s="165" t="str">
        <f t="shared" si="5"/>
        <v/>
      </c>
      <c r="N53" s="165" t="str">
        <f t="shared" si="6"/>
        <v/>
      </c>
      <c r="O53" s="165" t="str">
        <f t="shared" si="7"/>
        <v/>
      </c>
      <c r="P53" s="165" t="str">
        <f t="shared" si="8"/>
        <v/>
      </c>
      <c r="Q53" s="165" t="str">
        <f t="shared" si="9"/>
        <v/>
      </c>
      <c r="R53" s="165" t="str">
        <f t="shared" si="10"/>
        <v/>
      </c>
      <c r="S53" s="165" t="str">
        <f t="shared" si="11"/>
        <v/>
      </c>
    </row>
    <row r="54" spans="1:19" ht="16.5" customHeight="1">
      <c r="A54" s="197">
        <v>50</v>
      </c>
      <c r="B54" s="196">
        <v>6800</v>
      </c>
      <c r="C54" s="165">
        <v>22</v>
      </c>
      <c r="D54" s="165">
        <v>50</v>
      </c>
      <c r="E54" s="197">
        <v>3</v>
      </c>
      <c r="F54" s="197">
        <v>0.3</v>
      </c>
      <c r="G54" s="197">
        <f t="shared" si="0"/>
        <v>5.8512846724961529E-2</v>
      </c>
      <c r="H54" s="165">
        <f t="shared" si="1"/>
        <v>19.006635554218249</v>
      </c>
      <c r="I54" s="165">
        <f t="shared" si="2"/>
        <v>357.7697894297151</v>
      </c>
      <c r="J54" s="165">
        <f t="shared" si="3"/>
        <v>447212.23678714386</v>
      </c>
      <c r="L54" s="165" t="str">
        <f t="shared" si="4"/>
        <v/>
      </c>
      <c r="M54" s="165" t="str">
        <f t="shared" si="5"/>
        <v/>
      </c>
      <c r="N54" s="165" t="str">
        <f t="shared" si="6"/>
        <v/>
      </c>
      <c r="O54" s="165" t="str">
        <f t="shared" si="7"/>
        <v/>
      </c>
      <c r="P54" s="165" t="str">
        <f t="shared" si="8"/>
        <v/>
      </c>
      <c r="Q54" s="165" t="str">
        <f t="shared" si="9"/>
        <v/>
      </c>
      <c r="R54" s="165" t="str">
        <f t="shared" si="10"/>
        <v/>
      </c>
      <c r="S54" s="165" t="str">
        <f t="shared" si="11"/>
        <v/>
      </c>
    </row>
    <row r="55" spans="1:19" ht="16.5" customHeight="1">
      <c r="A55" s="197">
        <v>50</v>
      </c>
      <c r="B55" s="196">
        <v>6800</v>
      </c>
      <c r="C55" s="165">
        <v>25</v>
      </c>
      <c r="D55" s="165">
        <v>41</v>
      </c>
      <c r="E55" s="197">
        <v>2.85</v>
      </c>
      <c r="F55" s="197">
        <v>0.3</v>
      </c>
      <c r="G55" s="197">
        <f t="shared" si="0"/>
        <v>5.8512846724961529E-2</v>
      </c>
      <c r="H55" s="165">
        <f t="shared" si="1"/>
        <v>20.125827937059615</v>
      </c>
      <c r="I55" s="165">
        <f t="shared" si="2"/>
        <v>337.87429870045287</v>
      </c>
      <c r="J55" s="165">
        <f t="shared" si="3"/>
        <v>422342.87337556609</v>
      </c>
      <c r="L55" s="165" t="str">
        <f t="shared" si="4"/>
        <v/>
      </c>
      <c r="M55" s="165" t="str">
        <f t="shared" si="5"/>
        <v/>
      </c>
      <c r="N55" s="165" t="str">
        <f t="shared" si="6"/>
        <v/>
      </c>
      <c r="O55" s="165" t="str">
        <f t="shared" si="7"/>
        <v/>
      </c>
      <c r="P55" s="165" t="str">
        <f t="shared" si="8"/>
        <v/>
      </c>
      <c r="Q55" s="165" t="str">
        <f t="shared" si="9"/>
        <v/>
      </c>
      <c r="R55" s="165" t="str">
        <f t="shared" si="10"/>
        <v/>
      </c>
      <c r="S55" s="165" t="str">
        <f t="shared" si="11"/>
        <v/>
      </c>
    </row>
    <row r="56" spans="1:19" ht="16.5" customHeight="1">
      <c r="A56" s="197">
        <v>50</v>
      </c>
      <c r="B56" s="196">
        <v>8200</v>
      </c>
      <c r="C56" s="165">
        <v>25</v>
      </c>
      <c r="D56" s="165">
        <v>46</v>
      </c>
      <c r="E56" s="197">
        <v>3.6</v>
      </c>
      <c r="F56" s="197">
        <v>0.3</v>
      </c>
      <c r="G56" s="197">
        <f t="shared" si="0"/>
        <v>4.8522848503626627E-2</v>
      </c>
      <c r="H56" s="165">
        <f t="shared" si="1"/>
        <v>22.58019719767664</v>
      </c>
      <c r="I56" s="165">
        <f t="shared" si="2"/>
        <v>363.15006145489855</v>
      </c>
      <c r="J56" s="165">
        <f t="shared" si="3"/>
        <v>453937.57681862317</v>
      </c>
      <c r="L56" s="165" t="str">
        <f t="shared" si="4"/>
        <v/>
      </c>
      <c r="M56" s="165" t="str">
        <f t="shared" si="5"/>
        <v/>
      </c>
      <c r="N56" s="165" t="str">
        <f t="shared" si="6"/>
        <v/>
      </c>
      <c r="O56" s="165" t="str">
        <f t="shared" si="7"/>
        <v/>
      </c>
      <c r="P56" s="165" t="str">
        <f t="shared" si="8"/>
        <v/>
      </c>
      <c r="Q56" s="165" t="str">
        <f t="shared" si="9"/>
        <v/>
      </c>
      <c r="R56" s="165" t="str">
        <f t="shared" si="10"/>
        <v/>
      </c>
      <c r="S56" s="165" t="str">
        <f t="shared" si="11"/>
        <v/>
      </c>
    </row>
    <row r="57" spans="1:19" ht="16.5" customHeight="1">
      <c r="A57" s="197">
        <v>50</v>
      </c>
      <c r="B57" s="196">
        <v>8200</v>
      </c>
      <c r="C57" s="165">
        <v>30</v>
      </c>
      <c r="D57" s="165">
        <v>46</v>
      </c>
      <c r="E57" s="197">
        <v>4</v>
      </c>
      <c r="F57" s="197">
        <v>0.3</v>
      </c>
      <c r="G57" s="197">
        <f t="shared" si="0"/>
        <v>4.8522848503626627E-2</v>
      </c>
      <c r="H57" s="165">
        <f t="shared" si="1"/>
        <v>32.515483964654358</v>
      </c>
      <c r="I57" s="165">
        <f t="shared" si="2"/>
        <v>252.18754267701291</v>
      </c>
      <c r="J57" s="165">
        <f t="shared" si="3"/>
        <v>315234.42834626616</v>
      </c>
      <c r="L57" s="165" t="str">
        <f t="shared" si="4"/>
        <v/>
      </c>
      <c r="M57" s="165" t="str">
        <f t="shared" si="5"/>
        <v/>
      </c>
      <c r="N57" s="165" t="str">
        <f t="shared" si="6"/>
        <v/>
      </c>
      <c r="O57" s="165" t="str">
        <f t="shared" si="7"/>
        <v/>
      </c>
      <c r="P57" s="165" t="str">
        <f t="shared" si="8"/>
        <v/>
      </c>
      <c r="Q57" s="165" t="str">
        <f t="shared" si="9"/>
        <v/>
      </c>
      <c r="R57" s="165" t="str">
        <f t="shared" si="10"/>
        <v/>
      </c>
      <c r="S57" s="165" t="str">
        <f t="shared" si="11"/>
        <v/>
      </c>
    </row>
    <row r="58" spans="1:19" ht="16.5" customHeight="1">
      <c r="A58" s="197">
        <v>50</v>
      </c>
      <c r="B58" s="196">
        <v>10000</v>
      </c>
      <c r="C58" s="165">
        <v>25</v>
      </c>
      <c r="D58" s="165">
        <v>50</v>
      </c>
      <c r="E58" s="197">
        <v>3.9</v>
      </c>
      <c r="F58" s="197">
        <v>0.3</v>
      </c>
      <c r="G58" s="197">
        <f t="shared" si="0"/>
        <v>3.9788735772973836E-2</v>
      </c>
      <c r="H58" s="165">
        <f t="shared" si="1"/>
        <v>24.543692606170257</v>
      </c>
      <c r="I58" s="165">
        <f t="shared" si="2"/>
        <v>407.4366543152521</v>
      </c>
      <c r="J58" s="165">
        <f t="shared" si="3"/>
        <v>509295.81789406511</v>
      </c>
      <c r="L58" s="165" t="str">
        <f t="shared" si="4"/>
        <v/>
      </c>
      <c r="M58" s="165" t="str">
        <f t="shared" si="5"/>
        <v/>
      </c>
      <c r="N58" s="165" t="str">
        <f t="shared" si="6"/>
        <v/>
      </c>
      <c r="O58" s="165" t="str">
        <f t="shared" si="7"/>
        <v/>
      </c>
      <c r="P58" s="165" t="str">
        <f t="shared" si="8"/>
        <v/>
      </c>
      <c r="Q58" s="165" t="str">
        <f t="shared" si="9"/>
        <v/>
      </c>
      <c r="R58" s="165" t="str">
        <f t="shared" si="10"/>
        <v/>
      </c>
      <c r="S58" s="165" t="str">
        <f t="shared" si="11"/>
        <v/>
      </c>
    </row>
    <row r="59" spans="1:19" ht="16.5" customHeight="1">
      <c r="A59" s="197">
        <v>50</v>
      </c>
      <c r="B59" s="196">
        <v>10000</v>
      </c>
      <c r="C59" s="165">
        <v>35</v>
      </c>
      <c r="D59" s="165">
        <v>35</v>
      </c>
      <c r="E59" s="197">
        <v>3.8</v>
      </c>
      <c r="F59" s="197">
        <v>0.3</v>
      </c>
      <c r="G59" s="197">
        <f t="shared" si="0"/>
        <v>3.9788735772973836E-2</v>
      </c>
      <c r="H59" s="165">
        <f t="shared" si="1"/>
        <v>33.673946255665598</v>
      </c>
      <c r="I59" s="165">
        <f t="shared" si="2"/>
        <v>296.96549148341984</v>
      </c>
      <c r="J59" s="165">
        <f t="shared" si="3"/>
        <v>371206.86435427482</v>
      </c>
      <c r="L59" s="165" t="str">
        <f t="shared" si="4"/>
        <v/>
      </c>
      <c r="M59" s="165" t="str">
        <f t="shared" si="5"/>
        <v/>
      </c>
      <c r="N59" s="165" t="str">
        <f t="shared" si="6"/>
        <v/>
      </c>
      <c r="O59" s="165" t="str">
        <f t="shared" si="7"/>
        <v/>
      </c>
      <c r="P59" s="165" t="str">
        <f t="shared" si="8"/>
        <v/>
      </c>
      <c r="Q59" s="165" t="str">
        <f t="shared" si="9"/>
        <v/>
      </c>
      <c r="R59" s="165" t="str">
        <f t="shared" si="10"/>
        <v/>
      </c>
      <c r="S59" s="165" t="str">
        <f t="shared" si="11"/>
        <v/>
      </c>
    </row>
    <row r="60" spans="1:19" ht="16.5" customHeight="1">
      <c r="A60" s="197">
        <v>50</v>
      </c>
      <c r="B60" s="196">
        <v>12000</v>
      </c>
      <c r="C60" s="165">
        <v>30</v>
      </c>
      <c r="D60" s="165">
        <v>45</v>
      </c>
      <c r="E60" s="197">
        <v>4.4000000000000004</v>
      </c>
      <c r="F60" s="197">
        <v>0.3</v>
      </c>
      <c r="G60" s="197">
        <f t="shared" si="0"/>
        <v>3.3157279810811534E-2</v>
      </c>
      <c r="H60" s="165">
        <f t="shared" si="1"/>
        <v>31.808625617596658</v>
      </c>
      <c r="I60" s="165">
        <f t="shared" si="2"/>
        <v>377.25616140301116</v>
      </c>
      <c r="J60" s="165">
        <f t="shared" si="3"/>
        <v>471570.20175376395</v>
      </c>
      <c r="L60" s="165" t="str">
        <f t="shared" si="4"/>
        <v/>
      </c>
      <c r="M60" s="165" t="str">
        <f t="shared" si="5"/>
        <v/>
      </c>
      <c r="N60" s="165" t="str">
        <f t="shared" si="6"/>
        <v/>
      </c>
      <c r="O60" s="165" t="str">
        <f t="shared" si="7"/>
        <v/>
      </c>
      <c r="P60" s="165" t="str">
        <f t="shared" si="8"/>
        <v/>
      </c>
      <c r="Q60" s="165" t="str">
        <f t="shared" si="9"/>
        <v/>
      </c>
      <c r="R60" s="165" t="str">
        <f t="shared" si="10"/>
        <v/>
      </c>
      <c r="S60" s="165" t="str">
        <f t="shared" si="11"/>
        <v/>
      </c>
    </row>
    <row r="61" spans="1:19" ht="16.5" customHeight="1">
      <c r="A61" s="197">
        <v>50</v>
      </c>
      <c r="B61" s="196">
        <v>12000</v>
      </c>
      <c r="C61" s="165">
        <v>35</v>
      </c>
      <c r="D61" s="165">
        <v>40</v>
      </c>
      <c r="E61" s="197">
        <v>4.3499999999999996</v>
      </c>
      <c r="F61" s="197">
        <v>0.3</v>
      </c>
      <c r="G61" s="197">
        <f t="shared" si="0"/>
        <v>3.3157279810811534E-2</v>
      </c>
      <c r="H61" s="165">
        <f t="shared" si="1"/>
        <v>38.48451000647497</v>
      </c>
      <c r="I61" s="165">
        <f t="shared" si="2"/>
        <v>311.81376605759084</v>
      </c>
      <c r="J61" s="165">
        <f t="shared" si="3"/>
        <v>389767.20757198858</v>
      </c>
      <c r="L61" s="165" t="str">
        <f t="shared" si="4"/>
        <v/>
      </c>
      <c r="M61" s="165" t="str">
        <f t="shared" si="5"/>
        <v/>
      </c>
      <c r="N61" s="165" t="str">
        <f t="shared" si="6"/>
        <v/>
      </c>
      <c r="O61" s="165" t="str">
        <f t="shared" si="7"/>
        <v/>
      </c>
      <c r="P61" s="165" t="str">
        <f t="shared" si="8"/>
        <v/>
      </c>
      <c r="Q61" s="165" t="str">
        <f t="shared" si="9"/>
        <v/>
      </c>
      <c r="R61" s="165" t="str">
        <f t="shared" si="10"/>
        <v/>
      </c>
      <c r="S61" s="165" t="str">
        <f t="shared" si="11"/>
        <v/>
      </c>
    </row>
    <row r="62" spans="1:19" ht="16.5" customHeight="1">
      <c r="A62" s="197">
        <v>50</v>
      </c>
      <c r="B62" s="196">
        <v>15000</v>
      </c>
      <c r="C62" s="165">
        <v>30</v>
      </c>
      <c r="D62" s="165">
        <v>51</v>
      </c>
      <c r="E62" s="197">
        <v>5.3</v>
      </c>
      <c r="F62" s="197">
        <v>0.3</v>
      </c>
      <c r="G62" s="197">
        <f t="shared" si="0"/>
        <v>2.6525823848649228E-2</v>
      </c>
      <c r="H62" s="165">
        <f t="shared" si="1"/>
        <v>36.049775699942877</v>
      </c>
      <c r="I62" s="165">
        <f t="shared" si="2"/>
        <v>416.09135448861525</v>
      </c>
      <c r="J62" s="165">
        <f t="shared" si="3"/>
        <v>520114.19311076909</v>
      </c>
      <c r="L62" s="165" t="str">
        <f t="shared" si="4"/>
        <v/>
      </c>
      <c r="M62" s="165" t="str">
        <f t="shared" si="5"/>
        <v/>
      </c>
      <c r="N62" s="165" t="str">
        <f t="shared" si="6"/>
        <v/>
      </c>
      <c r="O62" s="165" t="str">
        <f t="shared" si="7"/>
        <v/>
      </c>
      <c r="P62" s="165" t="str">
        <f t="shared" si="8"/>
        <v/>
      </c>
      <c r="Q62" s="165" t="str">
        <f t="shared" si="9"/>
        <v/>
      </c>
      <c r="R62" s="165" t="str">
        <f t="shared" si="10"/>
        <v/>
      </c>
      <c r="S62" s="165" t="str">
        <f t="shared" si="11"/>
        <v/>
      </c>
    </row>
    <row r="63" spans="1:19" ht="16.5" customHeight="1">
      <c r="A63" s="197">
        <v>50</v>
      </c>
      <c r="B63" s="196">
        <v>15000</v>
      </c>
      <c r="C63" s="165">
        <v>35</v>
      </c>
      <c r="D63" s="165">
        <v>42</v>
      </c>
      <c r="E63" s="197">
        <v>4.7</v>
      </c>
      <c r="F63" s="197">
        <v>0.3</v>
      </c>
      <c r="G63" s="197">
        <f t="shared" si="0"/>
        <v>2.6525823848649228E-2</v>
      </c>
      <c r="H63" s="165">
        <f t="shared" si="1"/>
        <v>40.408735506798713</v>
      </c>
      <c r="I63" s="165">
        <f t="shared" si="2"/>
        <v>371.20686435427484</v>
      </c>
      <c r="J63" s="165">
        <f t="shared" si="3"/>
        <v>464008.58044284355</v>
      </c>
      <c r="L63" s="165" t="str">
        <f t="shared" si="4"/>
        <v/>
      </c>
      <c r="M63" s="165" t="str">
        <f t="shared" si="5"/>
        <v/>
      </c>
      <c r="N63" s="165" t="str">
        <f t="shared" si="6"/>
        <v/>
      </c>
      <c r="O63" s="165" t="str">
        <f t="shared" si="7"/>
        <v/>
      </c>
      <c r="P63" s="165" t="str">
        <f t="shared" si="8"/>
        <v/>
      </c>
      <c r="Q63" s="165" t="str">
        <f t="shared" si="9"/>
        <v/>
      </c>
      <c r="R63" s="165" t="str">
        <f t="shared" si="10"/>
        <v/>
      </c>
      <c r="S63" s="165" t="str">
        <f t="shared" si="11"/>
        <v/>
      </c>
    </row>
    <row r="64" spans="1:19" ht="16.5" customHeight="1">
      <c r="A64" s="197">
        <v>50</v>
      </c>
      <c r="B64" s="196">
        <v>18000</v>
      </c>
      <c r="C64" s="165">
        <v>35</v>
      </c>
      <c r="D64" s="165">
        <v>55</v>
      </c>
      <c r="E64" s="197">
        <v>5.6</v>
      </c>
      <c r="F64" s="197">
        <v>0.3</v>
      </c>
      <c r="G64" s="197">
        <f t="shared" si="0"/>
        <v>2.2104853207207689E-2</v>
      </c>
      <c r="H64" s="165">
        <f t="shared" si="1"/>
        <v>52.916201258903079</v>
      </c>
      <c r="I64" s="165">
        <f t="shared" si="2"/>
        <v>340.16047206282639</v>
      </c>
      <c r="J64" s="165">
        <f t="shared" si="3"/>
        <v>425200.59007853299</v>
      </c>
      <c r="L64" s="165" t="str">
        <f t="shared" si="4"/>
        <v/>
      </c>
      <c r="M64" s="165" t="str">
        <f t="shared" si="5"/>
        <v/>
      </c>
      <c r="N64" s="165" t="str">
        <f t="shared" si="6"/>
        <v/>
      </c>
      <c r="O64" s="165" t="str">
        <f t="shared" si="7"/>
        <v/>
      </c>
      <c r="P64" s="165" t="str">
        <f t="shared" si="8"/>
        <v/>
      </c>
      <c r="Q64" s="165" t="str">
        <f t="shared" si="9"/>
        <v/>
      </c>
      <c r="R64" s="165" t="str">
        <f t="shared" si="10"/>
        <v/>
      </c>
      <c r="S64" s="165" t="str">
        <f t="shared" si="11"/>
        <v/>
      </c>
    </row>
    <row r="65" spans="1:19" ht="16.5" customHeight="1">
      <c r="A65" s="197">
        <v>50</v>
      </c>
      <c r="B65" s="196">
        <v>22000</v>
      </c>
      <c r="C65" s="165">
        <v>35</v>
      </c>
      <c r="D65" s="165">
        <v>52</v>
      </c>
      <c r="E65" s="197">
        <v>5.8</v>
      </c>
      <c r="F65" s="197">
        <v>0.3</v>
      </c>
      <c r="G65" s="197">
        <f t="shared" si="0"/>
        <v>1.808578898771538E-2</v>
      </c>
      <c r="H65" s="165">
        <f t="shared" si="1"/>
        <v>50.029863008417465</v>
      </c>
      <c r="I65" s="165">
        <f t="shared" si="2"/>
        <v>439.73736238891013</v>
      </c>
      <c r="J65" s="165">
        <f t="shared" si="3"/>
        <v>549671.70298613771</v>
      </c>
      <c r="L65" s="165" t="str">
        <f t="shared" si="4"/>
        <v/>
      </c>
      <c r="M65" s="165" t="str">
        <f t="shared" si="5"/>
        <v/>
      </c>
      <c r="N65" s="165" t="str">
        <f t="shared" si="6"/>
        <v/>
      </c>
      <c r="O65" s="165" t="str">
        <f t="shared" si="7"/>
        <v/>
      </c>
      <c r="P65" s="165" t="str">
        <f t="shared" si="8"/>
        <v/>
      </c>
      <c r="Q65" s="165" t="str">
        <f t="shared" si="9"/>
        <v/>
      </c>
      <c r="R65" s="165" t="str">
        <f t="shared" si="10"/>
        <v/>
      </c>
      <c r="S65" s="165" t="str">
        <f t="shared" si="11"/>
        <v/>
      </c>
    </row>
    <row r="66" spans="1:19" ht="16.5" customHeight="1">
      <c r="A66" s="197">
        <v>63</v>
      </c>
      <c r="B66" s="196">
        <v>1000</v>
      </c>
      <c r="C66" s="165">
        <v>22</v>
      </c>
      <c r="D66" s="165">
        <v>30</v>
      </c>
      <c r="E66" s="197">
        <v>1.5</v>
      </c>
      <c r="F66" s="197">
        <v>0.2</v>
      </c>
      <c r="G66" s="197">
        <f t="shared" si="0"/>
        <v>0.26525823848649233</v>
      </c>
      <c r="H66" s="165">
        <f t="shared" si="1"/>
        <v>11.403981332530948</v>
      </c>
      <c r="I66" s="165">
        <f t="shared" si="2"/>
        <v>87.688673879832152</v>
      </c>
      <c r="J66" s="165">
        <f t="shared" si="3"/>
        <v>174018.17331452691</v>
      </c>
      <c r="L66" s="165" t="str">
        <f t="shared" si="4"/>
        <v/>
      </c>
      <c r="M66" s="165" t="str">
        <f t="shared" si="5"/>
        <v/>
      </c>
      <c r="N66" s="165" t="str">
        <f t="shared" si="6"/>
        <v/>
      </c>
      <c r="O66" s="165" t="str">
        <f t="shared" si="7"/>
        <v/>
      </c>
      <c r="P66" s="165" t="str">
        <f t="shared" si="8"/>
        <v/>
      </c>
      <c r="Q66" s="165" t="str">
        <f t="shared" si="9"/>
        <v/>
      </c>
      <c r="R66" s="165" t="str">
        <f t="shared" si="10"/>
        <v/>
      </c>
      <c r="S66" s="165" t="str">
        <f t="shared" si="11"/>
        <v/>
      </c>
    </row>
    <row r="67" spans="1:19" ht="16.5" customHeight="1">
      <c r="A67" s="197">
        <v>63</v>
      </c>
      <c r="B67" s="196">
        <v>1000</v>
      </c>
      <c r="C67" s="165">
        <v>22</v>
      </c>
      <c r="D67" s="165">
        <v>25</v>
      </c>
      <c r="E67" s="197">
        <v>1.45</v>
      </c>
      <c r="F67" s="197">
        <v>0.2</v>
      </c>
      <c r="G67" s="197">
        <f t="shared" si="0"/>
        <v>0.26525823848649233</v>
      </c>
      <c r="H67" s="165">
        <f t="shared" si="1"/>
        <v>9.5033177771091246</v>
      </c>
      <c r="I67" s="165">
        <f t="shared" si="2"/>
        <v>105.22640865579856</v>
      </c>
      <c r="J67" s="165">
        <f t="shared" si="3"/>
        <v>208821.80797743224</v>
      </c>
      <c r="L67" s="165">
        <f t="shared" si="4"/>
        <v>1315.3301081974821</v>
      </c>
      <c r="M67" s="165">
        <f t="shared" si="5"/>
        <v>684.23887995185692</v>
      </c>
      <c r="N67" s="165" t="str">
        <f t="shared" si="6"/>
        <v/>
      </c>
      <c r="O67" s="165" t="str">
        <f t="shared" si="7"/>
        <v/>
      </c>
      <c r="P67" s="165" t="str">
        <f t="shared" si="8"/>
        <v/>
      </c>
      <c r="Q67" s="165" t="str">
        <f t="shared" si="9"/>
        <v/>
      </c>
      <c r="R67" s="165" t="str">
        <f t="shared" si="10"/>
        <v/>
      </c>
      <c r="S67" s="165" t="str">
        <f t="shared" si="11"/>
        <v/>
      </c>
    </row>
    <row r="68" spans="1:19" ht="16.5" customHeight="1">
      <c r="A68" s="197">
        <v>63</v>
      </c>
      <c r="B68" s="196">
        <v>1500</v>
      </c>
      <c r="C68" s="165">
        <v>22</v>
      </c>
      <c r="D68" s="165">
        <v>30</v>
      </c>
      <c r="E68" s="197">
        <v>1.8</v>
      </c>
      <c r="F68" s="197">
        <v>0.2</v>
      </c>
      <c r="G68" s="197">
        <f t="shared" ref="G68:G131" si="13">F68/(2*PI()*120*B68*10^-6)</f>
        <v>0.17683882565766154</v>
      </c>
      <c r="H68" s="165">
        <f t="shared" ref="H68:H131" si="14">0.001*D68*PI()*(C68/2)^2</f>
        <v>11.403981332530948</v>
      </c>
      <c r="I68" s="165">
        <f t="shared" ref="I68:I131" si="15">B68/H68</f>
        <v>131.53301081974823</v>
      </c>
      <c r="J68" s="165">
        <f t="shared" ref="J68:J131" si="16">0.5*I68*A68^2</f>
        <v>261027.25997179036</v>
      </c>
      <c r="L68" s="165" t="str">
        <f t="shared" ref="L68:L131" si="17">IF(AND($W$9&lt;A68,D68&lt;=$W$14),0.5*I68*$W$7,"")</f>
        <v/>
      </c>
      <c r="M68" s="165" t="str">
        <f t="shared" ref="M68:M131" si="18">IF(L68&lt;&gt;"",ROUNDUP($W$12/B68,0)*H68,"")</f>
        <v/>
      </c>
      <c r="N68" s="165" t="str">
        <f t="shared" ref="N68:N131" si="19">IF(M68=MIN($M$4:$M$266),M68,"")</f>
        <v/>
      </c>
      <c r="O68" s="165" t="str">
        <f t="shared" ref="O68:O131" si="20">IF($N68=MIN($M$4:$M$266),A68,"")</f>
        <v/>
      </c>
      <c r="P68" s="165" t="str">
        <f t="shared" ref="P68:P131" si="21">IF($N68=MIN($M$4:$M$266),B68,"")</f>
        <v/>
      </c>
      <c r="Q68" s="165" t="str">
        <f t="shared" ref="Q68:Q131" si="22">IF($N68=MIN($M$4:$M$266),C68,"")</f>
        <v/>
      </c>
      <c r="R68" s="165" t="str">
        <f t="shared" ref="R68:R131" si="23">IF($N68=MIN($M$4:$M$266),D68,"")</f>
        <v/>
      </c>
      <c r="S68" s="165" t="str">
        <f t="shared" ref="S68:S131" si="24">IF($N68=MIN($M$4:$M$266),G68,"")</f>
        <v/>
      </c>
    </row>
    <row r="69" spans="1:19" ht="16.5" customHeight="1">
      <c r="A69" s="197">
        <v>63</v>
      </c>
      <c r="B69" s="196">
        <v>1500</v>
      </c>
      <c r="C69" s="165">
        <v>22</v>
      </c>
      <c r="D69" s="165">
        <v>25</v>
      </c>
      <c r="E69" s="197">
        <v>1.75</v>
      </c>
      <c r="F69" s="197">
        <v>0.2</v>
      </c>
      <c r="G69" s="197">
        <f t="shared" si="13"/>
        <v>0.17683882565766154</v>
      </c>
      <c r="H69" s="165">
        <f t="shared" si="14"/>
        <v>9.5033177771091246</v>
      </c>
      <c r="I69" s="165">
        <f t="shared" si="15"/>
        <v>157.83961298369786</v>
      </c>
      <c r="J69" s="165">
        <f t="shared" si="16"/>
        <v>313232.7119661484</v>
      </c>
      <c r="L69" s="165">
        <f t="shared" si="17"/>
        <v>1972.9951622962233</v>
      </c>
      <c r="M69" s="165">
        <f t="shared" si="18"/>
        <v>456.15925330123798</v>
      </c>
      <c r="N69" s="165" t="str">
        <f t="shared" si="19"/>
        <v/>
      </c>
      <c r="O69" s="165" t="str">
        <f t="shared" si="20"/>
        <v/>
      </c>
      <c r="P69" s="165" t="str">
        <f t="shared" si="21"/>
        <v/>
      </c>
      <c r="Q69" s="165" t="str">
        <f t="shared" si="22"/>
        <v/>
      </c>
      <c r="R69" s="165" t="str">
        <f t="shared" si="23"/>
        <v/>
      </c>
      <c r="S69" s="165" t="str">
        <f t="shared" si="24"/>
        <v/>
      </c>
    </row>
    <row r="70" spans="1:19" ht="16.5" customHeight="1">
      <c r="A70" s="197">
        <v>63</v>
      </c>
      <c r="B70" s="196">
        <v>2200</v>
      </c>
      <c r="C70" s="165">
        <v>22</v>
      </c>
      <c r="D70" s="165">
        <v>30</v>
      </c>
      <c r="E70" s="197">
        <v>2.1</v>
      </c>
      <c r="F70" s="197">
        <v>0.2</v>
      </c>
      <c r="G70" s="197">
        <f t="shared" si="13"/>
        <v>0.12057192658476922</v>
      </c>
      <c r="H70" s="165">
        <f t="shared" si="14"/>
        <v>11.403981332530948</v>
      </c>
      <c r="I70" s="165">
        <f t="shared" si="15"/>
        <v>192.91508253563072</v>
      </c>
      <c r="J70" s="165">
        <f t="shared" si="16"/>
        <v>382839.98129195918</v>
      </c>
      <c r="L70" s="165" t="str">
        <f t="shared" si="17"/>
        <v/>
      </c>
      <c r="M70" s="165" t="str">
        <f t="shared" si="18"/>
        <v/>
      </c>
      <c r="N70" s="165" t="str">
        <f t="shared" si="19"/>
        <v/>
      </c>
      <c r="O70" s="165" t="str">
        <f t="shared" si="20"/>
        <v/>
      </c>
      <c r="P70" s="165" t="str">
        <f t="shared" si="21"/>
        <v/>
      </c>
      <c r="Q70" s="165" t="str">
        <f t="shared" si="22"/>
        <v/>
      </c>
      <c r="R70" s="165" t="str">
        <f t="shared" si="23"/>
        <v/>
      </c>
      <c r="S70" s="165" t="str">
        <f t="shared" si="24"/>
        <v/>
      </c>
    </row>
    <row r="71" spans="1:19" ht="16.5" customHeight="1">
      <c r="A71" s="197">
        <v>63</v>
      </c>
      <c r="B71" s="196">
        <v>2200</v>
      </c>
      <c r="C71" s="165">
        <v>26</v>
      </c>
      <c r="D71" s="165">
        <v>25</v>
      </c>
      <c r="E71" s="197">
        <v>2</v>
      </c>
      <c r="F71" s="197">
        <v>0.2</v>
      </c>
      <c r="G71" s="197">
        <f t="shared" si="13"/>
        <v>0.12057192658476922</v>
      </c>
      <c r="H71" s="165">
        <f t="shared" si="14"/>
        <v>13.273228961416876</v>
      </c>
      <c r="I71" s="165">
        <f t="shared" si="15"/>
        <v>165.74715966966616</v>
      </c>
      <c r="J71" s="165">
        <f t="shared" si="16"/>
        <v>328925.2383644525</v>
      </c>
      <c r="L71" s="165">
        <f t="shared" si="17"/>
        <v>2071.8394958708268</v>
      </c>
      <c r="M71" s="165">
        <f t="shared" si="18"/>
        <v>438.01655572675691</v>
      </c>
      <c r="N71" s="165" t="str">
        <f t="shared" si="19"/>
        <v/>
      </c>
      <c r="O71" s="165" t="str">
        <f t="shared" si="20"/>
        <v/>
      </c>
      <c r="P71" s="165" t="str">
        <f t="shared" si="21"/>
        <v/>
      </c>
      <c r="Q71" s="165" t="str">
        <f t="shared" si="22"/>
        <v/>
      </c>
      <c r="R71" s="165" t="str">
        <f t="shared" si="23"/>
        <v/>
      </c>
      <c r="S71" s="165" t="str">
        <f t="shared" si="24"/>
        <v/>
      </c>
    </row>
    <row r="72" spans="1:19" ht="16.5" customHeight="1">
      <c r="A72" s="197">
        <v>63</v>
      </c>
      <c r="B72" s="196">
        <v>2700</v>
      </c>
      <c r="C72" s="165">
        <v>22</v>
      </c>
      <c r="D72" s="165">
        <v>36</v>
      </c>
      <c r="E72" s="197">
        <v>2.8</v>
      </c>
      <c r="F72" s="197">
        <v>0.2</v>
      </c>
      <c r="G72" s="197">
        <f t="shared" si="13"/>
        <v>9.8243792032034191E-2</v>
      </c>
      <c r="H72" s="165">
        <f t="shared" si="14"/>
        <v>13.68477759903714</v>
      </c>
      <c r="I72" s="165">
        <f t="shared" si="15"/>
        <v>197.2995162296223</v>
      </c>
      <c r="J72" s="165">
        <f t="shared" si="16"/>
        <v>391540.88995768543</v>
      </c>
      <c r="L72" s="165" t="str">
        <f t="shared" si="17"/>
        <v/>
      </c>
      <c r="M72" s="165" t="str">
        <f t="shared" si="18"/>
        <v/>
      </c>
      <c r="N72" s="165" t="str">
        <f t="shared" si="19"/>
        <v/>
      </c>
      <c r="O72" s="165" t="str">
        <f t="shared" si="20"/>
        <v/>
      </c>
      <c r="P72" s="165" t="str">
        <f t="shared" si="21"/>
        <v/>
      </c>
      <c r="Q72" s="165" t="str">
        <f t="shared" si="22"/>
        <v/>
      </c>
      <c r="R72" s="165" t="str">
        <f t="shared" si="23"/>
        <v/>
      </c>
      <c r="S72" s="165" t="str">
        <f t="shared" si="24"/>
        <v/>
      </c>
    </row>
    <row r="73" spans="1:19" ht="16.5" customHeight="1">
      <c r="A73" s="197">
        <v>63</v>
      </c>
      <c r="B73" s="196">
        <v>2700</v>
      </c>
      <c r="C73" s="165">
        <v>25</v>
      </c>
      <c r="D73" s="165">
        <v>31</v>
      </c>
      <c r="E73" s="197">
        <v>2.7</v>
      </c>
      <c r="F73" s="197">
        <v>0.2</v>
      </c>
      <c r="G73" s="197">
        <f t="shared" si="13"/>
        <v>9.8243792032034191E-2</v>
      </c>
      <c r="H73" s="165">
        <f t="shared" si="14"/>
        <v>15.217089415825559</v>
      </c>
      <c r="I73" s="165">
        <f t="shared" si="15"/>
        <v>177.43209139535173</v>
      </c>
      <c r="J73" s="165">
        <f t="shared" si="16"/>
        <v>352113.98537407554</v>
      </c>
      <c r="L73" s="165" t="str">
        <f t="shared" si="17"/>
        <v/>
      </c>
      <c r="M73" s="165" t="str">
        <f t="shared" si="18"/>
        <v/>
      </c>
      <c r="N73" s="165" t="str">
        <f t="shared" si="19"/>
        <v/>
      </c>
      <c r="O73" s="165" t="str">
        <f t="shared" si="20"/>
        <v/>
      </c>
      <c r="P73" s="165" t="str">
        <f t="shared" si="21"/>
        <v/>
      </c>
      <c r="Q73" s="165" t="str">
        <f t="shared" si="22"/>
        <v/>
      </c>
      <c r="R73" s="165" t="str">
        <f t="shared" si="23"/>
        <v/>
      </c>
      <c r="S73" s="165" t="str">
        <f t="shared" si="24"/>
        <v/>
      </c>
    </row>
    <row r="74" spans="1:19" ht="16.5" customHeight="1">
      <c r="A74" s="197">
        <v>63</v>
      </c>
      <c r="B74" s="196">
        <v>3300</v>
      </c>
      <c r="C74" s="165">
        <v>22</v>
      </c>
      <c r="D74" s="165">
        <v>40</v>
      </c>
      <c r="E74" s="197">
        <v>2.81</v>
      </c>
      <c r="F74" s="197">
        <v>0.2</v>
      </c>
      <c r="G74" s="197">
        <f t="shared" si="13"/>
        <v>8.0381284389846139E-2</v>
      </c>
      <c r="H74" s="165">
        <f t="shared" si="14"/>
        <v>15.2053084433746</v>
      </c>
      <c r="I74" s="165">
        <f t="shared" si="15"/>
        <v>217.02946785258453</v>
      </c>
      <c r="J74" s="165">
        <f t="shared" si="16"/>
        <v>430694.978953454</v>
      </c>
      <c r="L74" s="165" t="str">
        <f t="shared" si="17"/>
        <v/>
      </c>
      <c r="M74" s="165" t="str">
        <f t="shared" si="18"/>
        <v/>
      </c>
      <c r="N74" s="165" t="str">
        <f t="shared" si="19"/>
        <v/>
      </c>
      <c r="O74" s="165" t="str">
        <f t="shared" si="20"/>
        <v/>
      </c>
      <c r="P74" s="165" t="str">
        <f t="shared" si="21"/>
        <v/>
      </c>
      <c r="Q74" s="165" t="str">
        <f t="shared" si="22"/>
        <v/>
      </c>
      <c r="R74" s="165" t="str">
        <f t="shared" si="23"/>
        <v/>
      </c>
      <c r="S74" s="165" t="str">
        <f t="shared" si="24"/>
        <v/>
      </c>
    </row>
    <row r="75" spans="1:19" ht="16.5" customHeight="1">
      <c r="A75" s="197">
        <v>63</v>
      </c>
      <c r="B75" s="196">
        <v>3300</v>
      </c>
      <c r="C75" s="165">
        <v>25</v>
      </c>
      <c r="D75" s="165">
        <v>35</v>
      </c>
      <c r="E75" s="197">
        <v>2.9</v>
      </c>
      <c r="F75" s="197">
        <v>0.2</v>
      </c>
      <c r="G75" s="197">
        <f t="shared" si="13"/>
        <v>8.0381284389846139E-2</v>
      </c>
      <c r="H75" s="165">
        <f t="shared" si="14"/>
        <v>17.180584824319183</v>
      </c>
      <c r="I75" s="165">
        <f t="shared" si="15"/>
        <v>192.07727989147597</v>
      </c>
      <c r="J75" s="165">
        <f t="shared" si="16"/>
        <v>381177.36194463406</v>
      </c>
      <c r="L75" s="165" t="str">
        <f t="shared" si="17"/>
        <v/>
      </c>
      <c r="M75" s="165" t="str">
        <f t="shared" si="18"/>
        <v/>
      </c>
      <c r="N75" s="165" t="str">
        <f t="shared" si="19"/>
        <v/>
      </c>
      <c r="O75" s="165" t="str">
        <f t="shared" si="20"/>
        <v/>
      </c>
      <c r="P75" s="165" t="str">
        <f t="shared" si="21"/>
        <v/>
      </c>
      <c r="Q75" s="165" t="str">
        <f t="shared" si="22"/>
        <v/>
      </c>
      <c r="R75" s="165" t="str">
        <f t="shared" si="23"/>
        <v/>
      </c>
      <c r="S75" s="165" t="str">
        <f t="shared" si="24"/>
        <v/>
      </c>
    </row>
    <row r="76" spans="1:19" ht="16.5" customHeight="1">
      <c r="A76" s="197">
        <v>63</v>
      </c>
      <c r="B76" s="196">
        <v>3900</v>
      </c>
      <c r="C76" s="165">
        <v>22</v>
      </c>
      <c r="D76" s="165">
        <v>40</v>
      </c>
      <c r="E76" s="197">
        <v>3.2</v>
      </c>
      <c r="F76" s="197">
        <v>0.2</v>
      </c>
      <c r="G76" s="197">
        <f t="shared" si="13"/>
        <v>6.801493294525443E-2</v>
      </c>
      <c r="H76" s="165">
        <f t="shared" si="14"/>
        <v>15.2053084433746</v>
      </c>
      <c r="I76" s="165">
        <f t="shared" si="15"/>
        <v>256.48937109850903</v>
      </c>
      <c r="J76" s="165">
        <f t="shared" si="16"/>
        <v>509003.15694499115</v>
      </c>
      <c r="L76" s="165" t="str">
        <f t="shared" si="17"/>
        <v/>
      </c>
      <c r="M76" s="165" t="str">
        <f t="shared" si="18"/>
        <v/>
      </c>
      <c r="N76" s="165" t="str">
        <f t="shared" si="19"/>
        <v/>
      </c>
      <c r="O76" s="165" t="str">
        <f t="shared" si="20"/>
        <v/>
      </c>
      <c r="P76" s="165" t="str">
        <f t="shared" si="21"/>
        <v/>
      </c>
      <c r="Q76" s="165" t="str">
        <f t="shared" si="22"/>
        <v/>
      </c>
      <c r="R76" s="165" t="str">
        <f t="shared" si="23"/>
        <v/>
      </c>
      <c r="S76" s="165" t="str">
        <f t="shared" si="24"/>
        <v/>
      </c>
    </row>
    <row r="77" spans="1:19" ht="16.5" customHeight="1">
      <c r="A77" s="197">
        <v>63</v>
      </c>
      <c r="B77" s="196">
        <v>3900</v>
      </c>
      <c r="C77" s="165">
        <v>25</v>
      </c>
      <c r="D77" s="165">
        <v>40</v>
      </c>
      <c r="E77" s="197">
        <v>3.2</v>
      </c>
      <c r="F77" s="197">
        <v>0.2</v>
      </c>
      <c r="G77" s="197">
        <f t="shared" si="13"/>
        <v>6.801493294525443E-2</v>
      </c>
      <c r="H77" s="165">
        <f t="shared" si="14"/>
        <v>19.634954084936208</v>
      </c>
      <c r="I77" s="165">
        <f t="shared" si="15"/>
        <v>198.62536897868537</v>
      </c>
      <c r="J77" s="165">
        <f t="shared" si="16"/>
        <v>394172.04473820113</v>
      </c>
      <c r="L77" s="165" t="str">
        <f t="shared" si="17"/>
        <v/>
      </c>
      <c r="M77" s="165" t="str">
        <f t="shared" si="18"/>
        <v/>
      </c>
      <c r="N77" s="165" t="str">
        <f t="shared" si="19"/>
        <v/>
      </c>
      <c r="O77" s="165" t="str">
        <f t="shared" si="20"/>
        <v/>
      </c>
      <c r="P77" s="165" t="str">
        <f t="shared" si="21"/>
        <v/>
      </c>
      <c r="Q77" s="165" t="str">
        <f t="shared" si="22"/>
        <v/>
      </c>
      <c r="R77" s="165" t="str">
        <f t="shared" si="23"/>
        <v/>
      </c>
      <c r="S77" s="165" t="str">
        <f t="shared" si="24"/>
        <v/>
      </c>
    </row>
    <row r="78" spans="1:19" ht="16.5" customHeight="1">
      <c r="A78" s="197">
        <v>63</v>
      </c>
      <c r="B78" s="196">
        <v>4700</v>
      </c>
      <c r="C78" s="165">
        <v>22</v>
      </c>
      <c r="D78" s="165">
        <v>50</v>
      </c>
      <c r="E78" s="197">
        <v>3.2</v>
      </c>
      <c r="F78" s="197">
        <v>0.3</v>
      </c>
      <c r="G78" s="197">
        <f t="shared" si="13"/>
        <v>8.4656884623348583E-2</v>
      </c>
      <c r="H78" s="165">
        <f t="shared" si="14"/>
        <v>19.006635554218249</v>
      </c>
      <c r="I78" s="165">
        <f t="shared" si="15"/>
        <v>247.28206034112662</v>
      </c>
      <c r="J78" s="165">
        <f t="shared" si="16"/>
        <v>490731.24874696578</v>
      </c>
      <c r="L78" s="165" t="str">
        <f t="shared" si="17"/>
        <v/>
      </c>
      <c r="M78" s="165" t="str">
        <f t="shared" si="18"/>
        <v/>
      </c>
      <c r="N78" s="165" t="str">
        <f t="shared" si="19"/>
        <v/>
      </c>
      <c r="O78" s="165" t="str">
        <f t="shared" si="20"/>
        <v/>
      </c>
      <c r="P78" s="165" t="str">
        <f t="shared" si="21"/>
        <v/>
      </c>
      <c r="Q78" s="165" t="str">
        <f t="shared" si="22"/>
        <v/>
      </c>
      <c r="R78" s="165" t="str">
        <f t="shared" si="23"/>
        <v/>
      </c>
      <c r="S78" s="165" t="str">
        <f t="shared" si="24"/>
        <v/>
      </c>
    </row>
    <row r="79" spans="1:19" ht="16.5" customHeight="1">
      <c r="A79" s="197">
        <v>63</v>
      </c>
      <c r="B79" s="196">
        <v>4700</v>
      </c>
      <c r="C79" s="165">
        <v>26</v>
      </c>
      <c r="D79" s="165">
        <v>40</v>
      </c>
      <c r="E79" s="197">
        <v>3.11</v>
      </c>
      <c r="F79" s="197">
        <v>0.3</v>
      </c>
      <c r="G79" s="197">
        <f t="shared" si="13"/>
        <v>8.4656884623348583E-2</v>
      </c>
      <c r="H79" s="165">
        <f t="shared" si="14"/>
        <v>21.237166338267002</v>
      </c>
      <c r="I79" s="165">
        <f t="shared" si="15"/>
        <v>221.31012796802014</v>
      </c>
      <c r="J79" s="165">
        <f t="shared" si="16"/>
        <v>439189.94895253598</v>
      </c>
      <c r="L79" s="165" t="str">
        <f t="shared" si="17"/>
        <v/>
      </c>
      <c r="M79" s="165" t="str">
        <f t="shared" si="18"/>
        <v/>
      </c>
      <c r="N79" s="165" t="str">
        <f t="shared" si="19"/>
        <v/>
      </c>
      <c r="O79" s="165" t="str">
        <f t="shared" si="20"/>
        <v/>
      </c>
      <c r="P79" s="165" t="str">
        <f t="shared" si="21"/>
        <v/>
      </c>
      <c r="Q79" s="165" t="str">
        <f t="shared" si="22"/>
        <v/>
      </c>
      <c r="R79" s="165" t="str">
        <f t="shared" si="23"/>
        <v/>
      </c>
      <c r="S79" s="165" t="str">
        <f t="shared" si="24"/>
        <v/>
      </c>
    </row>
    <row r="80" spans="1:19" ht="16.5" customHeight="1">
      <c r="A80" s="197">
        <v>63</v>
      </c>
      <c r="B80" s="196">
        <v>5600</v>
      </c>
      <c r="C80" s="165">
        <v>25</v>
      </c>
      <c r="D80" s="165">
        <v>46</v>
      </c>
      <c r="E80" s="197">
        <v>3.8</v>
      </c>
      <c r="F80" s="197">
        <v>0.3</v>
      </c>
      <c r="G80" s="197">
        <f t="shared" si="13"/>
        <v>7.1051313880310427E-2</v>
      </c>
      <c r="H80" s="165">
        <f t="shared" si="14"/>
        <v>22.58019719767664</v>
      </c>
      <c r="I80" s="165">
        <f t="shared" si="15"/>
        <v>248.00492001797952</v>
      </c>
      <c r="J80" s="165">
        <f t="shared" si="16"/>
        <v>492165.76377568033</v>
      </c>
      <c r="L80" s="165" t="str">
        <f t="shared" si="17"/>
        <v/>
      </c>
      <c r="M80" s="165" t="str">
        <f t="shared" si="18"/>
        <v/>
      </c>
      <c r="N80" s="165" t="str">
        <f t="shared" si="19"/>
        <v/>
      </c>
      <c r="O80" s="165" t="str">
        <f t="shared" si="20"/>
        <v/>
      </c>
      <c r="P80" s="165" t="str">
        <f t="shared" si="21"/>
        <v/>
      </c>
      <c r="Q80" s="165" t="str">
        <f t="shared" si="22"/>
        <v/>
      </c>
      <c r="R80" s="165" t="str">
        <f t="shared" si="23"/>
        <v/>
      </c>
      <c r="S80" s="165" t="str">
        <f t="shared" si="24"/>
        <v/>
      </c>
    </row>
    <row r="81" spans="1:19" ht="16.5" customHeight="1">
      <c r="A81" s="197">
        <v>63</v>
      </c>
      <c r="B81" s="196">
        <v>5600</v>
      </c>
      <c r="C81" s="165">
        <v>30</v>
      </c>
      <c r="D81" s="165">
        <v>40</v>
      </c>
      <c r="E81" s="197">
        <v>3.7</v>
      </c>
      <c r="F81" s="197">
        <v>0.3</v>
      </c>
      <c r="G81" s="197">
        <f t="shared" si="13"/>
        <v>7.1051313880310427E-2</v>
      </c>
      <c r="H81" s="165">
        <f t="shared" si="14"/>
        <v>28.274333882308142</v>
      </c>
      <c r="I81" s="165">
        <f t="shared" si="15"/>
        <v>198.05948473658086</v>
      </c>
      <c r="J81" s="165">
        <f t="shared" si="16"/>
        <v>393049.04745974473</v>
      </c>
      <c r="L81" s="165" t="str">
        <f t="shared" si="17"/>
        <v/>
      </c>
      <c r="M81" s="165" t="str">
        <f t="shared" si="18"/>
        <v/>
      </c>
      <c r="N81" s="165" t="str">
        <f t="shared" si="19"/>
        <v/>
      </c>
      <c r="O81" s="165" t="str">
        <f t="shared" si="20"/>
        <v/>
      </c>
      <c r="P81" s="165" t="str">
        <f t="shared" si="21"/>
        <v/>
      </c>
      <c r="Q81" s="165" t="str">
        <f t="shared" si="22"/>
        <v/>
      </c>
      <c r="R81" s="165" t="str">
        <f t="shared" si="23"/>
        <v/>
      </c>
      <c r="S81" s="165" t="str">
        <f t="shared" si="24"/>
        <v/>
      </c>
    </row>
    <row r="82" spans="1:19" ht="16.5" customHeight="1">
      <c r="A82" s="197">
        <v>63</v>
      </c>
      <c r="B82" s="196">
        <v>6800</v>
      </c>
      <c r="C82" s="165">
        <v>25</v>
      </c>
      <c r="D82" s="165">
        <v>50</v>
      </c>
      <c r="E82" s="197">
        <v>3.68</v>
      </c>
      <c r="F82" s="197">
        <v>0.3</v>
      </c>
      <c r="G82" s="197">
        <f t="shared" si="13"/>
        <v>5.8512846724961529E-2</v>
      </c>
      <c r="H82" s="165">
        <f t="shared" si="14"/>
        <v>24.543692606170257</v>
      </c>
      <c r="I82" s="165">
        <f t="shared" si="15"/>
        <v>277.05692493437141</v>
      </c>
      <c r="J82" s="165">
        <f t="shared" si="16"/>
        <v>549819.46753226011</v>
      </c>
      <c r="L82" s="165" t="str">
        <f t="shared" si="17"/>
        <v/>
      </c>
      <c r="M82" s="165" t="str">
        <f t="shared" si="18"/>
        <v/>
      </c>
      <c r="N82" s="165" t="str">
        <f t="shared" si="19"/>
        <v/>
      </c>
      <c r="O82" s="165" t="str">
        <f t="shared" si="20"/>
        <v/>
      </c>
      <c r="P82" s="165" t="str">
        <f t="shared" si="21"/>
        <v/>
      </c>
      <c r="Q82" s="165" t="str">
        <f t="shared" si="22"/>
        <v/>
      </c>
      <c r="R82" s="165" t="str">
        <f t="shared" si="23"/>
        <v/>
      </c>
      <c r="S82" s="165" t="str">
        <f t="shared" si="24"/>
        <v/>
      </c>
    </row>
    <row r="83" spans="1:19" ht="16.5" customHeight="1">
      <c r="A83" s="197">
        <v>63</v>
      </c>
      <c r="B83" s="196">
        <v>6800</v>
      </c>
      <c r="C83" s="165">
        <v>30</v>
      </c>
      <c r="D83" s="165">
        <v>40</v>
      </c>
      <c r="E83" s="197">
        <v>3.54</v>
      </c>
      <c r="F83" s="197">
        <v>0.3</v>
      </c>
      <c r="G83" s="197">
        <f t="shared" si="13"/>
        <v>5.8512846724961529E-2</v>
      </c>
      <c r="H83" s="165">
        <f t="shared" si="14"/>
        <v>28.274333882308142</v>
      </c>
      <c r="I83" s="165">
        <f t="shared" si="15"/>
        <v>240.50080289441959</v>
      </c>
      <c r="J83" s="165">
        <f t="shared" si="16"/>
        <v>477273.84334397566</v>
      </c>
      <c r="L83" s="165" t="str">
        <f t="shared" si="17"/>
        <v/>
      </c>
      <c r="M83" s="165" t="str">
        <f t="shared" si="18"/>
        <v/>
      </c>
      <c r="N83" s="165" t="str">
        <f t="shared" si="19"/>
        <v/>
      </c>
      <c r="O83" s="165" t="str">
        <f t="shared" si="20"/>
        <v/>
      </c>
      <c r="P83" s="165" t="str">
        <f t="shared" si="21"/>
        <v/>
      </c>
      <c r="Q83" s="165" t="str">
        <f t="shared" si="22"/>
        <v/>
      </c>
      <c r="R83" s="165" t="str">
        <f t="shared" si="23"/>
        <v/>
      </c>
      <c r="S83" s="165" t="str">
        <f t="shared" si="24"/>
        <v/>
      </c>
    </row>
    <row r="84" spans="1:19" ht="16.5" customHeight="1">
      <c r="A84" s="197">
        <v>63</v>
      </c>
      <c r="B84" s="196">
        <v>8200</v>
      </c>
      <c r="C84" s="165">
        <v>30</v>
      </c>
      <c r="D84" s="165">
        <v>46</v>
      </c>
      <c r="E84" s="197">
        <v>3.99</v>
      </c>
      <c r="F84" s="197">
        <v>0.3</v>
      </c>
      <c r="G84" s="197">
        <f t="shared" si="13"/>
        <v>4.8522848503626627E-2</v>
      </c>
      <c r="H84" s="165">
        <f t="shared" si="14"/>
        <v>32.515483964654358</v>
      </c>
      <c r="I84" s="165">
        <f t="shared" si="15"/>
        <v>252.18754267701291</v>
      </c>
      <c r="J84" s="165">
        <f t="shared" si="16"/>
        <v>500466.17844253214</v>
      </c>
      <c r="L84" s="165" t="str">
        <f t="shared" si="17"/>
        <v/>
      </c>
      <c r="M84" s="165" t="str">
        <f t="shared" si="18"/>
        <v/>
      </c>
      <c r="N84" s="165" t="str">
        <f t="shared" si="19"/>
        <v/>
      </c>
      <c r="O84" s="165" t="str">
        <f t="shared" si="20"/>
        <v/>
      </c>
      <c r="P84" s="165" t="str">
        <f t="shared" si="21"/>
        <v/>
      </c>
      <c r="Q84" s="165" t="str">
        <f t="shared" si="22"/>
        <v/>
      </c>
      <c r="R84" s="165" t="str">
        <f t="shared" si="23"/>
        <v/>
      </c>
      <c r="S84" s="165" t="str">
        <f t="shared" si="24"/>
        <v/>
      </c>
    </row>
    <row r="85" spans="1:19" ht="16.5" customHeight="1">
      <c r="A85" s="197">
        <v>63</v>
      </c>
      <c r="B85" s="196">
        <v>8200</v>
      </c>
      <c r="C85" s="165">
        <v>35</v>
      </c>
      <c r="D85" s="165">
        <v>37</v>
      </c>
      <c r="E85" s="197">
        <v>3.81</v>
      </c>
      <c r="F85" s="197">
        <v>0.3</v>
      </c>
      <c r="G85" s="197">
        <f t="shared" si="13"/>
        <v>4.8522848503626627E-2</v>
      </c>
      <c r="H85" s="165">
        <f t="shared" si="14"/>
        <v>35.598171755989341</v>
      </c>
      <c r="I85" s="165">
        <f t="shared" si="15"/>
        <v>230.34890825876084</v>
      </c>
      <c r="J85" s="165">
        <f t="shared" si="16"/>
        <v>457127.40843951091</v>
      </c>
      <c r="L85" s="165" t="str">
        <f t="shared" si="17"/>
        <v/>
      </c>
      <c r="M85" s="165" t="str">
        <f t="shared" si="18"/>
        <v/>
      </c>
      <c r="N85" s="165" t="str">
        <f t="shared" si="19"/>
        <v/>
      </c>
      <c r="O85" s="165" t="str">
        <f t="shared" si="20"/>
        <v/>
      </c>
      <c r="P85" s="165" t="str">
        <f t="shared" si="21"/>
        <v/>
      </c>
      <c r="Q85" s="165" t="str">
        <f t="shared" si="22"/>
        <v/>
      </c>
      <c r="R85" s="165" t="str">
        <f t="shared" si="23"/>
        <v/>
      </c>
      <c r="S85" s="165" t="str">
        <f t="shared" si="24"/>
        <v/>
      </c>
    </row>
    <row r="86" spans="1:19" ht="16.5" customHeight="1">
      <c r="A86" s="197">
        <v>63</v>
      </c>
      <c r="B86" s="196">
        <v>10000</v>
      </c>
      <c r="C86" s="165">
        <v>30</v>
      </c>
      <c r="D86" s="165">
        <v>50</v>
      </c>
      <c r="E86" s="197">
        <v>4.5999999999999996</v>
      </c>
      <c r="F86" s="197">
        <v>0.3</v>
      </c>
      <c r="G86" s="197">
        <f t="shared" si="13"/>
        <v>3.9788735772973836E-2</v>
      </c>
      <c r="H86" s="165">
        <f t="shared" si="14"/>
        <v>35.342917352885173</v>
      </c>
      <c r="I86" s="165">
        <f t="shared" si="15"/>
        <v>282.94212105225836</v>
      </c>
      <c r="J86" s="165">
        <f t="shared" si="16"/>
        <v>561498.63922820671</v>
      </c>
      <c r="L86" s="165" t="str">
        <f t="shared" si="17"/>
        <v/>
      </c>
      <c r="M86" s="165" t="str">
        <f t="shared" si="18"/>
        <v/>
      </c>
      <c r="N86" s="165" t="str">
        <f t="shared" si="19"/>
        <v/>
      </c>
      <c r="O86" s="165" t="str">
        <f t="shared" si="20"/>
        <v/>
      </c>
      <c r="P86" s="165" t="str">
        <f t="shared" si="21"/>
        <v/>
      </c>
      <c r="Q86" s="165" t="str">
        <f t="shared" si="22"/>
        <v/>
      </c>
      <c r="R86" s="165" t="str">
        <f t="shared" si="23"/>
        <v/>
      </c>
      <c r="S86" s="165" t="str">
        <f t="shared" si="24"/>
        <v/>
      </c>
    </row>
    <row r="87" spans="1:19" ht="16.5" customHeight="1">
      <c r="A87" s="197">
        <v>63</v>
      </c>
      <c r="B87" s="196">
        <v>12000</v>
      </c>
      <c r="C87" s="165">
        <v>35</v>
      </c>
      <c r="D87" s="165">
        <v>52</v>
      </c>
      <c r="E87" s="197">
        <v>5.12</v>
      </c>
      <c r="F87" s="197">
        <v>0.3</v>
      </c>
      <c r="G87" s="197">
        <f t="shared" si="13"/>
        <v>3.3157279810811534E-2</v>
      </c>
      <c r="H87" s="165">
        <f t="shared" si="14"/>
        <v>50.029863008417465</v>
      </c>
      <c r="I87" s="165">
        <f t="shared" si="15"/>
        <v>239.8567431212237</v>
      </c>
      <c r="J87" s="165">
        <f t="shared" si="16"/>
        <v>475995.70672406844</v>
      </c>
      <c r="L87" s="165" t="str">
        <f t="shared" si="17"/>
        <v/>
      </c>
      <c r="M87" s="165" t="str">
        <f t="shared" si="18"/>
        <v/>
      </c>
      <c r="N87" s="165" t="str">
        <f t="shared" si="19"/>
        <v/>
      </c>
      <c r="O87" s="165" t="str">
        <f t="shared" si="20"/>
        <v/>
      </c>
      <c r="P87" s="165" t="str">
        <f t="shared" si="21"/>
        <v/>
      </c>
      <c r="Q87" s="165" t="str">
        <f t="shared" si="22"/>
        <v/>
      </c>
      <c r="R87" s="165" t="str">
        <f t="shared" si="23"/>
        <v/>
      </c>
      <c r="S87" s="165" t="str">
        <f t="shared" si="24"/>
        <v/>
      </c>
    </row>
    <row r="88" spans="1:19" ht="16.5" customHeight="1">
      <c r="A88" s="197">
        <v>80</v>
      </c>
      <c r="B88" s="197">
        <v>680</v>
      </c>
      <c r="C88" s="165">
        <v>22</v>
      </c>
      <c r="D88" s="165">
        <v>25</v>
      </c>
      <c r="E88" s="197">
        <v>1.3</v>
      </c>
      <c r="F88" s="197">
        <v>0.2</v>
      </c>
      <c r="G88" s="197">
        <f t="shared" si="13"/>
        <v>0.39008564483307689</v>
      </c>
      <c r="H88" s="165">
        <f t="shared" si="14"/>
        <v>9.5033177771091246</v>
      </c>
      <c r="I88" s="165">
        <f t="shared" si="15"/>
        <v>71.553957885943021</v>
      </c>
      <c r="J88" s="165">
        <f t="shared" si="16"/>
        <v>228972.66523501766</v>
      </c>
      <c r="L88" s="165">
        <f t="shared" si="17"/>
        <v>894.42447357428773</v>
      </c>
      <c r="M88" s="165">
        <f t="shared" si="18"/>
        <v>997.84836659645805</v>
      </c>
      <c r="N88" s="165" t="str">
        <f t="shared" si="19"/>
        <v/>
      </c>
      <c r="O88" s="165" t="str">
        <f t="shared" si="20"/>
        <v/>
      </c>
      <c r="P88" s="165" t="str">
        <f t="shared" si="21"/>
        <v/>
      </c>
      <c r="Q88" s="165" t="str">
        <f t="shared" si="22"/>
        <v/>
      </c>
      <c r="R88" s="165" t="str">
        <f t="shared" si="23"/>
        <v/>
      </c>
      <c r="S88" s="165" t="str">
        <f t="shared" si="24"/>
        <v/>
      </c>
    </row>
    <row r="89" spans="1:19" ht="16.5" customHeight="1">
      <c r="A89" s="197">
        <v>80</v>
      </c>
      <c r="B89" s="196">
        <v>1000</v>
      </c>
      <c r="C89" s="165">
        <v>22</v>
      </c>
      <c r="D89" s="165">
        <v>26</v>
      </c>
      <c r="E89" s="197">
        <v>1.6</v>
      </c>
      <c r="F89" s="197">
        <v>0.2</v>
      </c>
      <c r="G89" s="197">
        <f t="shared" si="13"/>
        <v>0.26525823848649233</v>
      </c>
      <c r="H89" s="165">
        <f t="shared" si="14"/>
        <v>9.8834504881934908</v>
      </c>
      <c r="I89" s="165">
        <f t="shared" si="15"/>
        <v>101.179239092114</v>
      </c>
      <c r="J89" s="165">
        <f t="shared" si="16"/>
        <v>323773.56509476481</v>
      </c>
      <c r="L89" s="165" t="str">
        <f t="shared" si="17"/>
        <v/>
      </c>
      <c r="M89" s="165" t="str">
        <f t="shared" si="18"/>
        <v/>
      </c>
      <c r="N89" s="165" t="str">
        <f t="shared" si="19"/>
        <v/>
      </c>
      <c r="O89" s="165" t="str">
        <f t="shared" si="20"/>
        <v/>
      </c>
      <c r="P89" s="165" t="str">
        <f t="shared" si="21"/>
        <v/>
      </c>
      <c r="Q89" s="165" t="str">
        <f t="shared" si="22"/>
        <v/>
      </c>
      <c r="R89" s="165" t="str">
        <f t="shared" si="23"/>
        <v/>
      </c>
      <c r="S89" s="165" t="str">
        <f t="shared" si="24"/>
        <v/>
      </c>
    </row>
    <row r="90" spans="1:19" ht="16.5" customHeight="1">
      <c r="A90" s="197">
        <v>80</v>
      </c>
      <c r="B90" s="196">
        <v>1000</v>
      </c>
      <c r="C90" s="165">
        <v>22</v>
      </c>
      <c r="D90" s="165">
        <v>30</v>
      </c>
      <c r="E90" s="197">
        <v>1.35</v>
      </c>
      <c r="F90" s="197">
        <v>0.2</v>
      </c>
      <c r="G90" s="197">
        <f t="shared" si="13"/>
        <v>0.26525823848649233</v>
      </c>
      <c r="H90" s="165">
        <f t="shared" si="14"/>
        <v>11.403981332530948</v>
      </c>
      <c r="I90" s="165">
        <f t="shared" si="15"/>
        <v>87.688673879832152</v>
      </c>
      <c r="J90" s="165">
        <f t="shared" si="16"/>
        <v>280603.75641546288</v>
      </c>
      <c r="L90" s="165" t="str">
        <f t="shared" si="17"/>
        <v/>
      </c>
      <c r="M90" s="165" t="str">
        <f t="shared" si="18"/>
        <v/>
      </c>
      <c r="N90" s="165" t="str">
        <f t="shared" si="19"/>
        <v/>
      </c>
      <c r="O90" s="165" t="str">
        <f t="shared" si="20"/>
        <v/>
      </c>
      <c r="P90" s="165" t="str">
        <f t="shared" si="21"/>
        <v/>
      </c>
      <c r="Q90" s="165" t="str">
        <f t="shared" si="22"/>
        <v/>
      </c>
      <c r="R90" s="165" t="str">
        <f t="shared" si="23"/>
        <v/>
      </c>
      <c r="S90" s="165" t="str">
        <f t="shared" si="24"/>
        <v/>
      </c>
    </row>
    <row r="91" spans="1:19" ht="16.5" customHeight="1">
      <c r="A91" s="197">
        <v>80</v>
      </c>
      <c r="B91" s="196">
        <v>1500</v>
      </c>
      <c r="C91" s="165">
        <v>22</v>
      </c>
      <c r="D91" s="165">
        <v>31</v>
      </c>
      <c r="E91" s="197">
        <v>1.8</v>
      </c>
      <c r="F91" s="197">
        <v>0.2</v>
      </c>
      <c r="G91" s="197">
        <f t="shared" si="13"/>
        <v>0.17683882565766154</v>
      </c>
      <c r="H91" s="165">
        <f t="shared" si="14"/>
        <v>11.784114043615313</v>
      </c>
      <c r="I91" s="165">
        <f t="shared" si="15"/>
        <v>127.2900104707241</v>
      </c>
      <c r="J91" s="165">
        <f t="shared" si="16"/>
        <v>407328.03350631712</v>
      </c>
      <c r="L91" s="165" t="str">
        <f t="shared" si="17"/>
        <v/>
      </c>
      <c r="M91" s="165" t="str">
        <f t="shared" si="18"/>
        <v/>
      </c>
      <c r="N91" s="165" t="str">
        <f t="shared" si="19"/>
        <v/>
      </c>
      <c r="O91" s="165" t="str">
        <f t="shared" si="20"/>
        <v/>
      </c>
      <c r="P91" s="165" t="str">
        <f t="shared" si="21"/>
        <v/>
      </c>
      <c r="Q91" s="165" t="str">
        <f t="shared" si="22"/>
        <v/>
      </c>
      <c r="R91" s="165" t="str">
        <f t="shared" si="23"/>
        <v/>
      </c>
      <c r="S91" s="165" t="str">
        <f t="shared" si="24"/>
        <v/>
      </c>
    </row>
    <row r="92" spans="1:19" ht="16.5" customHeight="1">
      <c r="A92" s="197">
        <v>80</v>
      </c>
      <c r="B92" s="196">
        <v>1500</v>
      </c>
      <c r="C92" s="165">
        <v>25</v>
      </c>
      <c r="D92" s="165">
        <v>26</v>
      </c>
      <c r="E92" s="197">
        <v>1.75</v>
      </c>
      <c r="F92" s="197">
        <v>0.2</v>
      </c>
      <c r="G92" s="197">
        <f t="shared" si="13"/>
        <v>0.17683882565766154</v>
      </c>
      <c r="H92" s="165">
        <f t="shared" si="14"/>
        <v>12.762720155208536</v>
      </c>
      <c r="I92" s="165">
        <f t="shared" si="15"/>
        <v>117.52980412939962</v>
      </c>
      <c r="J92" s="165">
        <f t="shared" si="16"/>
        <v>376095.37321407878</v>
      </c>
      <c r="L92" s="165" t="str">
        <f t="shared" si="17"/>
        <v/>
      </c>
      <c r="M92" s="165" t="str">
        <f t="shared" si="18"/>
        <v/>
      </c>
      <c r="N92" s="165" t="str">
        <f t="shared" si="19"/>
        <v/>
      </c>
      <c r="O92" s="165" t="str">
        <f t="shared" si="20"/>
        <v/>
      </c>
      <c r="P92" s="165" t="str">
        <f t="shared" si="21"/>
        <v/>
      </c>
      <c r="Q92" s="165" t="str">
        <f t="shared" si="22"/>
        <v/>
      </c>
      <c r="R92" s="165" t="str">
        <f t="shared" si="23"/>
        <v/>
      </c>
      <c r="S92" s="165" t="str">
        <f t="shared" si="24"/>
        <v/>
      </c>
    </row>
    <row r="93" spans="1:19" ht="16.5" customHeight="1">
      <c r="A93" s="197">
        <v>80</v>
      </c>
      <c r="B93" s="196">
        <v>1800</v>
      </c>
      <c r="C93" s="165">
        <v>22</v>
      </c>
      <c r="D93" s="165">
        <v>36</v>
      </c>
      <c r="E93" s="197">
        <v>1.8</v>
      </c>
      <c r="F93" s="197">
        <v>0.2</v>
      </c>
      <c r="G93" s="197">
        <f t="shared" si="13"/>
        <v>0.14736568804805125</v>
      </c>
      <c r="H93" s="165">
        <f t="shared" si="14"/>
        <v>13.68477759903714</v>
      </c>
      <c r="I93" s="165">
        <f t="shared" si="15"/>
        <v>131.5330108197482</v>
      </c>
      <c r="J93" s="165">
        <f t="shared" si="16"/>
        <v>420905.63462319423</v>
      </c>
      <c r="L93" s="165" t="str">
        <f t="shared" si="17"/>
        <v/>
      </c>
      <c r="M93" s="165" t="str">
        <f t="shared" si="18"/>
        <v/>
      </c>
      <c r="N93" s="165" t="str">
        <f t="shared" si="19"/>
        <v/>
      </c>
      <c r="O93" s="165" t="str">
        <f t="shared" si="20"/>
        <v/>
      </c>
      <c r="P93" s="165" t="str">
        <f t="shared" si="21"/>
        <v/>
      </c>
      <c r="Q93" s="165" t="str">
        <f t="shared" si="22"/>
        <v/>
      </c>
      <c r="R93" s="165" t="str">
        <f t="shared" si="23"/>
        <v/>
      </c>
      <c r="S93" s="165" t="str">
        <f t="shared" si="24"/>
        <v/>
      </c>
    </row>
    <row r="94" spans="1:19" ht="16.5" customHeight="1">
      <c r="A94" s="197">
        <v>80</v>
      </c>
      <c r="B94" s="196">
        <v>1800</v>
      </c>
      <c r="C94" s="165">
        <v>25</v>
      </c>
      <c r="D94" s="165">
        <v>31</v>
      </c>
      <c r="E94" s="197">
        <v>1.6</v>
      </c>
      <c r="F94" s="197">
        <v>0.2</v>
      </c>
      <c r="G94" s="197">
        <f t="shared" si="13"/>
        <v>0.14736568804805125</v>
      </c>
      <c r="H94" s="165">
        <f t="shared" si="14"/>
        <v>15.217089415825559</v>
      </c>
      <c r="I94" s="165">
        <f t="shared" si="15"/>
        <v>118.28806093023449</v>
      </c>
      <c r="J94" s="165">
        <f t="shared" si="16"/>
        <v>378521.79497675039</v>
      </c>
      <c r="L94" s="165" t="str">
        <f t="shared" si="17"/>
        <v/>
      </c>
      <c r="M94" s="165" t="str">
        <f t="shared" si="18"/>
        <v/>
      </c>
      <c r="N94" s="165" t="str">
        <f t="shared" si="19"/>
        <v/>
      </c>
      <c r="O94" s="165" t="str">
        <f t="shared" si="20"/>
        <v/>
      </c>
      <c r="P94" s="165" t="str">
        <f t="shared" si="21"/>
        <v/>
      </c>
      <c r="Q94" s="165" t="str">
        <f t="shared" si="22"/>
        <v/>
      </c>
      <c r="R94" s="165" t="str">
        <f t="shared" si="23"/>
        <v/>
      </c>
      <c r="S94" s="165" t="str">
        <f t="shared" si="24"/>
        <v/>
      </c>
    </row>
    <row r="95" spans="1:19" ht="16.5" customHeight="1">
      <c r="A95" s="197">
        <v>80</v>
      </c>
      <c r="B95" s="196">
        <v>2200</v>
      </c>
      <c r="C95" s="165">
        <v>22</v>
      </c>
      <c r="D95" s="165">
        <v>41</v>
      </c>
      <c r="E95" s="197">
        <v>2.5</v>
      </c>
      <c r="F95" s="197">
        <v>0.2</v>
      </c>
      <c r="G95" s="197">
        <f t="shared" si="13"/>
        <v>0.12057192658476922</v>
      </c>
      <c r="H95" s="165">
        <f t="shared" si="14"/>
        <v>15.585441154458964</v>
      </c>
      <c r="I95" s="165">
        <f t="shared" si="15"/>
        <v>141.15737746509564</v>
      </c>
      <c r="J95" s="165">
        <f t="shared" si="16"/>
        <v>451703.60788830603</v>
      </c>
      <c r="L95" s="165" t="str">
        <f t="shared" si="17"/>
        <v/>
      </c>
      <c r="M95" s="165" t="str">
        <f t="shared" si="18"/>
        <v/>
      </c>
      <c r="N95" s="165" t="str">
        <f t="shared" si="19"/>
        <v/>
      </c>
      <c r="O95" s="165" t="str">
        <f t="shared" si="20"/>
        <v/>
      </c>
      <c r="P95" s="165" t="str">
        <f t="shared" si="21"/>
        <v/>
      </c>
      <c r="Q95" s="165" t="str">
        <f t="shared" si="22"/>
        <v/>
      </c>
      <c r="R95" s="165" t="str">
        <f t="shared" si="23"/>
        <v/>
      </c>
      <c r="S95" s="165" t="str">
        <f t="shared" si="24"/>
        <v/>
      </c>
    </row>
    <row r="96" spans="1:19" ht="16.5" customHeight="1">
      <c r="A96" s="197">
        <v>80</v>
      </c>
      <c r="B96" s="196">
        <v>2200</v>
      </c>
      <c r="C96" s="165">
        <v>25</v>
      </c>
      <c r="D96" s="165">
        <v>31</v>
      </c>
      <c r="E96" s="197">
        <v>2.2999999999999998</v>
      </c>
      <c r="F96" s="197">
        <v>0.2</v>
      </c>
      <c r="G96" s="197">
        <f t="shared" si="13"/>
        <v>0.12057192658476922</v>
      </c>
      <c r="H96" s="165">
        <f t="shared" si="14"/>
        <v>15.217089415825559</v>
      </c>
      <c r="I96" s="165">
        <f t="shared" si="15"/>
        <v>144.57429669250882</v>
      </c>
      <c r="J96" s="165">
        <f t="shared" si="16"/>
        <v>462637.74941602827</v>
      </c>
      <c r="L96" s="165" t="str">
        <f t="shared" si="17"/>
        <v/>
      </c>
      <c r="M96" s="165" t="str">
        <f t="shared" si="18"/>
        <v/>
      </c>
      <c r="N96" s="165" t="str">
        <f t="shared" si="19"/>
        <v/>
      </c>
      <c r="O96" s="165" t="str">
        <f t="shared" si="20"/>
        <v/>
      </c>
      <c r="P96" s="165" t="str">
        <f t="shared" si="21"/>
        <v/>
      </c>
      <c r="Q96" s="165" t="str">
        <f t="shared" si="22"/>
        <v/>
      </c>
      <c r="R96" s="165" t="str">
        <f t="shared" si="23"/>
        <v/>
      </c>
      <c r="S96" s="165" t="str">
        <f t="shared" si="24"/>
        <v/>
      </c>
    </row>
    <row r="97" spans="1:19" ht="16.5" customHeight="1">
      <c r="A97" s="197">
        <v>80</v>
      </c>
      <c r="B97" s="196">
        <v>2700</v>
      </c>
      <c r="C97" s="165">
        <v>22</v>
      </c>
      <c r="D97" s="165">
        <v>46</v>
      </c>
      <c r="E97" s="197">
        <v>2.8</v>
      </c>
      <c r="F97" s="197">
        <v>0.2</v>
      </c>
      <c r="G97" s="197">
        <f t="shared" si="13"/>
        <v>9.8243792032034191E-2</v>
      </c>
      <c r="H97" s="165">
        <f t="shared" si="14"/>
        <v>17.486104709880788</v>
      </c>
      <c r="I97" s="165">
        <f t="shared" si="15"/>
        <v>154.40831704926964</v>
      </c>
      <c r="J97" s="165">
        <f t="shared" si="16"/>
        <v>494106.61455766286</v>
      </c>
      <c r="L97" s="165" t="str">
        <f t="shared" si="17"/>
        <v/>
      </c>
      <c r="M97" s="165" t="str">
        <f t="shared" si="18"/>
        <v/>
      </c>
      <c r="N97" s="165" t="str">
        <f t="shared" si="19"/>
        <v/>
      </c>
      <c r="O97" s="165" t="str">
        <f t="shared" si="20"/>
        <v/>
      </c>
      <c r="P97" s="165" t="str">
        <f t="shared" si="21"/>
        <v/>
      </c>
      <c r="Q97" s="165" t="str">
        <f t="shared" si="22"/>
        <v/>
      </c>
      <c r="R97" s="165" t="str">
        <f t="shared" si="23"/>
        <v/>
      </c>
      <c r="S97" s="165" t="str">
        <f t="shared" si="24"/>
        <v/>
      </c>
    </row>
    <row r="98" spans="1:19" ht="16.5" customHeight="1">
      <c r="A98" s="197">
        <v>80</v>
      </c>
      <c r="B98" s="196">
        <v>2700</v>
      </c>
      <c r="C98" s="165">
        <v>25</v>
      </c>
      <c r="D98" s="165">
        <v>36</v>
      </c>
      <c r="E98" s="197">
        <v>2.65</v>
      </c>
      <c r="F98" s="197">
        <v>0.2</v>
      </c>
      <c r="G98" s="197">
        <f t="shared" si="13"/>
        <v>9.8243792032034191E-2</v>
      </c>
      <c r="H98" s="165">
        <f t="shared" si="14"/>
        <v>17.67145867644259</v>
      </c>
      <c r="I98" s="165">
        <f t="shared" si="15"/>
        <v>152.78874536821948</v>
      </c>
      <c r="J98" s="165">
        <f t="shared" si="16"/>
        <v>488923.98517830233</v>
      </c>
      <c r="L98" s="165" t="str">
        <f t="shared" si="17"/>
        <v/>
      </c>
      <c r="M98" s="165" t="str">
        <f t="shared" si="18"/>
        <v/>
      </c>
      <c r="N98" s="165" t="str">
        <f t="shared" si="19"/>
        <v/>
      </c>
      <c r="O98" s="165" t="str">
        <f t="shared" si="20"/>
        <v/>
      </c>
      <c r="P98" s="165" t="str">
        <f t="shared" si="21"/>
        <v/>
      </c>
      <c r="Q98" s="165" t="str">
        <f t="shared" si="22"/>
        <v/>
      </c>
      <c r="R98" s="165" t="str">
        <f t="shared" si="23"/>
        <v/>
      </c>
      <c r="S98" s="165" t="str">
        <f t="shared" si="24"/>
        <v/>
      </c>
    </row>
    <row r="99" spans="1:19" ht="16.5" customHeight="1">
      <c r="A99" s="197">
        <v>80</v>
      </c>
      <c r="B99" s="196">
        <v>3300</v>
      </c>
      <c r="C99" s="165">
        <v>22</v>
      </c>
      <c r="D99" s="165">
        <v>50</v>
      </c>
      <c r="E99" s="197">
        <v>3.3</v>
      </c>
      <c r="F99" s="197">
        <v>0.2</v>
      </c>
      <c r="G99" s="197">
        <f t="shared" si="13"/>
        <v>8.0381284389846139E-2</v>
      </c>
      <c r="H99" s="165">
        <f t="shared" si="14"/>
        <v>19.006635554218249</v>
      </c>
      <c r="I99" s="165">
        <f t="shared" si="15"/>
        <v>173.62357428206764</v>
      </c>
      <c r="J99" s="165">
        <f t="shared" si="16"/>
        <v>555595.43770261644</v>
      </c>
      <c r="L99" s="165" t="str">
        <f t="shared" si="17"/>
        <v/>
      </c>
      <c r="M99" s="165" t="str">
        <f t="shared" si="18"/>
        <v/>
      </c>
      <c r="N99" s="165" t="str">
        <f t="shared" si="19"/>
        <v/>
      </c>
      <c r="O99" s="165" t="str">
        <f t="shared" si="20"/>
        <v/>
      </c>
      <c r="P99" s="165" t="str">
        <f t="shared" si="21"/>
        <v/>
      </c>
      <c r="Q99" s="165" t="str">
        <f t="shared" si="22"/>
        <v/>
      </c>
      <c r="R99" s="165" t="str">
        <f t="shared" si="23"/>
        <v/>
      </c>
      <c r="S99" s="165" t="str">
        <f t="shared" si="24"/>
        <v/>
      </c>
    </row>
    <row r="100" spans="1:19" ht="16.5" customHeight="1">
      <c r="A100" s="197">
        <v>80</v>
      </c>
      <c r="B100" s="196">
        <v>3300</v>
      </c>
      <c r="C100" s="165">
        <v>25</v>
      </c>
      <c r="D100" s="165">
        <v>41</v>
      </c>
      <c r="E100" s="197">
        <v>3.12</v>
      </c>
      <c r="F100" s="197">
        <v>0.2</v>
      </c>
      <c r="G100" s="197">
        <f t="shared" si="13"/>
        <v>8.0381284389846139E-2</v>
      </c>
      <c r="H100" s="165">
        <f t="shared" si="14"/>
        <v>20.125827937059615</v>
      </c>
      <c r="I100" s="165">
        <f t="shared" si="15"/>
        <v>163.96840966345508</v>
      </c>
      <c r="J100" s="165">
        <f t="shared" si="16"/>
        <v>524698.9109230563</v>
      </c>
      <c r="L100" s="165" t="str">
        <f t="shared" si="17"/>
        <v/>
      </c>
      <c r="M100" s="165" t="str">
        <f t="shared" si="18"/>
        <v/>
      </c>
      <c r="N100" s="165" t="str">
        <f t="shared" si="19"/>
        <v/>
      </c>
      <c r="O100" s="165" t="str">
        <f t="shared" si="20"/>
        <v/>
      </c>
      <c r="P100" s="165" t="str">
        <f t="shared" si="21"/>
        <v/>
      </c>
      <c r="Q100" s="165" t="str">
        <f t="shared" si="22"/>
        <v/>
      </c>
      <c r="R100" s="165" t="str">
        <f t="shared" si="23"/>
        <v/>
      </c>
      <c r="S100" s="165" t="str">
        <f t="shared" si="24"/>
        <v/>
      </c>
    </row>
    <row r="101" spans="1:19" ht="16.5" customHeight="1">
      <c r="A101" s="197">
        <v>80</v>
      </c>
      <c r="B101" s="196">
        <v>3900</v>
      </c>
      <c r="C101" s="165">
        <v>25</v>
      </c>
      <c r="D101" s="165">
        <v>46</v>
      </c>
      <c r="E101" s="197">
        <v>3.4</v>
      </c>
      <c r="F101" s="197">
        <v>0.2</v>
      </c>
      <c r="G101" s="197">
        <f t="shared" si="13"/>
        <v>6.801493294525443E-2</v>
      </c>
      <c r="H101" s="165">
        <f t="shared" si="14"/>
        <v>22.58019719767664</v>
      </c>
      <c r="I101" s="165">
        <f t="shared" si="15"/>
        <v>172.71771215537859</v>
      </c>
      <c r="J101" s="165">
        <f t="shared" si="16"/>
        <v>552696.67889721144</v>
      </c>
      <c r="L101" s="165" t="str">
        <f t="shared" si="17"/>
        <v/>
      </c>
      <c r="M101" s="165" t="str">
        <f t="shared" si="18"/>
        <v/>
      </c>
      <c r="N101" s="165" t="str">
        <f t="shared" si="19"/>
        <v/>
      </c>
      <c r="O101" s="165" t="str">
        <f t="shared" si="20"/>
        <v/>
      </c>
      <c r="P101" s="165" t="str">
        <f t="shared" si="21"/>
        <v/>
      </c>
      <c r="Q101" s="165" t="str">
        <f t="shared" si="22"/>
        <v/>
      </c>
      <c r="R101" s="165" t="str">
        <f t="shared" si="23"/>
        <v/>
      </c>
      <c r="S101" s="165" t="str">
        <f t="shared" si="24"/>
        <v/>
      </c>
    </row>
    <row r="102" spans="1:19" ht="16.5" customHeight="1">
      <c r="A102" s="197">
        <v>80</v>
      </c>
      <c r="B102" s="196">
        <v>3900</v>
      </c>
      <c r="C102" s="165">
        <v>30</v>
      </c>
      <c r="D102" s="165">
        <v>36</v>
      </c>
      <c r="E102" s="197">
        <v>3.1</v>
      </c>
      <c r="F102" s="197">
        <v>0.2</v>
      </c>
      <c r="G102" s="197">
        <f t="shared" si="13"/>
        <v>6.801493294525443E-2</v>
      </c>
      <c r="H102" s="165">
        <f t="shared" si="14"/>
        <v>25.446900494077326</v>
      </c>
      <c r="I102" s="165">
        <f t="shared" si="15"/>
        <v>153.26031556997327</v>
      </c>
      <c r="J102" s="165">
        <f t="shared" si="16"/>
        <v>490433.0098239145</v>
      </c>
      <c r="L102" s="165" t="str">
        <f t="shared" si="17"/>
        <v/>
      </c>
      <c r="M102" s="165" t="str">
        <f t="shared" si="18"/>
        <v/>
      </c>
      <c r="N102" s="165" t="str">
        <f t="shared" si="19"/>
        <v/>
      </c>
      <c r="O102" s="165" t="str">
        <f t="shared" si="20"/>
        <v/>
      </c>
      <c r="P102" s="165" t="str">
        <f t="shared" si="21"/>
        <v/>
      </c>
      <c r="Q102" s="165" t="str">
        <f t="shared" si="22"/>
        <v/>
      </c>
      <c r="R102" s="165" t="str">
        <f t="shared" si="23"/>
        <v/>
      </c>
      <c r="S102" s="165" t="str">
        <f t="shared" si="24"/>
        <v/>
      </c>
    </row>
    <row r="103" spans="1:19" ht="16.5" customHeight="1">
      <c r="A103" s="197">
        <v>80</v>
      </c>
      <c r="B103" s="196">
        <v>4700</v>
      </c>
      <c r="C103" s="165">
        <v>25</v>
      </c>
      <c r="D103" s="165">
        <v>50</v>
      </c>
      <c r="E103" s="197">
        <v>3.6</v>
      </c>
      <c r="F103" s="197">
        <v>0.25</v>
      </c>
      <c r="G103" s="197">
        <f t="shared" si="13"/>
        <v>7.0547403852790486E-2</v>
      </c>
      <c r="H103" s="165">
        <f t="shared" si="14"/>
        <v>24.543692606170257</v>
      </c>
      <c r="I103" s="165">
        <f t="shared" si="15"/>
        <v>191.4952275281685</v>
      </c>
      <c r="J103" s="165">
        <f t="shared" si="16"/>
        <v>612784.72809013922</v>
      </c>
      <c r="L103" s="165" t="str">
        <f t="shared" si="17"/>
        <v/>
      </c>
      <c r="M103" s="165" t="str">
        <f t="shared" si="18"/>
        <v/>
      </c>
      <c r="N103" s="165" t="str">
        <f t="shared" si="19"/>
        <v/>
      </c>
      <c r="O103" s="165" t="str">
        <f t="shared" si="20"/>
        <v/>
      </c>
      <c r="P103" s="165" t="str">
        <f t="shared" si="21"/>
        <v/>
      </c>
      <c r="Q103" s="165" t="str">
        <f t="shared" si="22"/>
        <v/>
      </c>
      <c r="R103" s="165" t="str">
        <f t="shared" si="23"/>
        <v/>
      </c>
      <c r="S103" s="165" t="str">
        <f t="shared" si="24"/>
        <v/>
      </c>
    </row>
    <row r="104" spans="1:19" ht="16.5" customHeight="1">
      <c r="A104" s="197">
        <v>80</v>
      </c>
      <c r="B104" s="196">
        <v>4700</v>
      </c>
      <c r="C104" s="165">
        <v>30</v>
      </c>
      <c r="D104" s="165">
        <v>41</v>
      </c>
      <c r="E104" s="197">
        <v>3.45</v>
      </c>
      <c r="F104" s="197">
        <v>0.25</v>
      </c>
      <c r="G104" s="197">
        <f t="shared" si="13"/>
        <v>7.0547403852790486E-2</v>
      </c>
      <c r="H104" s="165">
        <f t="shared" si="14"/>
        <v>28.981192229365845</v>
      </c>
      <c r="I104" s="165">
        <f t="shared" si="15"/>
        <v>162.17414255434321</v>
      </c>
      <c r="J104" s="165">
        <f t="shared" si="16"/>
        <v>518957.25617389823</v>
      </c>
      <c r="L104" s="165" t="str">
        <f t="shared" si="17"/>
        <v/>
      </c>
      <c r="M104" s="165" t="str">
        <f t="shared" si="18"/>
        <v/>
      </c>
      <c r="N104" s="165" t="str">
        <f t="shared" si="19"/>
        <v/>
      </c>
      <c r="O104" s="165" t="str">
        <f t="shared" si="20"/>
        <v/>
      </c>
      <c r="P104" s="165" t="str">
        <f t="shared" si="21"/>
        <v/>
      </c>
      <c r="Q104" s="165" t="str">
        <f t="shared" si="22"/>
        <v/>
      </c>
      <c r="R104" s="165" t="str">
        <f t="shared" si="23"/>
        <v/>
      </c>
      <c r="S104" s="165" t="str">
        <f t="shared" si="24"/>
        <v/>
      </c>
    </row>
    <row r="105" spans="1:19" ht="16.5" customHeight="1">
      <c r="A105" s="197">
        <v>80</v>
      </c>
      <c r="B105" s="196">
        <v>5600</v>
      </c>
      <c r="C105" s="165">
        <v>30</v>
      </c>
      <c r="D105" s="165">
        <v>46</v>
      </c>
      <c r="E105" s="197">
        <v>3.8</v>
      </c>
      <c r="F105" s="197">
        <v>0.25</v>
      </c>
      <c r="G105" s="197">
        <f t="shared" si="13"/>
        <v>5.9209428233592022E-2</v>
      </c>
      <c r="H105" s="165">
        <f t="shared" si="14"/>
        <v>32.515483964654358</v>
      </c>
      <c r="I105" s="165">
        <f t="shared" si="15"/>
        <v>172.22563890137468</v>
      </c>
      <c r="J105" s="165">
        <f t="shared" si="16"/>
        <v>551122.04448439903</v>
      </c>
      <c r="L105" s="165" t="str">
        <f t="shared" si="17"/>
        <v/>
      </c>
      <c r="M105" s="165" t="str">
        <f t="shared" si="18"/>
        <v/>
      </c>
      <c r="N105" s="165" t="str">
        <f t="shared" si="19"/>
        <v/>
      </c>
      <c r="O105" s="165" t="str">
        <f t="shared" si="20"/>
        <v/>
      </c>
      <c r="P105" s="165" t="str">
        <f t="shared" si="21"/>
        <v/>
      </c>
      <c r="Q105" s="165" t="str">
        <f t="shared" si="22"/>
        <v/>
      </c>
      <c r="R105" s="165" t="str">
        <f t="shared" si="23"/>
        <v/>
      </c>
      <c r="S105" s="165" t="str">
        <f t="shared" si="24"/>
        <v/>
      </c>
    </row>
    <row r="106" spans="1:19" ht="16.5" customHeight="1">
      <c r="A106" s="197">
        <v>80</v>
      </c>
      <c r="B106" s="196">
        <v>5600</v>
      </c>
      <c r="C106" s="165">
        <v>35</v>
      </c>
      <c r="D106" s="165">
        <v>37</v>
      </c>
      <c r="E106" s="197">
        <v>3.65</v>
      </c>
      <c r="F106" s="197">
        <v>0.25</v>
      </c>
      <c r="G106" s="197">
        <f t="shared" si="13"/>
        <v>5.9209428233592022E-2</v>
      </c>
      <c r="H106" s="165">
        <f t="shared" si="14"/>
        <v>35.598171755989341</v>
      </c>
      <c r="I106" s="165">
        <f t="shared" si="15"/>
        <v>157.31144954256837</v>
      </c>
      <c r="J106" s="165">
        <f t="shared" si="16"/>
        <v>503396.63853621879</v>
      </c>
      <c r="L106" s="165" t="str">
        <f t="shared" si="17"/>
        <v/>
      </c>
      <c r="M106" s="165" t="str">
        <f t="shared" si="18"/>
        <v/>
      </c>
      <c r="N106" s="165" t="str">
        <f t="shared" si="19"/>
        <v/>
      </c>
      <c r="O106" s="165" t="str">
        <f t="shared" si="20"/>
        <v/>
      </c>
      <c r="P106" s="165" t="str">
        <f t="shared" si="21"/>
        <v/>
      </c>
      <c r="Q106" s="165" t="str">
        <f t="shared" si="22"/>
        <v/>
      </c>
      <c r="R106" s="165" t="str">
        <f t="shared" si="23"/>
        <v/>
      </c>
      <c r="S106" s="165" t="str">
        <f t="shared" si="24"/>
        <v/>
      </c>
    </row>
    <row r="107" spans="1:19" ht="16.5" customHeight="1">
      <c r="A107" s="197">
        <v>80</v>
      </c>
      <c r="B107" s="196">
        <v>6800</v>
      </c>
      <c r="C107" s="165">
        <v>30</v>
      </c>
      <c r="D107" s="165">
        <v>51</v>
      </c>
      <c r="E107" s="197">
        <v>4.5</v>
      </c>
      <c r="F107" s="197">
        <v>0.25</v>
      </c>
      <c r="G107" s="197">
        <f t="shared" si="13"/>
        <v>4.8760705604134612E-2</v>
      </c>
      <c r="H107" s="165">
        <f t="shared" si="14"/>
        <v>36.049775699942877</v>
      </c>
      <c r="I107" s="165">
        <f t="shared" si="15"/>
        <v>188.62808070150558</v>
      </c>
      <c r="J107" s="165">
        <f t="shared" si="16"/>
        <v>603609.85824481782</v>
      </c>
      <c r="L107" s="165" t="str">
        <f t="shared" si="17"/>
        <v/>
      </c>
      <c r="M107" s="165" t="str">
        <f t="shared" si="18"/>
        <v/>
      </c>
      <c r="N107" s="165" t="str">
        <f t="shared" si="19"/>
        <v/>
      </c>
      <c r="O107" s="165" t="str">
        <f t="shared" si="20"/>
        <v/>
      </c>
      <c r="P107" s="165" t="str">
        <f t="shared" si="21"/>
        <v/>
      </c>
      <c r="Q107" s="165" t="str">
        <f t="shared" si="22"/>
        <v/>
      </c>
      <c r="R107" s="165" t="str">
        <f t="shared" si="23"/>
        <v/>
      </c>
      <c r="S107" s="165" t="str">
        <f t="shared" si="24"/>
        <v/>
      </c>
    </row>
    <row r="108" spans="1:19" ht="16.5" customHeight="1">
      <c r="A108" s="197">
        <v>80</v>
      </c>
      <c r="B108" s="196">
        <v>6800</v>
      </c>
      <c r="C108" s="165">
        <v>35</v>
      </c>
      <c r="D108" s="165">
        <v>42</v>
      </c>
      <c r="E108" s="197">
        <v>3.84</v>
      </c>
      <c r="F108" s="197">
        <v>0.25</v>
      </c>
      <c r="G108" s="197">
        <f t="shared" si="13"/>
        <v>4.8760705604134612E-2</v>
      </c>
      <c r="H108" s="165">
        <f t="shared" si="14"/>
        <v>40.408735506798713</v>
      </c>
      <c r="I108" s="165">
        <f t="shared" si="15"/>
        <v>168.28044517393795</v>
      </c>
      <c r="J108" s="165">
        <f t="shared" si="16"/>
        <v>538497.42455660144</v>
      </c>
      <c r="L108" s="165" t="str">
        <f t="shared" si="17"/>
        <v/>
      </c>
      <c r="M108" s="165" t="str">
        <f t="shared" si="18"/>
        <v/>
      </c>
      <c r="N108" s="165" t="str">
        <f t="shared" si="19"/>
        <v/>
      </c>
      <c r="O108" s="165" t="str">
        <f t="shared" si="20"/>
        <v/>
      </c>
      <c r="P108" s="165" t="str">
        <f t="shared" si="21"/>
        <v/>
      </c>
      <c r="Q108" s="165" t="str">
        <f t="shared" si="22"/>
        <v/>
      </c>
      <c r="R108" s="165" t="str">
        <f t="shared" si="23"/>
        <v/>
      </c>
      <c r="S108" s="165" t="str">
        <f t="shared" si="24"/>
        <v/>
      </c>
    </row>
    <row r="109" spans="1:19" ht="16.5" customHeight="1">
      <c r="A109" s="197">
        <v>80</v>
      </c>
      <c r="B109" s="196">
        <v>8200</v>
      </c>
      <c r="C109" s="165">
        <v>35</v>
      </c>
      <c r="D109" s="165">
        <v>52</v>
      </c>
      <c r="E109" s="197">
        <v>4.9000000000000004</v>
      </c>
      <c r="F109" s="197">
        <v>0.25</v>
      </c>
      <c r="G109" s="197">
        <f t="shared" si="13"/>
        <v>4.0435707086355521E-2</v>
      </c>
      <c r="H109" s="165">
        <f t="shared" si="14"/>
        <v>50.029863008417465</v>
      </c>
      <c r="I109" s="165">
        <f t="shared" si="15"/>
        <v>163.90210779950286</v>
      </c>
      <c r="J109" s="165">
        <f t="shared" si="16"/>
        <v>524486.74495840911</v>
      </c>
      <c r="L109" s="165" t="str">
        <f t="shared" si="17"/>
        <v/>
      </c>
      <c r="M109" s="165" t="str">
        <f t="shared" si="18"/>
        <v/>
      </c>
      <c r="N109" s="165" t="str">
        <f t="shared" si="19"/>
        <v/>
      </c>
      <c r="O109" s="165" t="str">
        <f t="shared" si="20"/>
        <v/>
      </c>
      <c r="P109" s="165" t="str">
        <f t="shared" si="21"/>
        <v/>
      </c>
      <c r="Q109" s="165" t="str">
        <f t="shared" si="22"/>
        <v/>
      </c>
      <c r="R109" s="165" t="str">
        <f t="shared" si="23"/>
        <v/>
      </c>
      <c r="S109" s="165" t="str">
        <f t="shared" si="24"/>
        <v/>
      </c>
    </row>
    <row r="110" spans="1:19" ht="16.5" customHeight="1">
      <c r="A110" s="197">
        <v>100</v>
      </c>
      <c r="B110" s="197">
        <v>470</v>
      </c>
      <c r="C110" s="165">
        <v>20</v>
      </c>
      <c r="D110" s="165">
        <v>30</v>
      </c>
      <c r="E110" s="197">
        <v>1.3</v>
      </c>
      <c r="F110" s="197">
        <v>0.2</v>
      </c>
      <c r="G110" s="197">
        <f t="shared" si="13"/>
        <v>0.564379230822324</v>
      </c>
      <c r="H110" s="165">
        <f t="shared" si="14"/>
        <v>9.4247779607693793</v>
      </c>
      <c r="I110" s="165">
        <f t="shared" si="15"/>
        <v>49.868548835460544</v>
      </c>
      <c r="J110" s="165">
        <f t="shared" si="16"/>
        <v>249342.74417730272</v>
      </c>
      <c r="L110" s="165" t="str">
        <f t="shared" si="17"/>
        <v/>
      </c>
      <c r="M110" s="165" t="str">
        <f t="shared" si="18"/>
        <v/>
      </c>
      <c r="N110" s="165" t="str">
        <f t="shared" si="19"/>
        <v/>
      </c>
      <c r="O110" s="165" t="str">
        <f t="shared" si="20"/>
        <v/>
      </c>
      <c r="P110" s="165" t="str">
        <f t="shared" si="21"/>
        <v/>
      </c>
      <c r="Q110" s="165" t="str">
        <f t="shared" si="22"/>
        <v/>
      </c>
      <c r="R110" s="165" t="str">
        <f t="shared" si="23"/>
        <v/>
      </c>
      <c r="S110" s="165" t="str">
        <f t="shared" si="24"/>
        <v/>
      </c>
    </row>
    <row r="111" spans="1:19" ht="16.5" customHeight="1">
      <c r="A111" s="197">
        <v>100</v>
      </c>
      <c r="B111" s="197">
        <v>470</v>
      </c>
      <c r="C111" s="165">
        <v>22</v>
      </c>
      <c r="D111" s="165">
        <v>25</v>
      </c>
      <c r="E111" s="197">
        <v>1.1499999999999999</v>
      </c>
      <c r="F111" s="197">
        <v>0.2</v>
      </c>
      <c r="G111" s="197">
        <f t="shared" si="13"/>
        <v>0.564379230822324</v>
      </c>
      <c r="H111" s="165">
        <f t="shared" si="14"/>
        <v>9.5033177771091246</v>
      </c>
      <c r="I111" s="165">
        <f t="shared" si="15"/>
        <v>49.456412068225326</v>
      </c>
      <c r="J111" s="165">
        <f t="shared" si="16"/>
        <v>247282.06034112663</v>
      </c>
      <c r="L111" s="165">
        <f t="shared" si="17"/>
        <v>618.20515085281659</v>
      </c>
      <c r="M111" s="165">
        <f t="shared" si="18"/>
        <v>1444.504302120587</v>
      </c>
      <c r="N111" s="165" t="str">
        <f t="shared" si="19"/>
        <v/>
      </c>
      <c r="O111" s="165" t="str">
        <f t="shared" si="20"/>
        <v/>
      </c>
      <c r="P111" s="165" t="str">
        <f t="shared" si="21"/>
        <v/>
      </c>
      <c r="Q111" s="165" t="str">
        <f t="shared" si="22"/>
        <v/>
      </c>
      <c r="R111" s="165" t="str">
        <f t="shared" si="23"/>
        <v/>
      </c>
      <c r="S111" s="165" t="str">
        <f t="shared" si="24"/>
        <v/>
      </c>
    </row>
    <row r="112" spans="1:19" ht="16.5" customHeight="1">
      <c r="A112" s="197">
        <v>100</v>
      </c>
      <c r="B112" s="197">
        <v>680</v>
      </c>
      <c r="C112" s="165">
        <v>22</v>
      </c>
      <c r="D112" s="165">
        <v>30</v>
      </c>
      <c r="E112" s="197">
        <v>1.65</v>
      </c>
      <c r="F112" s="197">
        <v>0.2</v>
      </c>
      <c r="G112" s="197">
        <f t="shared" si="13"/>
        <v>0.39008564483307689</v>
      </c>
      <c r="H112" s="165">
        <f t="shared" si="14"/>
        <v>11.403981332530948</v>
      </c>
      <c r="I112" s="165">
        <f t="shared" si="15"/>
        <v>59.628298238285858</v>
      </c>
      <c r="J112" s="165">
        <f t="shared" si="16"/>
        <v>298141.49119142926</v>
      </c>
      <c r="L112" s="165" t="str">
        <f t="shared" si="17"/>
        <v/>
      </c>
      <c r="M112" s="165" t="str">
        <f t="shared" si="18"/>
        <v/>
      </c>
      <c r="N112" s="165" t="str">
        <f t="shared" si="19"/>
        <v/>
      </c>
      <c r="O112" s="165" t="str">
        <f t="shared" si="20"/>
        <v/>
      </c>
      <c r="P112" s="165" t="str">
        <f t="shared" si="21"/>
        <v/>
      </c>
      <c r="Q112" s="165" t="str">
        <f t="shared" si="22"/>
        <v/>
      </c>
      <c r="R112" s="165" t="str">
        <f t="shared" si="23"/>
        <v/>
      </c>
      <c r="S112" s="165" t="str">
        <f t="shared" si="24"/>
        <v/>
      </c>
    </row>
    <row r="113" spans="1:19" ht="16.5" customHeight="1">
      <c r="A113" s="197">
        <v>100</v>
      </c>
      <c r="B113" s="197">
        <v>820</v>
      </c>
      <c r="C113" s="165">
        <v>22</v>
      </c>
      <c r="D113" s="165">
        <v>30</v>
      </c>
      <c r="E113" s="197">
        <v>1.55</v>
      </c>
      <c r="F113" s="197">
        <v>0.2</v>
      </c>
      <c r="G113" s="197">
        <f t="shared" si="13"/>
        <v>0.32348565669084428</v>
      </c>
      <c r="H113" s="165">
        <f t="shared" si="14"/>
        <v>11.403981332530948</v>
      </c>
      <c r="I113" s="165">
        <f t="shared" si="15"/>
        <v>71.904712581462363</v>
      </c>
      <c r="J113" s="165">
        <f t="shared" si="16"/>
        <v>359523.56290731183</v>
      </c>
      <c r="L113" s="165" t="str">
        <f t="shared" si="17"/>
        <v/>
      </c>
      <c r="M113" s="165" t="str">
        <f t="shared" si="18"/>
        <v/>
      </c>
      <c r="N113" s="165" t="str">
        <f t="shared" si="19"/>
        <v/>
      </c>
      <c r="O113" s="165" t="str">
        <f t="shared" si="20"/>
        <v/>
      </c>
      <c r="P113" s="165" t="str">
        <f t="shared" si="21"/>
        <v/>
      </c>
      <c r="Q113" s="165" t="str">
        <f t="shared" si="22"/>
        <v/>
      </c>
      <c r="R113" s="165" t="str">
        <f t="shared" si="23"/>
        <v/>
      </c>
      <c r="S113" s="165" t="str">
        <f t="shared" si="24"/>
        <v/>
      </c>
    </row>
    <row r="114" spans="1:19" ht="16.5" customHeight="1">
      <c r="A114" s="197">
        <v>100</v>
      </c>
      <c r="B114" s="197">
        <v>820</v>
      </c>
      <c r="C114" s="165">
        <v>25</v>
      </c>
      <c r="D114" s="165">
        <v>30</v>
      </c>
      <c r="E114" s="197">
        <v>1.7</v>
      </c>
      <c r="F114" s="197">
        <v>0.2</v>
      </c>
      <c r="G114" s="197">
        <f t="shared" si="13"/>
        <v>0.32348565669084428</v>
      </c>
      <c r="H114" s="165">
        <f t="shared" si="14"/>
        <v>14.726215563702155</v>
      </c>
      <c r="I114" s="165">
        <f t="shared" si="15"/>
        <v>55.683009423084449</v>
      </c>
      <c r="J114" s="165">
        <f t="shared" si="16"/>
        <v>278415.04711542226</v>
      </c>
      <c r="L114" s="165" t="str">
        <f t="shared" si="17"/>
        <v/>
      </c>
      <c r="M114" s="165" t="str">
        <f t="shared" si="18"/>
        <v/>
      </c>
      <c r="N114" s="165" t="str">
        <f t="shared" si="19"/>
        <v/>
      </c>
      <c r="O114" s="165" t="str">
        <f t="shared" si="20"/>
        <v/>
      </c>
      <c r="P114" s="165" t="str">
        <f t="shared" si="21"/>
        <v/>
      </c>
      <c r="Q114" s="165" t="str">
        <f t="shared" si="22"/>
        <v/>
      </c>
      <c r="R114" s="165" t="str">
        <f t="shared" si="23"/>
        <v/>
      </c>
      <c r="S114" s="165" t="str">
        <f t="shared" si="24"/>
        <v/>
      </c>
    </row>
    <row r="115" spans="1:19" ht="16.5" customHeight="1">
      <c r="A115" s="197">
        <v>100</v>
      </c>
      <c r="B115" s="196">
        <v>1000</v>
      </c>
      <c r="C115" s="165">
        <v>22</v>
      </c>
      <c r="D115" s="165">
        <v>30</v>
      </c>
      <c r="E115" s="197">
        <v>2.2000000000000002</v>
      </c>
      <c r="F115" s="197">
        <v>0.2</v>
      </c>
      <c r="G115" s="197">
        <f t="shared" si="13"/>
        <v>0.26525823848649233</v>
      </c>
      <c r="H115" s="165">
        <f t="shared" si="14"/>
        <v>11.403981332530948</v>
      </c>
      <c r="I115" s="165">
        <f t="shared" si="15"/>
        <v>87.688673879832152</v>
      </c>
      <c r="J115" s="165">
        <f t="shared" si="16"/>
        <v>438443.36939916079</v>
      </c>
      <c r="L115" s="165" t="str">
        <f t="shared" si="17"/>
        <v/>
      </c>
      <c r="M115" s="165" t="str">
        <f t="shared" si="18"/>
        <v/>
      </c>
      <c r="N115" s="165" t="str">
        <f t="shared" si="19"/>
        <v/>
      </c>
      <c r="O115" s="165" t="str">
        <f t="shared" si="20"/>
        <v/>
      </c>
      <c r="P115" s="165" t="str">
        <f t="shared" si="21"/>
        <v/>
      </c>
      <c r="Q115" s="165" t="str">
        <f t="shared" si="22"/>
        <v/>
      </c>
      <c r="R115" s="165" t="str">
        <f t="shared" si="23"/>
        <v/>
      </c>
      <c r="S115" s="165" t="str">
        <f t="shared" si="24"/>
        <v/>
      </c>
    </row>
    <row r="116" spans="1:19" ht="16.5" customHeight="1">
      <c r="A116" s="197">
        <v>100</v>
      </c>
      <c r="B116" s="196">
        <v>1000</v>
      </c>
      <c r="C116" s="165">
        <v>25</v>
      </c>
      <c r="D116" s="165">
        <v>25</v>
      </c>
      <c r="E116" s="197">
        <v>1.71</v>
      </c>
      <c r="F116" s="197">
        <v>0.2</v>
      </c>
      <c r="G116" s="197">
        <f t="shared" si="13"/>
        <v>0.26525823848649233</v>
      </c>
      <c r="H116" s="165">
        <f t="shared" si="14"/>
        <v>12.271846303085129</v>
      </c>
      <c r="I116" s="165">
        <f t="shared" si="15"/>
        <v>81.487330863050417</v>
      </c>
      <c r="J116" s="165">
        <f t="shared" si="16"/>
        <v>407436.65431525209</v>
      </c>
      <c r="L116" s="165">
        <f t="shared" si="17"/>
        <v>1018.5916357881302</v>
      </c>
      <c r="M116" s="165">
        <f t="shared" si="18"/>
        <v>883.57293382212924</v>
      </c>
      <c r="N116" s="165" t="str">
        <f t="shared" si="19"/>
        <v/>
      </c>
      <c r="O116" s="165" t="str">
        <f t="shared" si="20"/>
        <v/>
      </c>
      <c r="P116" s="199" t="str">
        <f t="shared" si="21"/>
        <v/>
      </c>
      <c r="Q116" s="165" t="str">
        <f t="shared" si="22"/>
        <v/>
      </c>
      <c r="R116" s="165" t="str">
        <f t="shared" si="23"/>
        <v/>
      </c>
      <c r="S116" s="165" t="str">
        <f t="shared" si="24"/>
        <v/>
      </c>
    </row>
    <row r="117" spans="1:19" ht="16.5" customHeight="1">
      <c r="A117" s="197">
        <v>100</v>
      </c>
      <c r="B117" s="196">
        <v>1200</v>
      </c>
      <c r="C117" s="165">
        <v>22</v>
      </c>
      <c r="D117" s="165">
        <v>36</v>
      </c>
      <c r="E117" s="197">
        <v>2.2999999999999998</v>
      </c>
      <c r="F117" s="197">
        <v>0.2</v>
      </c>
      <c r="G117" s="197">
        <f t="shared" si="13"/>
        <v>0.22104853207207689</v>
      </c>
      <c r="H117" s="165">
        <f t="shared" si="14"/>
        <v>13.68477759903714</v>
      </c>
      <c r="I117" s="165">
        <f t="shared" si="15"/>
        <v>87.688673879832137</v>
      </c>
      <c r="J117" s="165">
        <f t="shared" si="16"/>
        <v>438443.36939916067</v>
      </c>
      <c r="L117" s="165" t="str">
        <f t="shared" si="17"/>
        <v/>
      </c>
      <c r="M117" s="165" t="str">
        <f t="shared" si="18"/>
        <v/>
      </c>
      <c r="N117" s="165" t="str">
        <f t="shared" si="19"/>
        <v/>
      </c>
      <c r="O117" s="165" t="str">
        <f t="shared" si="20"/>
        <v/>
      </c>
      <c r="P117" s="165" t="str">
        <f t="shared" si="21"/>
        <v/>
      </c>
      <c r="Q117" s="165" t="str">
        <f t="shared" si="22"/>
        <v/>
      </c>
      <c r="R117" s="165" t="str">
        <f t="shared" si="23"/>
        <v/>
      </c>
      <c r="S117" s="165" t="str">
        <f t="shared" si="24"/>
        <v/>
      </c>
    </row>
    <row r="118" spans="1:19" ht="16.5" customHeight="1">
      <c r="A118" s="197">
        <v>100</v>
      </c>
      <c r="B118" s="196">
        <v>1200</v>
      </c>
      <c r="C118" s="165">
        <v>25</v>
      </c>
      <c r="D118" s="165">
        <v>35</v>
      </c>
      <c r="E118" s="197">
        <v>2.2999999999999998</v>
      </c>
      <c r="F118" s="197">
        <v>0.2</v>
      </c>
      <c r="G118" s="197">
        <f t="shared" si="13"/>
        <v>0.22104853207207689</v>
      </c>
      <c r="H118" s="165">
        <f t="shared" si="14"/>
        <v>17.180584824319183</v>
      </c>
      <c r="I118" s="165">
        <f t="shared" si="15"/>
        <v>69.846283596900349</v>
      </c>
      <c r="J118" s="165">
        <f t="shared" si="16"/>
        <v>349231.41798450175</v>
      </c>
      <c r="L118" s="165" t="str">
        <f t="shared" si="17"/>
        <v/>
      </c>
      <c r="M118" s="165" t="str">
        <f t="shared" si="18"/>
        <v/>
      </c>
      <c r="N118" s="165" t="str">
        <f t="shared" si="19"/>
        <v/>
      </c>
      <c r="O118" s="165" t="str">
        <f t="shared" si="20"/>
        <v/>
      </c>
      <c r="P118" s="165" t="str">
        <f t="shared" si="21"/>
        <v/>
      </c>
      <c r="Q118" s="165" t="str">
        <f t="shared" si="22"/>
        <v/>
      </c>
      <c r="R118" s="165" t="str">
        <f t="shared" si="23"/>
        <v/>
      </c>
      <c r="S118" s="165" t="str">
        <f t="shared" si="24"/>
        <v/>
      </c>
    </row>
    <row r="119" spans="1:19" ht="16.5" customHeight="1">
      <c r="A119" s="197">
        <v>100</v>
      </c>
      <c r="B119" s="196">
        <v>1500</v>
      </c>
      <c r="C119" s="165">
        <v>22</v>
      </c>
      <c r="D119" s="165">
        <v>40</v>
      </c>
      <c r="E119" s="197">
        <v>2.54</v>
      </c>
      <c r="F119" s="197">
        <v>0.2</v>
      </c>
      <c r="G119" s="197">
        <f t="shared" si="13"/>
        <v>0.17683882565766154</v>
      </c>
      <c r="H119" s="165">
        <f t="shared" si="14"/>
        <v>15.2053084433746</v>
      </c>
      <c r="I119" s="165">
        <f t="shared" si="15"/>
        <v>98.649758114811149</v>
      </c>
      <c r="J119" s="165">
        <f t="shared" si="16"/>
        <v>493248.79057405575</v>
      </c>
      <c r="L119" s="165" t="str">
        <f t="shared" si="17"/>
        <v/>
      </c>
      <c r="M119" s="165" t="str">
        <f t="shared" si="18"/>
        <v/>
      </c>
      <c r="N119" s="165" t="str">
        <f t="shared" si="19"/>
        <v/>
      </c>
      <c r="O119" s="165" t="str">
        <f t="shared" si="20"/>
        <v/>
      </c>
      <c r="P119" s="165" t="str">
        <f t="shared" si="21"/>
        <v/>
      </c>
      <c r="Q119" s="165" t="str">
        <f t="shared" si="22"/>
        <v/>
      </c>
      <c r="R119" s="165" t="str">
        <f t="shared" si="23"/>
        <v/>
      </c>
      <c r="S119" s="165" t="str">
        <f t="shared" si="24"/>
        <v/>
      </c>
    </row>
    <row r="120" spans="1:19" ht="16.5" customHeight="1">
      <c r="A120" s="197">
        <v>100</v>
      </c>
      <c r="B120" s="196">
        <v>1500</v>
      </c>
      <c r="C120" s="165">
        <v>25</v>
      </c>
      <c r="D120" s="165">
        <v>40</v>
      </c>
      <c r="E120" s="197">
        <v>2.5</v>
      </c>
      <c r="F120" s="197">
        <v>0.2</v>
      </c>
      <c r="G120" s="197">
        <f t="shared" si="13"/>
        <v>0.17683882565766154</v>
      </c>
      <c r="H120" s="165">
        <f t="shared" si="14"/>
        <v>19.634954084936208</v>
      </c>
      <c r="I120" s="165">
        <f t="shared" si="15"/>
        <v>76.394372684109754</v>
      </c>
      <c r="J120" s="165">
        <f t="shared" si="16"/>
        <v>381971.86342054879</v>
      </c>
      <c r="L120" s="165" t="str">
        <f t="shared" si="17"/>
        <v/>
      </c>
      <c r="M120" s="165" t="str">
        <f t="shared" si="18"/>
        <v/>
      </c>
      <c r="N120" s="165" t="str">
        <f t="shared" si="19"/>
        <v/>
      </c>
      <c r="O120" s="165" t="str">
        <f t="shared" si="20"/>
        <v/>
      </c>
      <c r="P120" s="165" t="str">
        <f t="shared" si="21"/>
        <v/>
      </c>
      <c r="Q120" s="165" t="str">
        <f t="shared" si="22"/>
        <v/>
      </c>
      <c r="R120" s="165" t="str">
        <f t="shared" si="23"/>
        <v/>
      </c>
      <c r="S120" s="165" t="str">
        <f t="shared" si="24"/>
        <v/>
      </c>
    </row>
    <row r="121" spans="1:19" ht="16.5" customHeight="1">
      <c r="A121" s="197">
        <v>100</v>
      </c>
      <c r="B121" s="196">
        <v>1800</v>
      </c>
      <c r="C121" s="165">
        <v>22</v>
      </c>
      <c r="D121" s="165">
        <v>46</v>
      </c>
      <c r="E121" s="197">
        <v>2.2000000000000002</v>
      </c>
      <c r="F121" s="197">
        <v>0.2</v>
      </c>
      <c r="G121" s="197">
        <f t="shared" si="13"/>
        <v>0.14736568804805125</v>
      </c>
      <c r="H121" s="165">
        <f t="shared" si="14"/>
        <v>17.486104709880788</v>
      </c>
      <c r="I121" s="165">
        <f t="shared" si="15"/>
        <v>102.93887803284643</v>
      </c>
      <c r="J121" s="165">
        <f t="shared" si="16"/>
        <v>514694.39016423217</v>
      </c>
      <c r="L121" s="165" t="str">
        <f t="shared" si="17"/>
        <v/>
      </c>
      <c r="M121" s="165" t="str">
        <f t="shared" si="18"/>
        <v/>
      </c>
      <c r="N121" s="165" t="str">
        <f t="shared" si="19"/>
        <v/>
      </c>
      <c r="O121" s="165" t="str">
        <f t="shared" si="20"/>
        <v/>
      </c>
      <c r="P121" s="165" t="str">
        <f t="shared" si="21"/>
        <v/>
      </c>
      <c r="Q121" s="165" t="str">
        <f t="shared" si="22"/>
        <v/>
      </c>
      <c r="R121" s="165" t="str">
        <f t="shared" si="23"/>
        <v/>
      </c>
      <c r="S121" s="165" t="str">
        <f t="shared" si="24"/>
        <v/>
      </c>
    </row>
    <row r="122" spans="1:19" ht="16.5" customHeight="1">
      <c r="A122" s="197">
        <v>100</v>
      </c>
      <c r="B122" s="196">
        <v>1800</v>
      </c>
      <c r="C122" s="165">
        <v>25</v>
      </c>
      <c r="D122" s="165">
        <v>41</v>
      </c>
      <c r="E122" s="197">
        <v>2.0499999999999998</v>
      </c>
      <c r="F122" s="197">
        <v>0.2</v>
      </c>
      <c r="G122" s="197">
        <f t="shared" si="13"/>
        <v>0.14736568804805125</v>
      </c>
      <c r="H122" s="165">
        <f t="shared" si="14"/>
        <v>20.125827937059615</v>
      </c>
      <c r="I122" s="165">
        <f t="shared" si="15"/>
        <v>89.437314361884589</v>
      </c>
      <c r="J122" s="165">
        <f t="shared" si="16"/>
        <v>447186.57180942292</v>
      </c>
      <c r="L122" s="165" t="str">
        <f t="shared" si="17"/>
        <v/>
      </c>
      <c r="M122" s="165" t="str">
        <f t="shared" si="18"/>
        <v/>
      </c>
      <c r="N122" s="165" t="str">
        <f t="shared" si="19"/>
        <v/>
      </c>
      <c r="O122" s="165" t="str">
        <f t="shared" si="20"/>
        <v/>
      </c>
      <c r="P122" s="165" t="str">
        <f t="shared" si="21"/>
        <v/>
      </c>
      <c r="Q122" s="165" t="str">
        <f t="shared" si="22"/>
        <v/>
      </c>
      <c r="R122" s="165" t="str">
        <f t="shared" si="23"/>
        <v/>
      </c>
      <c r="S122" s="165" t="str">
        <f t="shared" si="24"/>
        <v/>
      </c>
    </row>
    <row r="123" spans="1:19" ht="16.5" customHeight="1">
      <c r="A123" s="197">
        <v>100</v>
      </c>
      <c r="B123" s="196">
        <v>2200</v>
      </c>
      <c r="C123" s="165">
        <v>22</v>
      </c>
      <c r="D123" s="165">
        <v>50</v>
      </c>
      <c r="E123" s="197">
        <v>3.07</v>
      </c>
      <c r="F123" s="197">
        <v>0.2</v>
      </c>
      <c r="G123" s="197">
        <f t="shared" si="13"/>
        <v>0.12057192658476922</v>
      </c>
      <c r="H123" s="165">
        <f t="shared" si="14"/>
        <v>19.006635554218249</v>
      </c>
      <c r="I123" s="165">
        <f t="shared" si="15"/>
        <v>115.74904952137842</v>
      </c>
      <c r="J123" s="165">
        <f t="shared" si="16"/>
        <v>578745.24760689214</v>
      </c>
      <c r="L123" s="165" t="str">
        <f t="shared" si="17"/>
        <v/>
      </c>
      <c r="M123" s="165" t="str">
        <f t="shared" si="18"/>
        <v/>
      </c>
      <c r="N123" s="165" t="str">
        <f t="shared" si="19"/>
        <v/>
      </c>
      <c r="O123" s="165" t="str">
        <f t="shared" si="20"/>
        <v/>
      </c>
      <c r="P123" s="165" t="str">
        <f t="shared" si="21"/>
        <v/>
      </c>
      <c r="Q123" s="165" t="str">
        <f t="shared" si="22"/>
        <v/>
      </c>
      <c r="R123" s="165" t="str">
        <f t="shared" si="23"/>
        <v/>
      </c>
      <c r="S123" s="165" t="str">
        <f t="shared" si="24"/>
        <v/>
      </c>
    </row>
    <row r="124" spans="1:19" ht="16.5" customHeight="1">
      <c r="A124" s="197">
        <v>100</v>
      </c>
      <c r="B124" s="196">
        <v>2200</v>
      </c>
      <c r="C124" s="165">
        <v>26</v>
      </c>
      <c r="D124" s="165">
        <v>40</v>
      </c>
      <c r="E124" s="197">
        <v>2.77</v>
      </c>
      <c r="F124" s="197">
        <v>0.2</v>
      </c>
      <c r="G124" s="197">
        <f t="shared" si="13"/>
        <v>0.12057192658476922</v>
      </c>
      <c r="H124" s="165">
        <f t="shared" si="14"/>
        <v>21.237166338267002</v>
      </c>
      <c r="I124" s="165">
        <f t="shared" si="15"/>
        <v>103.59197479354134</v>
      </c>
      <c r="J124" s="165">
        <f t="shared" si="16"/>
        <v>517959.87396770669</v>
      </c>
      <c r="L124" s="165" t="str">
        <f t="shared" si="17"/>
        <v/>
      </c>
      <c r="M124" s="165" t="str">
        <f t="shared" si="18"/>
        <v/>
      </c>
      <c r="N124" s="165" t="str">
        <f t="shared" si="19"/>
        <v/>
      </c>
      <c r="O124" s="165" t="str">
        <f t="shared" si="20"/>
        <v/>
      </c>
      <c r="P124" s="165" t="str">
        <f t="shared" si="21"/>
        <v/>
      </c>
      <c r="Q124" s="165" t="str">
        <f t="shared" si="22"/>
        <v/>
      </c>
      <c r="R124" s="165" t="str">
        <f t="shared" si="23"/>
        <v/>
      </c>
      <c r="S124" s="165" t="str">
        <f t="shared" si="24"/>
        <v/>
      </c>
    </row>
    <row r="125" spans="1:19" ht="16.5" customHeight="1">
      <c r="A125" s="197">
        <v>100</v>
      </c>
      <c r="B125" s="196">
        <v>2700</v>
      </c>
      <c r="C125" s="165">
        <v>25</v>
      </c>
      <c r="D125" s="165">
        <v>46</v>
      </c>
      <c r="E125" s="197">
        <v>3.15</v>
      </c>
      <c r="F125" s="197">
        <v>0.2</v>
      </c>
      <c r="G125" s="197">
        <f t="shared" si="13"/>
        <v>9.8243792032034191E-2</v>
      </c>
      <c r="H125" s="165">
        <f t="shared" si="14"/>
        <v>22.58019719767664</v>
      </c>
      <c r="I125" s="165">
        <f t="shared" si="15"/>
        <v>119.5738007229544</v>
      </c>
      <c r="J125" s="165">
        <f t="shared" si="16"/>
        <v>597869.00361477199</v>
      </c>
      <c r="L125" s="165" t="str">
        <f t="shared" si="17"/>
        <v/>
      </c>
      <c r="M125" s="165" t="str">
        <f t="shared" si="18"/>
        <v/>
      </c>
      <c r="N125" s="165" t="str">
        <f t="shared" si="19"/>
        <v/>
      </c>
      <c r="O125" s="165" t="str">
        <f t="shared" si="20"/>
        <v/>
      </c>
      <c r="P125" s="165" t="str">
        <f t="shared" si="21"/>
        <v/>
      </c>
      <c r="Q125" s="165" t="str">
        <f t="shared" si="22"/>
        <v/>
      </c>
      <c r="R125" s="165" t="str">
        <f t="shared" si="23"/>
        <v/>
      </c>
      <c r="S125" s="165" t="str">
        <f t="shared" si="24"/>
        <v/>
      </c>
    </row>
    <row r="126" spans="1:19" ht="16.5" customHeight="1">
      <c r="A126" s="197">
        <v>100</v>
      </c>
      <c r="B126" s="196">
        <v>2700</v>
      </c>
      <c r="C126" s="165">
        <v>35</v>
      </c>
      <c r="D126" s="165">
        <v>35</v>
      </c>
      <c r="E126" s="197">
        <v>3.3</v>
      </c>
      <c r="F126" s="197">
        <v>0.2</v>
      </c>
      <c r="G126" s="197">
        <f t="shared" si="13"/>
        <v>9.8243792032034191E-2</v>
      </c>
      <c r="H126" s="165">
        <f t="shared" si="14"/>
        <v>33.673946255665598</v>
      </c>
      <c r="I126" s="165">
        <f t="shared" si="15"/>
        <v>80.180682700523363</v>
      </c>
      <c r="J126" s="165">
        <f t="shared" si="16"/>
        <v>400903.41350261681</v>
      </c>
      <c r="L126" s="165" t="str">
        <f t="shared" si="17"/>
        <v/>
      </c>
      <c r="M126" s="165" t="str">
        <f t="shared" si="18"/>
        <v/>
      </c>
      <c r="N126" s="165" t="str">
        <f t="shared" si="19"/>
        <v/>
      </c>
      <c r="O126" s="165" t="str">
        <f t="shared" si="20"/>
        <v/>
      </c>
      <c r="P126" s="165" t="str">
        <f t="shared" si="21"/>
        <v/>
      </c>
      <c r="Q126" s="165" t="str">
        <f t="shared" si="22"/>
        <v/>
      </c>
      <c r="R126" s="165" t="str">
        <f t="shared" si="23"/>
        <v/>
      </c>
      <c r="S126" s="165" t="str">
        <f t="shared" si="24"/>
        <v/>
      </c>
    </row>
    <row r="127" spans="1:19" ht="16.5" customHeight="1">
      <c r="A127" s="197">
        <v>100</v>
      </c>
      <c r="B127" s="196">
        <v>3300</v>
      </c>
      <c r="C127" s="165">
        <v>25</v>
      </c>
      <c r="D127" s="165">
        <v>50</v>
      </c>
      <c r="E127" s="197">
        <v>3.39</v>
      </c>
      <c r="F127" s="197">
        <v>0.2</v>
      </c>
      <c r="G127" s="197">
        <f t="shared" si="13"/>
        <v>8.0381284389846139E-2</v>
      </c>
      <c r="H127" s="165">
        <f t="shared" si="14"/>
        <v>24.543692606170257</v>
      </c>
      <c r="I127" s="165">
        <f t="shared" si="15"/>
        <v>134.4540959240332</v>
      </c>
      <c r="J127" s="165">
        <f t="shared" si="16"/>
        <v>672270.47962016601</v>
      </c>
      <c r="L127" s="165" t="str">
        <f t="shared" si="17"/>
        <v/>
      </c>
      <c r="M127" s="165" t="str">
        <f t="shared" si="18"/>
        <v/>
      </c>
      <c r="N127" s="165" t="str">
        <f t="shared" si="19"/>
        <v/>
      </c>
      <c r="O127" s="165" t="str">
        <f t="shared" si="20"/>
        <v/>
      </c>
      <c r="P127" s="165" t="str">
        <f t="shared" si="21"/>
        <v/>
      </c>
      <c r="Q127" s="165" t="str">
        <f t="shared" si="22"/>
        <v/>
      </c>
      <c r="R127" s="165" t="str">
        <f t="shared" si="23"/>
        <v/>
      </c>
      <c r="S127" s="165" t="str">
        <f t="shared" si="24"/>
        <v/>
      </c>
    </row>
    <row r="128" spans="1:19" ht="16.5" customHeight="1">
      <c r="A128" s="197">
        <v>100</v>
      </c>
      <c r="B128" s="196">
        <v>3300</v>
      </c>
      <c r="C128" s="165">
        <v>30</v>
      </c>
      <c r="D128" s="165">
        <v>41</v>
      </c>
      <c r="E128" s="197">
        <v>3.27</v>
      </c>
      <c r="F128" s="197">
        <v>0.2</v>
      </c>
      <c r="G128" s="197">
        <f t="shared" si="13"/>
        <v>8.0381284389846139E-2</v>
      </c>
      <c r="H128" s="165">
        <f t="shared" si="14"/>
        <v>28.981192229365845</v>
      </c>
      <c r="I128" s="165">
        <f t="shared" si="15"/>
        <v>113.86695115517713</v>
      </c>
      <c r="J128" s="165">
        <f t="shared" si="16"/>
        <v>569334.75577588566</v>
      </c>
      <c r="L128" s="165" t="str">
        <f t="shared" si="17"/>
        <v/>
      </c>
      <c r="M128" s="165" t="str">
        <f t="shared" si="18"/>
        <v/>
      </c>
      <c r="N128" s="165" t="str">
        <f t="shared" si="19"/>
        <v/>
      </c>
      <c r="O128" s="165" t="str">
        <f t="shared" si="20"/>
        <v/>
      </c>
      <c r="P128" s="165" t="str">
        <f t="shared" si="21"/>
        <v/>
      </c>
      <c r="Q128" s="165" t="str">
        <f t="shared" si="22"/>
        <v/>
      </c>
      <c r="R128" s="165" t="str">
        <f t="shared" si="23"/>
        <v/>
      </c>
      <c r="S128" s="165" t="str">
        <f t="shared" si="24"/>
        <v/>
      </c>
    </row>
    <row r="129" spans="1:19" ht="16.5" customHeight="1">
      <c r="A129" s="197">
        <v>100</v>
      </c>
      <c r="B129" s="196">
        <v>3900</v>
      </c>
      <c r="C129" s="165">
        <v>30</v>
      </c>
      <c r="D129" s="165">
        <v>46</v>
      </c>
      <c r="E129" s="197">
        <v>3.5</v>
      </c>
      <c r="F129" s="197">
        <v>0.2</v>
      </c>
      <c r="G129" s="197">
        <f t="shared" si="13"/>
        <v>6.801493294525443E-2</v>
      </c>
      <c r="H129" s="165">
        <f t="shared" si="14"/>
        <v>32.515483964654358</v>
      </c>
      <c r="I129" s="165">
        <f t="shared" si="15"/>
        <v>119.94285566345737</v>
      </c>
      <c r="J129" s="165">
        <f t="shared" si="16"/>
        <v>599714.27831728687</v>
      </c>
      <c r="L129" s="165" t="str">
        <f t="shared" si="17"/>
        <v/>
      </c>
      <c r="M129" s="165" t="str">
        <f t="shared" si="18"/>
        <v/>
      </c>
      <c r="N129" s="165" t="str">
        <f t="shared" si="19"/>
        <v/>
      </c>
      <c r="O129" s="165" t="str">
        <f t="shared" si="20"/>
        <v/>
      </c>
      <c r="P129" s="165" t="str">
        <f t="shared" si="21"/>
        <v/>
      </c>
      <c r="Q129" s="165" t="str">
        <f t="shared" si="22"/>
        <v/>
      </c>
      <c r="R129" s="165" t="str">
        <f t="shared" si="23"/>
        <v/>
      </c>
      <c r="S129" s="165" t="str">
        <f t="shared" si="24"/>
        <v/>
      </c>
    </row>
    <row r="130" spans="1:19" ht="16.5" customHeight="1">
      <c r="A130" s="197">
        <v>100</v>
      </c>
      <c r="B130" s="196">
        <v>3900</v>
      </c>
      <c r="C130" s="165">
        <v>35</v>
      </c>
      <c r="D130" s="165">
        <v>45</v>
      </c>
      <c r="E130" s="197">
        <v>3.5</v>
      </c>
      <c r="F130" s="197">
        <v>0.2</v>
      </c>
      <c r="G130" s="197">
        <f t="shared" si="13"/>
        <v>6.801493294525443E-2</v>
      </c>
      <c r="H130" s="165">
        <f t="shared" si="14"/>
        <v>43.295073757284335</v>
      </c>
      <c r="I130" s="165">
        <f t="shared" si="15"/>
        <v>90.079532416637363</v>
      </c>
      <c r="J130" s="165">
        <f t="shared" si="16"/>
        <v>450397.66208318679</v>
      </c>
      <c r="L130" s="165" t="str">
        <f t="shared" si="17"/>
        <v/>
      </c>
      <c r="M130" s="165" t="str">
        <f t="shared" si="18"/>
        <v/>
      </c>
      <c r="N130" s="165" t="str">
        <f t="shared" si="19"/>
        <v/>
      </c>
      <c r="O130" s="165" t="str">
        <f t="shared" si="20"/>
        <v/>
      </c>
      <c r="P130" s="165" t="str">
        <f t="shared" si="21"/>
        <v/>
      </c>
      <c r="Q130" s="165" t="str">
        <f t="shared" si="22"/>
        <v/>
      </c>
      <c r="R130" s="165" t="str">
        <f t="shared" si="23"/>
        <v/>
      </c>
      <c r="S130" s="165" t="str">
        <f t="shared" si="24"/>
        <v/>
      </c>
    </row>
    <row r="131" spans="1:19" ht="16.5" customHeight="1">
      <c r="A131" s="197">
        <v>100</v>
      </c>
      <c r="B131" s="196">
        <v>4700</v>
      </c>
      <c r="C131" s="165">
        <v>30</v>
      </c>
      <c r="D131" s="165">
        <v>50</v>
      </c>
      <c r="E131" s="197">
        <v>3.7</v>
      </c>
      <c r="F131" s="197">
        <v>0.25</v>
      </c>
      <c r="G131" s="197">
        <f t="shared" si="13"/>
        <v>7.0547403852790486E-2</v>
      </c>
      <c r="H131" s="165">
        <f t="shared" si="14"/>
        <v>35.342917352885173</v>
      </c>
      <c r="I131" s="165">
        <f t="shared" si="15"/>
        <v>132.98279689456143</v>
      </c>
      <c r="J131" s="165">
        <f t="shared" si="16"/>
        <v>664913.98447280715</v>
      </c>
      <c r="L131" s="165" t="str">
        <f t="shared" si="17"/>
        <v/>
      </c>
      <c r="M131" s="165" t="str">
        <f t="shared" si="18"/>
        <v/>
      </c>
      <c r="N131" s="165" t="str">
        <f t="shared" si="19"/>
        <v/>
      </c>
      <c r="O131" s="165" t="str">
        <f t="shared" si="20"/>
        <v/>
      </c>
      <c r="P131" s="165" t="str">
        <f t="shared" si="21"/>
        <v/>
      </c>
      <c r="Q131" s="165" t="str">
        <f t="shared" si="22"/>
        <v/>
      </c>
      <c r="R131" s="165" t="str">
        <f t="shared" si="23"/>
        <v/>
      </c>
      <c r="S131" s="165" t="str">
        <f t="shared" si="24"/>
        <v/>
      </c>
    </row>
    <row r="132" spans="1:19" ht="16.5" customHeight="1">
      <c r="A132" s="197">
        <v>100</v>
      </c>
      <c r="B132" s="196">
        <v>4700</v>
      </c>
      <c r="C132" s="165">
        <v>35</v>
      </c>
      <c r="D132" s="165">
        <v>42</v>
      </c>
      <c r="E132" s="197">
        <v>3.5</v>
      </c>
      <c r="F132" s="197">
        <v>0.25</v>
      </c>
      <c r="G132" s="197">
        <f t="shared" ref="G132:G195" si="25">F132/(2*PI()*120*B132*10^-6)</f>
        <v>7.0547403852790486E-2</v>
      </c>
      <c r="H132" s="165">
        <f t="shared" ref="H132:H195" si="26">0.001*D132*PI()*(C132/2)^2</f>
        <v>40.408735506798713</v>
      </c>
      <c r="I132" s="165">
        <f t="shared" ref="I132:I195" si="27">B132/H132</f>
        <v>116.31148416433946</v>
      </c>
      <c r="J132" s="165">
        <f t="shared" ref="J132:J195" si="28">0.5*I132*A132^2</f>
        <v>581557.42082169733</v>
      </c>
      <c r="L132" s="165" t="str">
        <f t="shared" ref="L132:L195" si="29">IF(AND($W$9&lt;A132,D132&lt;=$W$14),0.5*I132*$W$7,"")</f>
        <v/>
      </c>
      <c r="M132" s="165" t="str">
        <f t="shared" ref="M132:M195" si="30">IF(L132&lt;&gt;"",ROUNDUP($W$12/B132,0)*H132,"")</f>
        <v/>
      </c>
      <c r="N132" s="165" t="str">
        <f t="shared" ref="N132:N195" si="31">IF(M132=MIN($M$4:$M$266),M132,"")</f>
        <v/>
      </c>
      <c r="O132" s="165" t="str">
        <f t="shared" ref="O132:O195" si="32">IF($N132=MIN($M$4:$M$266),A132,"")</f>
        <v/>
      </c>
      <c r="P132" s="165" t="str">
        <f t="shared" ref="P132:P195" si="33">IF($N132=MIN($M$4:$M$266),B132,"")</f>
        <v/>
      </c>
      <c r="Q132" s="165" t="str">
        <f t="shared" ref="Q132:Q195" si="34">IF($N132=MIN($M$4:$M$266),C132,"")</f>
        <v/>
      </c>
      <c r="R132" s="165" t="str">
        <f t="shared" ref="R132:R195" si="35">IF($N132=MIN($M$4:$M$266),D132,"")</f>
        <v/>
      </c>
      <c r="S132" s="165" t="str">
        <f t="shared" ref="S132:S195" si="36">IF($N132=MIN($M$4:$M$266),G132,"")</f>
        <v/>
      </c>
    </row>
    <row r="133" spans="1:19" ht="16.5" customHeight="1">
      <c r="A133" s="197">
        <v>100</v>
      </c>
      <c r="B133" s="196">
        <v>5600</v>
      </c>
      <c r="C133" s="165">
        <v>35</v>
      </c>
      <c r="D133" s="165">
        <v>50</v>
      </c>
      <c r="E133" s="197">
        <v>4.0999999999999996</v>
      </c>
      <c r="F133" s="197">
        <v>0.25</v>
      </c>
      <c r="G133" s="197">
        <f t="shared" si="25"/>
        <v>5.9209428233592022E-2</v>
      </c>
      <c r="H133" s="165">
        <f t="shared" si="26"/>
        <v>48.105637508093707</v>
      </c>
      <c r="I133" s="165">
        <f t="shared" si="27"/>
        <v>116.41047266150059</v>
      </c>
      <c r="J133" s="165">
        <f t="shared" si="28"/>
        <v>582052.36330750294</v>
      </c>
      <c r="L133" s="165" t="str">
        <f t="shared" si="29"/>
        <v/>
      </c>
      <c r="M133" s="165" t="str">
        <f t="shared" si="30"/>
        <v/>
      </c>
      <c r="N133" s="165" t="str">
        <f t="shared" si="31"/>
        <v/>
      </c>
      <c r="O133" s="165" t="str">
        <f t="shared" si="32"/>
        <v/>
      </c>
      <c r="P133" s="165" t="str">
        <f t="shared" si="33"/>
        <v/>
      </c>
      <c r="Q133" s="165" t="str">
        <f t="shared" si="34"/>
        <v/>
      </c>
      <c r="R133" s="165" t="str">
        <f t="shared" si="35"/>
        <v/>
      </c>
      <c r="S133" s="165" t="str">
        <f t="shared" si="36"/>
        <v/>
      </c>
    </row>
    <row r="134" spans="1:19" ht="16.5" customHeight="1">
      <c r="A134" s="197">
        <v>100</v>
      </c>
      <c r="B134" s="196">
        <v>6800</v>
      </c>
      <c r="C134" s="165">
        <v>35</v>
      </c>
      <c r="D134" s="165">
        <v>58</v>
      </c>
      <c r="E134" s="197">
        <v>5</v>
      </c>
      <c r="F134" s="197">
        <v>0.25</v>
      </c>
      <c r="G134" s="197">
        <f t="shared" si="25"/>
        <v>4.8760705604134612E-2</v>
      </c>
      <c r="H134" s="165">
        <f t="shared" si="26"/>
        <v>55.802539509388708</v>
      </c>
      <c r="I134" s="165">
        <f t="shared" si="27"/>
        <v>121.85825340181711</v>
      </c>
      <c r="J134" s="165">
        <f t="shared" si="28"/>
        <v>609291.26700908551</v>
      </c>
      <c r="L134" s="165" t="str">
        <f t="shared" si="29"/>
        <v/>
      </c>
      <c r="M134" s="165" t="str">
        <f t="shared" si="30"/>
        <v/>
      </c>
      <c r="N134" s="165" t="str">
        <f t="shared" si="31"/>
        <v/>
      </c>
      <c r="O134" s="165" t="str">
        <f t="shared" si="32"/>
        <v/>
      </c>
      <c r="P134" s="165" t="str">
        <f t="shared" si="33"/>
        <v/>
      </c>
      <c r="Q134" s="165" t="str">
        <f t="shared" si="34"/>
        <v/>
      </c>
      <c r="R134" s="165" t="str">
        <f t="shared" si="35"/>
        <v/>
      </c>
      <c r="S134" s="165" t="str">
        <f t="shared" si="36"/>
        <v/>
      </c>
    </row>
    <row r="135" spans="1:19" ht="16.5" customHeight="1">
      <c r="A135" s="197">
        <v>100</v>
      </c>
      <c r="B135" s="196">
        <v>8200</v>
      </c>
      <c r="C135" s="165">
        <v>35</v>
      </c>
      <c r="D135" s="165">
        <v>60</v>
      </c>
      <c r="E135" s="197">
        <v>5.3</v>
      </c>
      <c r="F135" s="197">
        <v>0.25</v>
      </c>
      <c r="G135" s="197">
        <f t="shared" si="25"/>
        <v>4.0435707086355521E-2</v>
      </c>
      <c r="H135" s="165">
        <f t="shared" si="26"/>
        <v>57.726765009712445</v>
      </c>
      <c r="I135" s="165">
        <f t="shared" si="27"/>
        <v>142.04849342623586</v>
      </c>
      <c r="J135" s="165">
        <f t="shared" si="28"/>
        <v>710242.46713117929</v>
      </c>
      <c r="L135" s="165" t="str">
        <f t="shared" si="29"/>
        <v/>
      </c>
      <c r="M135" s="165" t="str">
        <f t="shared" si="30"/>
        <v/>
      </c>
      <c r="N135" s="165" t="str">
        <f t="shared" si="31"/>
        <v/>
      </c>
      <c r="O135" s="165" t="str">
        <f t="shared" si="32"/>
        <v/>
      </c>
      <c r="P135" s="165" t="str">
        <f t="shared" si="33"/>
        <v/>
      </c>
      <c r="Q135" s="165" t="str">
        <f t="shared" si="34"/>
        <v/>
      </c>
      <c r="R135" s="165" t="str">
        <f t="shared" si="35"/>
        <v/>
      </c>
      <c r="S135" s="165" t="str">
        <f t="shared" si="36"/>
        <v/>
      </c>
    </row>
    <row r="136" spans="1:19" ht="16.5" customHeight="1">
      <c r="A136" s="197">
        <v>100</v>
      </c>
      <c r="B136" s="196">
        <v>10000</v>
      </c>
      <c r="C136" s="165">
        <v>35</v>
      </c>
      <c r="D136" s="165">
        <v>70</v>
      </c>
      <c r="E136" s="197">
        <v>5.49</v>
      </c>
      <c r="F136" s="197">
        <v>0.25</v>
      </c>
      <c r="G136" s="197">
        <f t="shared" si="25"/>
        <v>3.3157279810811534E-2</v>
      </c>
      <c r="H136" s="165">
        <f t="shared" si="26"/>
        <v>67.347892511331196</v>
      </c>
      <c r="I136" s="165">
        <f t="shared" si="27"/>
        <v>148.48274574170992</v>
      </c>
      <c r="J136" s="165">
        <f t="shared" si="28"/>
        <v>742413.72870854964</v>
      </c>
      <c r="L136" s="165" t="str">
        <f t="shared" si="29"/>
        <v/>
      </c>
      <c r="M136" s="165" t="str">
        <f t="shared" si="30"/>
        <v/>
      </c>
      <c r="N136" s="165" t="str">
        <f t="shared" si="31"/>
        <v/>
      </c>
      <c r="O136" s="165" t="str">
        <f t="shared" si="32"/>
        <v/>
      </c>
      <c r="P136" s="165" t="str">
        <f t="shared" si="33"/>
        <v/>
      </c>
      <c r="Q136" s="165" t="str">
        <f t="shared" si="34"/>
        <v/>
      </c>
      <c r="R136" s="165" t="str">
        <f t="shared" si="35"/>
        <v/>
      </c>
      <c r="S136" s="165" t="str">
        <f t="shared" si="36"/>
        <v/>
      </c>
    </row>
    <row r="137" spans="1:19" ht="16.5" customHeight="1">
      <c r="A137" s="197">
        <v>100</v>
      </c>
      <c r="B137" s="196">
        <v>10000</v>
      </c>
      <c r="C137" s="165">
        <v>40</v>
      </c>
      <c r="D137" s="165">
        <v>64</v>
      </c>
      <c r="E137" s="197">
        <v>5.6</v>
      </c>
      <c r="F137" s="197">
        <v>0.25</v>
      </c>
      <c r="G137" s="197">
        <f t="shared" si="25"/>
        <v>3.3157279810811534E-2</v>
      </c>
      <c r="H137" s="165">
        <f t="shared" si="26"/>
        <v>80.424771931898704</v>
      </c>
      <c r="I137" s="165">
        <f t="shared" si="27"/>
        <v>124.33979929054324</v>
      </c>
      <c r="J137" s="165">
        <f t="shared" si="28"/>
        <v>621698.99645271618</v>
      </c>
      <c r="L137" s="165" t="str">
        <f t="shared" si="29"/>
        <v/>
      </c>
      <c r="M137" s="165" t="str">
        <f t="shared" si="30"/>
        <v/>
      </c>
      <c r="N137" s="165" t="str">
        <f t="shared" si="31"/>
        <v/>
      </c>
      <c r="O137" s="165" t="str">
        <f t="shared" si="32"/>
        <v/>
      </c>
      <c r="P137" s="165" t="str">
        <f t="shared" si="33"/>
        <v/>
      </c>
      <c r="Q137" s="165" t="str">
        <f t="shared" si="34"/>
        <v/>
      </c>
      <c r="R137" s="165" t="str">
        <f t="shared" si="35"/>
        <v/>
      </c>
      <c r="S137" s="165" t="str">
        <f t="shared" si="36"/>
        <v/>
      </c>
    </row>
    <row r="138" spans="1:19" ht="16.5" customHeight="1">
      <c r="A138" s="197">
        <v>160</v>
      </c>
      <c r="B138" s="197">
        <v>180</v>
      </c>
      <c r="C138" s="165">
        <v>20</v>
      </c>
      <c r="D138" s="165">
        <v>30</v>
      </c>
      <c r="E138" s="197">
        <v>1.2</v>
      </c>
      <c r="F138" s="197">
        <v>0.15</v>
      </c>
      <c r="G138" s="197">
        <f t="shared" si="25"/>
        <v>1.1052426603603844</v>
      </c>
      <c r="H138" s="165">
        <f t="shared" si="26"/>
        <v>9.4247779607693793</v>
      </c>
      <c r="I138" s="165">
        <f t="shared" si="27"/>
        <v>19.098593171027442</v>
      </c>
      <c r="J138" s="165">
        <f t="shared" si="28"/>
        <v>244461.99258915125</v>
      </c>
      <c r="L138" s="165" t="str">
        <f t="shared" si="29"/>
        <v/>
      </c>
      <c r="M138" s="165" t="str">
        <f t="shared" si="30"/>
        <v/>
      </c>
      <c r="N138" s="165" t="str">
        <f t="shared" si="31"/>
        <v/>
      </c>
      <c r="O138" s="165" t="str">
        <f t="shared" si="32"/>
        <v/>
      </c>
      <c r="P138" s="165" t="str">
        <f t="shared" si="33"/>
        <v/>
      </c>
      <c r="Q138" s="165" t="str">
        <f t="shared" si="34"/>
        <v/>
      </c>
      <c r="R138" s="165" t="str">
        <f t="shared" si="35"/>
        <v/>
      </c>
      <c r="S138" s="165" t="str">
        <f t="shared" si="36"/>
        <v/>
      </c>
    </row>
    <row r="139" spans="1:19" ht="16.5" customHeight="1">
      <c r="A139" s="197">
        <v>160</v>
      </c>
      <c r="B139" s="197">
        <v>180</v>
      </c>
      <c r="C139" s="165">
        <v>22</v>
      </c>
      <c r="D139" s="165">
        <v>25</v>
      </c>
      <c r="E139" s="197">
        <v>1.05</v>
      </c>
      <c r="F139" s="197">
        <v>0.15</v>
      </c>
      <c r="G139" s="197">
        <f t="shared" si="25"/>
        <v>1.1052426603603844</v>
      </c>
      <c r="H139" s="165">
        <f t="shared" si="26"/>
        <v>9.5033177771091246</v>
      </c>
      <c r="I139" s="165">
        <f t="shared" si="27"/>
        <v>18.940753558043742</v>
      </c>
      <c r="J139" s="165">
        <f t="shared" si="28"/>
        <v>242441.64554295989</v>
      </c>
      <c r="L139" s="165">
        <f t="shared" si="29"/>
        <v>236.75941947554676</v>
      </c>
      <c r="M139" s="165">
        <f t="shared" si="30"/>
        <v>3763.3138397352132</v>
      </c>
      <c r="N139" s="165" t="str">
        <f t="shared" si="31"/>
        <v/>
      </c>
      <c r="O139" s="165" t="str">
        <f t="shared" si="32"/>
        <v/>
      </c>
      <c r="P139" s="165" t="str">
        <f t="shared" si="33"/>
        <v/>
      </c>
      <c r="Q139" s="165" t="str">
        <f t="shared" si="34"/>
        <v/>
      </c>
      <c r="R139" s="165" t="str">
        <f t="shared" si="35"/>
        <v/>
      </c>
      <c r="S139" s="165" t="str">
        <f t="shared" si="36"/>
        <v/>
      </c>
    </row>
    <row r="140" spans="1:19" ht="16.5" customHeight="1">
      <c r="A140" s="197">
        <v>160</v>
      </c>
      <c r="B140" s="197">
        <v>270</v>
      </c>
      <c r="C140" s="165">
        <v>22</v>
      </c>
      <c r="D140" s="165">
        <v>26</v>
      </c>
      <c r="E140" s="197">
        <v>1.3</v>
      </c>
      <c r="F140" s="197">
        <v>0.15</v>
      </c>
      <c r="G140" s="197">
        <f t="shared" si="25"/>
        <v>0.73682844024025629</v>
      </c>
      <c r="H140" s="165">
        <f t="shared" si="26"/>
        <v>9.8834504881934908</v>
      </c>
      <c r="I140" s="165">
        <f t="shared" si="27"/>
        <v>27.318394554870778</v>
      </c>
      <c r="J140" s="165">
        <f t="shared" si="28"/>
        <v>349675.45030234597</v>
      </c>
      <c r="L140" s="165" t="str">
        <f t="shared" si="29"/>
        <v/>
      </c>
      <c r="M140" s="165" t="str">
        <f t="shared" si="30"/>
        <v/>
      </c>
      <c r="N140" s="165" t="str">
        <f t="shared" si="31"/>
        <v/>
      </c>
      <c r="O140" s="165" t="str">
        <f t="shared" si="32"/>
        <v/>
      </c>
      <c r="P140" s="165" t="str">
        <f t="shared" si="33"/>
        <v/>
      </c>
      <c r="Q140" s="165" t="str">
        <f t="shared" si="34"/>
        <v/>
      </c>
      <c r="R140" s="165" t="str">
        <f t="shared" si="35"/>
        <v/>
      </c>
      <c r="S140" s="165" t="str">
        <f t="shared" si="36"/>
        <v/>
      </c>
    </row>
    <row r="141" spans="1:19" ht="16.5" customHeight="1">
      <c r="A141" s="197">
        <v>160</v>
      </c>
      <c r="B141" s="197">
        <v>330</v>
      </c>
      <c r="C141" s="165">
        <v>22</v>
      </c>
      <c r="D141" s="165">
        <v>30</v>
      </c>
      <c r="E141" s="197">
        <v>1.1399999999999999</v>
      </c>
      <c r="F141" s="197">
        <v>0.15</v>
      </c>
      <c r="G141" s="197">
        <f t="shared" si="25"/>
        <v>0.60285963292384603</v>
      </c>
      <c r="H141" s="165">
        <f t="shared" si="26"/>
        <v>11.403981332530948</v>
      </c>
      <c r="I141" s="165">
        <f t="shared" si="27"/>
        <v>28.93726238034461</v>
      </c>
      <c r="J141" s="165">
        <f t="shared" si="28"/>
        <v>370396.958468411</v>
      </c>
      <c r="L141" s="165" t="str">
        <f t="shared" si="29"/>
        <v/>
      </c>
      <c r="M141" s="165" t="str">
        <f t="shared" si="30"/>
        <v/>
      </c>
      <c r="N141" s="165" t="str">
        <f t="shared" si="31"/>
        <v/>
      </c>
      <c r="O141" s="165" t="str">
        <f t="shared" si="32"/>
        <v/>
      </c>
      <c r="P141" s="165" t="str">
        <f t="shared" si="33"/>
        <v/>
      </c>
      <c r="Q141" s="165" t="str">
        <f t="shared" si="34"/>
        <v/>
      </c>
      <c r="R141" s="165" t="str">
        <f t="shared" si="35"/>
        <v/>
      </c>
      <c r="S141" s="165" t="str">
        <f t="shared" si="36"/>
        <v/>
      </c>
    </row>
    <row r="142" spans="1:19" ht="16.5" customHeight="1">
      <c r="A142" s="197">
        <v>160</v>
      </c>
      <c r="B142" s="197">
        <v>330</v>
      </c>
      <c r="C142" s="165">
        <v>25</v>
      </c>
      <c r="D142" s="165">
        <v>25</v>
      </c>
      <c r="E142" s="197">
        <v>1.1100000000000001</v>
      </c>
      <c r="F142" s="197">
        <v>0.15</v>
      </c>
      <c r="G142" s="197">
        <f t="shared" si="25"/>
        <v>0.60285963292384603</v>
      </c>
      <c r="H142" s="165">
        <f t="shared" si="26"/>
        <v>12.271846303085129</v>
      </c>
      <c r="I142" s="165">
        <f t="shared" si="27"/>
        <v>26.890819184806638</v>
      </c>
      <c r="J142" s="165">
        <f t="shared" si="28"/>
        <v>344202.48556552496</v>
      </c>
      <c r="L142" s="165">
        <f t="shared" si="29"/>
        <v>336.13523981008296</v>
      </c>
      <c r="M142" s="165">
        <f t="shared" si="30"/>
        <v>2650.718801466388</v>
      </c>
      <c r="N142" s="165" t="str">
        <f t="shared" si="31"/>
        <v/>
      </c>
      <c r="O142" s="165" t="str">
        <f t="shared" si="32"/>
        <v/>
      </c>
      <c r="P142" s="165" t="str">
        <f t="shared" si="33"/>
        <v/>
      </c>
      <c r="Q142" s="165" t="str">
        <f t="shared" si="34"/>
        <v/>
      </c>
      <c r="R142" s="165" t="str">
        <f t="shared" si="35"/>
        <v/>
      </c>
      <c r="S142" s="165" t="str">
        <f t="shared" si="36"/>
        <v/>
      </c>
    </row>
    <row r="143" spans="1:19" ht="16.5" customHeight="1">
      <c r="A143" s="197">
        <v>160</v>
      </c>
      <c r="B143" s="197">
        <v>390</v>
      </c>
      <c r="C143" s="165">
        <v>22</v>
      </c>
      <c r="D143" s="165">
        <v>31</v>
      </c>
      <c r="E143" s="197">
        <v>1.71</v>
      </c>
      <c r="F143" s="197">
        <v>0.15</v>
      </c>
      <c r="G143" s="197">
        <f t="shared" si="25"/>
        <v>0.51011199708940824</v>
      </c>
      <c r="H143" s="165">
        <f t="shared" si="26"/>
        <v>11.784114043615313</v>
      </c>
      <c r="I143" s="165">
        <f t="shared" si="27"/>
        <v>33.095402722388265</v>
      </c>
      <c r="J143" s="165">
        <f t="shared" si="28"/>
        <v>423621.15484656981</v>
      </c>
      <c r="L143" s="165" t="str">
        <f t="shared" si="29"/>
        <v/>
      </c>
      <c r="M143" s="165" t="str">
        <f t="shared" si="30"/>
        <v/>
      </c>
      <c r="N143" s="165" t="str">
        <f t="shared" si="31"/>
        <v/>
      </c>
      <c r="O143" s="165" t="str">
        <f t="shared" si="32"/>
        <v/>
      </c>
      <c r="P143" s="165" t="str">
        <f t="shared" si="33"/>
        <v/>
      </c>
      <c r="Q143" s="165" t="str">
        <f t="shared" si="34"/>
        <v/>
      </c>
      <c r="R143" s="165" t="str">
        <f t="shared" si="35"/>
        <v/>
      </c>
      <c r="S143" s="165" t="str">
        <f t="shared" si="36"/>
        <v/>
      </c>
    </row>
    <row r="144" spans="1:19" ht="16.5" customHeight="1">
      <c r="A144" s="197">
        <v>160</v>
      </c>
      <c r="B144" s="197">
        <v>390</v>
      </c>
      <c r="C144" s="165">
        <v>25</v>
      </c>
      <c r="D144" s="165">
        <v>26</v>
      </c>
      <c r="E144" s="197">
        <v>1.58</v>
      </c>
      <c r="F144" s="197">
        <v>0.15</v>
      </c>
      <c r="G144" s="197">
        <f t="shared" si="25"/>
        <v>0.51011199708940824</v>
      </c>
      <c r="H144" s="165">
        <f t="shared" si="26"/>
        <v>12.762720155208536</v>
      </c>
      <c r="I144" s="165">
        <f t="shared" si="27"/>
        <v>30.557749073643905</v>
      </c>
      <c r="J144" s="165">
        <f t="shared" si="28"/>
        <v>391139.18814264197</v>
      </c>
      <c r="L144" s="165" t="str">
        <f t="shared" si="29"/>
        <v/>
      </c>
      <c r="M144" s="165" t="str">
        <f t="shared" si="30"/>
        <v/>
      </c>
      <c r="N144" s="165" t="str">
        <f t="shared" si="31"/>
        <v/>
      </c>
      <c r="O144" s="165" t="str">
        <f t="shared" si="32"/>
        <v/>
      </c>
      <c r="P144" s="165" t="str">
        <f t="shared" si="33"/>
        <v/>
      </c>
      <c r="Q144" s="165" t="str">
        <f t="shared" si="34"/>
        <v/>
      </c>
      <c r="R144" s="165" t="str">
        <f t="shared" si="35"/>
        <v/>
      </c>
      <c r="S144" s="165" t="str">
        <f t="shared" si="36"/>
        <v/>
      </c>
    </row>
    <row r="145" spans="1:19" ht="16.5" customHeight="1">
      <c r="A145" s="197">
        <v>160</v>
      </c>
      <c r="B145" s="197">
        <v>470</v>
      </c>
      <c r="C145" s="165">
        <v>22</v>
      </c>
      <c r="D145" s="165">
        <v>31</v>
      </c>
      <c r="E145" s="197">
        <v>1.53</v>
      </c>
      <c r="F145" s="197">
        <v>0.15</v>
      </c>
      <c r="G145" s="197">
        <f t="shared" si="25"/>
        <v>0.42328442311674302</v>
      </c>
      <c r="H145" s="165">
        <f t="shared" si="26"/>
        <v>11.784114043615313</v>
      </c>
      <c r="I145" s="165">
        <f t="shared" si="27"/>
        <v>39.884203280826881</v>
      </c>
      <c r="J145" s="165">
        <f t="shared" si="28"/>
        <v>510517.80199458409</v>
      </c>
      <c r="L145" s="165" t="str">
        <f t="shared" si="29"/>
        <v/>
      </c>
      <c r="M145" s="165" t="str">
        <f t="shared" si="30"/>
        <v/>
      </c>
      <c r="N145" s="165" t="str">
        <f t="shared" si="31"/>
        <v/>
      </c>
      <c r="O145" s="165" t="str">
        <f t="shared" si="32"/>
        <v/>
      </c>
      <c r="P145" s="165" t="str">
        <f t="shared" si="33"/>
        <v/>
      </c>
      <c r="Q145" s="165" t="str">
        <f t="shared" si="34"/>
        <v/>
      </c>
      <c r="R145" s="165" t="str">
        <f t="shared" si="35"/>
        <v/>
      </c>
      <c r="S145" s="165" t="str">
        <f t="shared" si="36"/>
        <v/>
      </c>
    </row>
    <row r="146" spans="1:19" ht="16.5" customHeight="1">
      <c r="A146" s="197">
        <v>160</v>
      </c>
      <c r="B146" s="197">
        <v>470</v>
      </c>
      <c r="C146" s="165">
        <v>25</v>
      </c>
      <c r="D146" s="165">
        <v>26</v>
      </c>
      <c r="E146" s="197">
        <v>1.45</v>
      </c>
      <c r="F146" s="197">
        <v>0.15</v>
      </c>
      <c r="G146" s="197">
        <f t="shared" si="25"/>
        <v>0.42328442311674302</v>
      </c>
      <c r="H146" s="165">
        <f t="shared" si="26"/>
        <v>12.762720155208536</v>
      </c>
      <c r="I146" s="165">
        <f t="shared" si="27"/>
        <v>36.826005293878552</v>
      </c>
      <c r="J146" s="165">
        <f t="shared" si="28"/>
        <v>471372.86776164547</v>
      </c>
      <c r="L146" s="165" t="str">
        <f t="shared" si="29"/>
        <v/>
      </c>
      <c r="M146" s="165" t="str">
        <f t="shared" si="30"/>
        <v/>
      </c>
      <c r="N146" s="165" t="str">
        <f t="shared" si="31"/>
        <v/>
      </c>
      <c r="O146" s="165" t="str">
        <f t="shared" si="32"/>
        <v/>
      </c>
      <c r="P146" s="165" t="str">
        <f t="shared" si="33"/>
        <v/>
      </c>
      <c r="Q146" s="165" t="str">
        <f t="shared" si="34"/>
        <v/>
      </c>
      <c r="R146" s="165" t="str">
        <f t="shared" si="35"/>
        <v/>
      </c>
      <c r="S146" s="165" t="str">
        <f t="shared" si="36"/>
        <v/>
      </c>
    </row>
    <row r="147" spans="1:19" ht="16.5" customHeight="1">
      <c r="A147" s="197">
        <v>160</v>
      </c>
      <c r="B147" s="197">
        <v>560</v>
      </c>
      <c r="C147" s="165">
        <v>22</v>
      </c>
      <c r="D147" s="165">
        <v>35</v>
      </c>
      <c r="E147" s="197">
        <v>1.67</v>
      </c>
      <c r="F147" s="197">
        <v>0.15</v>
      </c>
      <c r="G147" s="197">
        <f t="shared" si="25"/>
        <v>0.35525656940155215</v>
      </c>
      <c r="H147" s="165">
        <f t="shared" si="26"/>
        <v>13.304644887952776</v>
      </c>
      <c r="I147" s="165">
        <f t="shared" si="27"/>
        <v>42.090563462319423</v>
      </c>
      <c r="J147" s="165">
        <f t="shared" si="28"/>
        <v>538759.21231768862</v>
      </c>
      <c r="L147" s="165" t="str">
        <f t="shared" si="29"/>
        <v/>
      </c>
      <c r="M147" s="165" t="str">
        <f t="shared" si="30"/>
        <v/>
      </c>
      <c r="N147" s="165" t="str">
        <f t="shared" si="31"/>
        <v/>
      </c>
      <c r="O147" s="165" t="str">
        <f t="shared" si="32"/>
        <v/>
      </c>
      <c r="P147" s="165" t="str">
        <f t="shared" si="33"/>
        <v/>
      </c>
      <c r="Q147" s="165" t="str">
        <f t="shared" si="34"/>
        <v/>
      </c>
      <c r="R147" s="165" t="str">
        <f t="shared" si="35"/>
        <v/>
      </c>
      <c r="S147" s="165" t="str">
        <f t="shared" si="36"/>
        <v/>
      </c>
    </row>
    <row r="148" spans="1:19" ht="16.5" customHeight="1">
      <c r="A148" s="197">
        <v>160</v>
      </c>
      <c r="B148" s="197">
        <v>560</v>
      </c>
      <c r="C148" s="165">
        <v>25</v>
      </c>
      <c r="D148" s="165">
        <v>31</v>
      </c>
      <c r="E148" s="197">
        <v>1.58</v>
      </c>
      <c r="F148" s="197">
        <v>0.15</v>
      </c>
      <c r="G148" s="197">
        <f t="shared" si="25"/>
        <v>0.35525656940155215</v>
      </c>
      <c r="H148" s="165">
        <f t="shared" si="26"/>
        <v>15.217089415825559</v>
      </c>
      <c r="I148" s="165">
        <f t="shared" si="27"/>
        <v>36.800730067184062</v>
      </c>
      <c r="J148" s="165">
        <f t="shared" si="28"/>
        <v>471049.34485995601</v>
      </c>
      <c r="L148" s="165" t="str">
        <f t="shared" si="29"/>
        <v/>
      </c>
      <c r="M148" s="165" t="str">
        <f t="shared" si="30"/>
        <v/>
      </c>
      <c r="N148" s="165" t="str">
        <f t="shared" si="31"/>
        <v/>
      </c>
      <c r="O148" s="165" t="str">
        <f t="shared" si="32"/>
        <v/>
      </c>
      <c r="P148" s="165" t="str">
        <f t="shared" si="33"/>
        <v/>
      </c>
      <c r="Q148" s="165" t="str">
        <f t="shared" si="34"/>
        <v/>
      </c>
      <c r="R148" s="165" t="str">
        <f t="shared" si="35"/>
        <v/>
      </c>
      <c r="S148" s="165" t="str">
        <f t="shared" si="36"/>
        <v/>
      </c>
    </row>
    <row r="149" spans="1:19" ht="16.5" customHeight="1">
      <c r="A149" s="197">
        <v>160</v>
      </c>
      <c r="B149" s="197">
        <v>680</v>
      </c>
      <c r="C149" s="165">
        <v>22</v>
      </c>
      <c r="D149" s="165">
        <v>40</v>
      </c>
      <c r="E149" s="197">
        <v>1.95</v>
      </c>
      <c r="F149" s="197">
        <v>0.15</v>
      </c>
      <c r="G149" s="197">
        <f t="shared" si="25"/>
        <v>0.29256423362480766</v>
      </c>
      <c r="H149" s="165">
        <f t="shared" si="26"/>
        <v>15.2053084433746</v>
      </c>
      <c r="I149" s="165">
        <f t="shared" si="27"/>
        <v>44.721223678714388</v>
      </c>
      <c r="J149" s="165">
        <f t="shared" si="28"/>
        <v>572431.66308754415</v>
      </c>
      <c r="L149" s="165" t="str">
        <f t="shared" si="29"/>
        <v/>
      </c>
      <c r="M149" s="165" t="str">
        <f t="shared" si="30"/>
        <v/>
      </c>
      <c r="N149" s="165" t="str">
        <f t="shared" si="31"/>
        <v/>
      </c>
      <c r="O149" s="165" t="str">
        <f t="shared" si="32"/>
        <v/>
      </c>
      <c r="P149" s="165" t="str">
        <f t="shared" si="33"/>
        <v/>
      </c>
      <c r="Q149" s="165" t="str">
        <f t="shared" si="34"/>
        <v/>
      </c>
      <c r="R149" s="165" t="str">
        <f t="shared" si="35"/>
        <v/>
      </c>
      <c r="S149" s="165" t="str">
        <f t="shared" si="36"/>
        <v/>
      </c>
    </row>
    <row r="150" spans="1:19" ht="16.5" customHeight="1">
      <c r="A150" s="197">
        <v>160</v>
      </c>
      <c r="B150" s="197">
        <v>680</v>
      </c>
      <c r="C150" s="165">
        <v>25</v>
      </c>
      <c r="D150" s="165">
        <v>36</v>
      </c>
      <c r="E150" s="197">
        <v>1.87</v>
      </c>
      <c r="F150" s="197">
        <v>0.15</v>
      </c>
      <c r="G150" s="197">
        <f t="shared" si="25"/>
        <v>0.29256423362480766</v>
      </c>
      <c r="H150" s="165">
        <f t="shared" si="26"/>
        <v>17.67145867644259</v>
      </c>
      <c r="I150" s="165">
        <f t="shared" si="27"/>
        <v>38.480128463107128</v>
      </c>
      <c r="J150" s="165">
        <f t="shared" si="28"/>
        <v>492545.64432777127</v>
      </c>
      <c r="L150" s="165" t="str">
        <f t="shared" si="29"/>
        <v/>
      </c>
      <c r="M150" s="165" t="str">
        <f t="shared" si="30"/>
        <v/>
      </c>
      <c r="N150" s="165" t="str">
        <f t="shared" si="31"/>
        <v/>
      </c>
      <c r="O150" s="165" t="str">
        <f t="shared" si="32"/>
        <v/>
      </c>
      <c r="P150" s="165" t="str">
        <f t="shared" si="33"/>
        <v/>
      </c>
      <c r="Q150" s="165" t="str">
        <f t="shared" si="34"/>
        <v/>
      </c>
      <c r="R150" s="165" t="str">
        <f t="shared" si="35"/>
        <v/>
      </c>
      <c r="S150" s="165" t="str">
        <f t="shared" si="36"/>
        <v/>
      </c>
    </row>
    <row r="151" spans="1:19" ht="16.5" customHeight="1">
      <c r="A151" s="197">
        <v>160</v>
      </c>
      <c r="B151" s="197">
        <v>820</v>
      </c>
      <c r="C151" s="165">
        <v>22</v>
      </c>
      <c r="D151" s="165">
        <v>50</v>
      </c>
      <c r="E151" s="197">
        <v>2.36</v>
      </c>
      <c r="F151" s="197">
        <v>0.15</v>
      </c>
      <c r="G151" s="197">
        <f t="shared" si="25"/>
        <v>0.24261424251813318</v>
      </c>
      <c r="H151" s="165">
        <f t="shared" si="26"/>
        <v>19.006635554218249</v>
      </c>
      <c r="I151" s="165">
        <f t="shared" si="27"/>
        <v>43.142827548877413</v>
      </c>
      <c r="J151" s="165">
        <f t="shared" si="28"/>
        <v>552228.19262563088</v>
      </c>
      <c r="L151" s="165" t="str">
        <f t="shared" si="29"/>
        <v/>
      </c>
      <c r="M151" s="165" t="str">
        <f t="shared" si="30"/>
        <v/>
      </c>
      <c r="N151" s="165" t="str">
        <f t="shared" si="31"/>
        <v/>
      </c>
      <c r="O151" s="165" t="str">
        <f t="shared" si="32"/>
        <v/>
      </c>
      <c r="P151" s="165" t="str">
        <f t="shared" si="33"/>
        <v/>
      </c>
      <c r="Q151" s="165" t="str">
        <f t="shared" si="34"/>
        <v/>
      </c>
      <c r="R151" s="165" t="str">
        <f t="shared" si="35"/>
        <v/>
      </c>
      <c r="S151" s="165" t="str">
        <f t="shared" si="36"/>
        <v/>
      </c>
    </row>
    <row r="152" spans="1:19" ht="16.5" customHeight="1">
      <c r="A152" s="197">
        <v>160</v>
      </c>
      <c r="B152" s="197">
        <v>820</v>
      </c>
      <c r="C152" s="165">
        <v>25</v>
      </c>
      <c r="D152" s="165">
        <v>36</v>
      </c>
      <c r="E152" s="197">
        <v>2.0499999999999998</v>
      </c>
      <c r="F152" s="197">
        <v>0.15</v>
      </c>
      <c r="G152" s="197">
        <f t="shared" si="25"/>
        <v>0.24261424251813318</v>
      </c>
      <c r="H152" s="165">
        <f t="shared" si="26"/>
        <v>17.67145867644259</v>
      </c>
      <c r="I152" s="165">
        <f t="shared" si="27"/>
        <v>46.402507852570366</v>
      </c>
      <c r="J152" s="165">
        <f t="shared" si="28"/>
        <v>593952.10051290074</v>
      </c>
      <c r="L152" s="165" t="str">
        <f t="shared" si="29"/>
        <v/>
      </c>
      <c r="M152" s="165" t="str">
        <f t="shared" si="30"/>
        <v/>
      </c>
      <c r="N152" s="165" t="str">
        <f t="shared" si="31"/>
        <v/>
      </c>
      <c r="O152" s="165" t="str">
        <f t="shared" si="32"/>
        <v/>
      </c>
      <c r="P152" s="165" t="str">
        <f t="shared" si="33"/>
        <v/>
      </c>
      <c r="Q152" s="165" t="str">
        <f t="shared" si="34"/>
        <v/>
      </c>
      <c r="R152" s="165" t="str">
        <f t="shared" si="35"/>
        <v/>
      </c>
      <c r="S152" s="165" t="str">
        <f t="shared" si="36"/>
        <v/>
      </c>
    </row>
    <row r="153" spans="1:19" ht="16.5" customHeight="1">
      <c r="A153" s="197">
        <v>160</v>
      </c>
      <c r="B153" s="196">
        <v>1000</v>
      </c>
      <c r="C153" s="165">
        <v>25</v>
      </c>
      <c r="D153" s="165">
        <v>45</v>
      </c>
      <c r="E153" s="197">
        <v>2.62</v>
      </c>
      <c r="F153" s="197">
        <v>0.15</v>
      </c>
      <c r="G153" s="197">
        <f t="shared" si="25"/>
        <v>0.19894367886486922</v>
      </c>
      <c r="H153" s="165">
        <f t="shared" si="26"/>
        <v>22.089323345553233</v>
      </c>
      <c r="I153" s="165">
        <f t="shared" si="27"/>
        <v>45.27073936836134</v>
      </c>
      <c r="J153" s="165">
        <f t="shared" si="28"/>
        <v>579465.46391502512</v>
      </c>
      <c r="L153" s="165" t="str">
        <f t="shared" si="29"/>
        <v/>
      </c>
      <c r="M153" s="165" t="str">
        <f t="shared" si="30"/>
        <v/>
      </c>
      <c r="N153" s="165" t="str">
        <f t="shared" si="31"/>
        <v/>
      </c>
      <c r="O153" s="165" t="str">
        <f t="shared" si="32"/>
        <v/>
      </c>
      <c r="P153" s="165" t="str">
        <f t="shared" si="33"/>
        <v/>
      </c>
      <c r="Q153" s="165" t="str">
        <f t="shared" si="34"/>
        <v/>
      </c>
      <c r="R153" s="165" t="str">
        <f t="shared" si="35"/>
        <v/>
      </c>
      <c r="S153" s="165" t="str">
        <f t="shared" si="36"/>
        <v/>
      </c>
    </row>
    <row r="154" spans="1:19" ht="16.5" customHeight="1">
      <c r="A154" s="197">
        <v>160</v>
      </c>
      <c r="B154" s="196">
        <v>1000</v>
      </c>
      <c r="C154" s="165">
        <v>30</v>
      </c>
      <c r="D154" s="165">
        <v>36</v>
      </c>
      <c r="E154" s="197">
        <v>2.5499999999999998</v>
      </c>
      <c r="F154" s="197">
        <v>0.15</v>
      </c>
      <c r="G154" s="197">
        <f t="shared" si="25"/>
        <v>0.19894367886486922</v>
      </c>
      <c r="H154" s="165">
        <f t="shared" si="26"/>
        <v>25.446900494077326</v>
      </c>
      <c r="I154" s="165">
        <f t="shared" si="27"/>
        <v>39.297516812813662</v>
      </c>
      <c r="J154" s="165">
        <f t="shared" si="28"/>
        <v>503008.21520401485</v>
      </c>
      <c r="L154" s="165" t="str">
        <f t="shared" si="29"/>
        <v/>
      </c>
      <c r="M154" s="165" t="str">
        <f t="shared" si="30"/>
        <v/>
      </c>
      <c r="N154" s="165" t="str">
        <f t="shared" si="31"/>
        <v/>
      </c>
      <c r="O154" s="165" t="str">
        <f t="shared" si="32"/>
        <v/>
      </c>
      <c r="P154" s="165" t="str">
        <f t="shared" si="33"/>
        <v/>
      </c>
      <c r="Q154" s="165" t="str">
        <f t="shared" si="34"/>
        <v/>
      </c>
      <c r="R154" s="165" t="str">
        <f t="shared" si="35"/>
        <v/>
      </c>
      <c r="S154" s="165" t="str">
        <f t="shared" si="36"/>
        <v/>
      </c>
    </row>
    <row r="155" spans="1:19" ht="16.5" customHeight="1">
      <c r="A155" s="197">
        <v>160</v>
      </c>
      <c r="B155" s="196">
        <v>1200</v>
      </c>
      <c r="C155" s="165">
        <v>25</v>
      </c>
      <c r="D155" s="165">
        <v>50</v>
      </c>
      <c r="E155" s="197">
        <v>3.4</v>
      </c>
      <c r="F155" s="197">
        <v>0.15</v>
      </c>
      <c r="G155" s="197">
        <f t="shared" si="25"/>
        <v>0.16578639905405765</v>
      </c>
      <c r="H155" s="165">
        <f t="shared" si="26"/>
        <v>24.543692606170257</v>
      </c>
      <c r="I155" s="165">
        <f t="shared" si="27"/>
        <v>48.892398517830252</v>
      </c>
      <c r="J155" s="165">
        <f t="shared" si="28"/>
        <v>625822.70102822722</v>
      </c>
      <c r="L155" s="165" t="str">
        <f t="shared" si="29"/>
        <v/>
      </c>
      <c r="M155" s="165" t="str">
        <f t="shared" si="30"/>
        <v/>
      </c>
      <c r="N155" s="165" t="str">
        <f t="shared" si="31"/>
        <v/>
      </c>
      <c r="O155" s="165" t="str">
        <f t="shared" si="32"/>
        <v/>
      </c>
      <c r="P155" s="165" t="str">
        <f t="shared" si="33"/>
        <v/>
      </c>
      <c r="Q155" s="165" t="str">
        <f t="shared" si="34"/>
        <v/>
      </c>
      <c r="R155" s="165" t="str">
        <f t="shared" si="35"/>
        <v/>
      </c>
      <c r="S155" s="165" t="str">
        <f t="shared" si="36"/>
        <v/>
      </c>
    </row>
    <row r="156" spans="1:19" ht="16.5" customHeight="1">
      <c r="A156" s="197">
        <v>160</v>
      </c>
      <c r="B156" s="196">
        <v>1200</v>
      </c>
      <c r="C156" s="165">
        <v>30</v>
      </c>
      <c r="D156" s="165">
        <v>36</v>
      </c>
      <c r="E156" s="197">
        <v>3.2</v>
      </c>
      <c r="F156" s="197">
        <v>0.15</v>
      </c>
      <c r="G156" s="197">
        <f t="shared" si="25"/>
        <v>0.16578639905405765</v>
      </c>
      <c r="H156" s="165">
        <f t="shared" si="26"/>
        <v>25.446900494077326</v>
      </c>
      <c r="I156" s="165">
        <f t="shared" si="27"/>
        <v>47.157020175376395</v>
      </c>
      <c r="J156" s="165">
        <f t="shared" si="28"/>
        <v>603609.85824481782</v>
      </c>
      <c r="L156" s="165" t="str">
        <f t="shared" si="29"/>
        <v/>
      </c>
      <c r="M156" s="165" t="str">
        <f t="shared" si="30"/>
        <v/>
      </c>
      <c r="N156" s="165" t="str">
        <f t="shared" si="31"/>
        <v/>
      </c>
      <c r="O156" s="165" t="str">
        <f t="shared" si="32"/>
        <v/>
      </c>
      <c r="P156" s="165" t="str">
        <f t="shared" si="33"/>
        <v/>
      </c>
      <c r="Q156" s="165" t="str">
        <f t="shared" si="34"/>
        <v/>
      </c>
      <c r="R156" s="165" t="str">
        <f t="shared" si="35"/>
        <v/>
      </c>
      <c r="S156" s="165" t="str">
        <f t="shared" si="36"/>
        <v/>
      </c>
    </row>
    <row r="157" spans="1:19" ht="16.5" customHeight="1">
      <c r="A157" s="197">
        <v>160</v>
      </c>
      <c r="B157" s="196">
        <v>1500</v>
      </c>
      <c r="C157" s="165">
        <v>30</v>
      </c>
      <c r="D157" s="165">
        <v>45</v>
      </c>
      <c r="E157" s="197">
        <v>3.35</v>
      </c>
      <c r="F157" s="197">
        <v>0.15</v>
      </c>
      <c r="G157" s="197">
        <f t="shared" si="25"/>
        <v>0.13262911924324614</v>
      </c>
      <c r="H157" s="165">
        <f t="shared" si="26"/>
        <v>31.808625617596658</v>
      </c>
      <c r="I157" s="165">
        <f t="shared" si="27"/>
        <v>47.157020175376395</v>
      </c>
      <c r="J157" s="165">
        <f t="shared" si="28"/>
        <v>603609.85824481782</v>
      </c>
      <c r="L157" s="165" t="str">
        <f t="shared" si="29"/>
        <v/>
      </c>
      <c r="M157" s="165" t="str">
        <f t="shared" si="30"/>
        <v/>
      </c>
      <c r="N157" s="165" t="str">
        <f t="shared" si="31"/>
        <v/>
      </c>
      <c r="O157" s="165" t="str">
        <f t="shared" si="32"/>
        <v/>
      </c>
      <c r="P157" s="165" t="str">
        <f t="shared" si="33"/>
        <v/>
      </c>
      <c r="Q157" s="165" t="str">
        <f t="shared" si="34"/>
        <v/>
      </c>
      <c r="R157" s="165" t="str">
        <f t="shared" si="35"/>
        <v/>
      </c>
      <c r="S157" s="165" t="str">
        <f t="shared" si="36"/>
        <v/>
      </c>
    </row>
    <row r="158" spans="1:19" ht="16.5" customHeight="1">
      <c r="A158" s="197">
        <v>160</v>
      </c>
      <c r="B158" s="196">
        <v>1500</v>
      </c>
      <c r="C158" s="165">
        <v>35</v>
      </c>
      <c r="D158" s="165">
        <v>37</v>
      </c>
      <c r="E158" s="197">
        <v>3.28</v>
      </c>
      <c r="F158" s="197">
        <v>0.15</v>
      </c>
      <c r="G158" s="197">
        <f t="shared" si="25"/>
        <v>0.13262911924324614</v>
      </c>
      <c r="H158" s="165">
        <f t="shared" si="26"/>
        <v>35.598171755989341</v>
      </c>
      <c r="I158" s="165">
        <f t="shared" si="27"/>
        <v>42.136995413187961</v>
      </c>
      <c r="J158" s="165">
        <f t="shared" si="28"/>
        <v>539353.54128880589</v>
      </c>
      <c r="L158" s="165" t="str">
        <f t="shared" si="29"/>
        <v/>
      </c>
      <c r="M158" s="165" t="str">
        <f t="shared" si="30"/>
        <v/>
      </c>
      <c r="N158" s="165" t="str">
        <f t="shared" si="31"/>
        <v/>
      </c>
      <c r="O158" s="165" t="str">
        <f t="shared" si="32"/>
        <v/>
      </c>
      <c r="P158" s="165" t="str">
        <f t="shared" si="33"/>
        <v/>
      </c>
      <c r="Q158" s="165" t="str">
        <f t="shared" si="34"/>
        <v/>
      </c>
      <c r="R158" s="165" t="str">
        <f t="shared" si="35"/>
        <v/>
      </c>
      <c r="S158" s="165" t="str">
        <f t="shared" si="36"/>
        <v/>
      </c>
    </row>
    <row r="159" spans="1:19" ht="16.5" customHeight="1">
      <c r="A159" s="197">
        <v>160</v>
      </c>
      <c r="B159" s="196">
        <v>1800</v>
      </c>
      <c r="C159" s="165">
        <v>30</v>
      </c>
      <c r="D159" s="165">
        <v>51</v>
      </c>
      <c r="E159" s="197">
        <v>4.4000000000000004</v>
      </c>
      <c r="F159" s="197">
        <v>0.15</v>
      </c>
      <c r="G159" s="197">
        <f t="shared" si="25"/>
        <v>0.11052426603603843</v>
      </c>
      <c r="H159" s="165">
        <f t="shared" si="26"/>
        <v>36.049775699942877</v>
      </c>
      <c r="I159" s="165">
        <f t="shared" si="27"/>
        <v>49.930962538633828</v>
      </c>
      <c r="J159" s="165">
        <f t="shared" si="28"/>
        <v>639116.32049451303</v>
      </c>
      <c r="L159" s="165" t="str">
        <f t="shared" si="29"/>
        <v/>
      </c>
      <c r="M159" s="165" t="str">
        <f t="shared" si="30"/>
        <v/>
      </c>
      <c r="N159" s="165" t="str">
        <f t="shared" si="31"/>
        <v/>
      </c>
      <c r="O159" s="165" t="str">
        <f t="shared" si="32"/>
        <v/>
      </c>
      <c r="P159" s="165" t="str">
        <f t="shared" si="33"/>
        <v/>
      </c>
      <c r="Q159" s="165" t="str">
        <f t="shared" si="34"/>
        <v/>
      </c>
      <c r="R159" s="165" t="str">
        <f t="shared" si="35"/>
        <v/>
      </c>
      <c r="S159" s="165" t="str">
        <f t="shared" si="36"/>
        <v/>
      </c>
    </row>
    <row r="160" spans="1:19" ht="16.5" customHeight="1">
      <c r="A160" s="197">
        <v>160</v>
      </c>
      <c r="B160" s="196">
        <v>1800</v>
      </c>
      <c r="C160" s="165">
        <v>35</v>
      </c>
      <c r="D160" s="165">
        <v>42</v>
      </c>
      <c r="E160" s="197">
        <v>3.59</v>
      </c>
      <c r="F160" s="197">
        <v>0.15</v>
      </c>
      <c r="G160" s="197">
        <f t="shared" si="25"/>
        <v>0.11052426603603843</v>
      </c>
      <c r="H160" s="165">
        <f t="shared" si="26"/>
        <v>40.408735506798713</v>
      </c>
      <c r="I160" s="165">
        <f t="shared" si="27"/>
        <v>44.54482372251298</v>
      </c>
      <c r="J160" s="165">
        <f t="shared" si="28"/>
        <v>570173.74364816619</v>
      </c>
      <c r="L160" s="165" t="str">
        <f t="shared" si="29"/>
        <v/>
      </c>
      <c r="M160" s="165" t="str">
        <f t="shared" si="30"/>
        <v/>
      </c>
      <c r="N160" s="165" t="str">
        <f t="shared" si="31"/>
        <v/>
      </c>
      <c r="O160" s="165" t="str">
        <f t="shared" si="32"/>
        <v/>
      </c>
      <c r="P160" s="165" t="str">
        <f t="shared" si="33"/>
        <v/>
      </c>
      <c r="Q160" s="165" t="str">
        <f t="shared" si="34"/>
        <v/>
      </c>
      <c r="R160" s="165" t="str">
        <f t="shared" si="35"/>
        <v/>
      </c>
      <c r="S160" s="165" t="str">
        <f t="shared" si="36"/>
        <v/>
      </c>
    </row>
    <row r="161" spans="1:19" ht="16.5" customHeight="1">
      <c r="A161" s="197">
        <v>160</v>
      </c>
      <c r="B161" s="196">
        <v>2200</v>
      </c>
      <c r="C161" s="165">
        <v>35</v>
      </c>
      <c r="D161" s="165">
        <v>51</v>
      </c>
      <c r="E161" s="197">
        <v>4.7</v>
      </c>
      <c r="F161" s="197">
        <v>0.15</v>
      </c>
      <c r="G161" s="197">
        <f t="shared" si="25"/>
        <v>9.0428944938576908E-2</v>
      </c>
      <c r="H161" s="165">
        <f t="shared" si="26"/>
        <v>49.067750258255579</v>
      </c>
      <c r="I161" s="165">
        <f t="shared" si="27"/>
        <v>44.835966361222219</v>
      </c>
      <c r="J161" s="165">
        <f t="shared" si="28"/>
        <v>573900.36942364438</v>
      </c>
      <c r="L161" s="165" t="str">
        <f t="shared" si="29"/>
        <v/>
      </c>
      <c r="M161" s="165" t="str">
        <f t="shared" si="30"/>
        <v/>
      </c>
      <c r="N161" s="165" t="str">
        <f t="shared" si="31"/>
        <v/>
      </c>
      <c r="O161" s="165" t="str">
        <f t="shared" si="32"/>
        <v/>
      </c>
      <c r="P161" s="165" t="str">
        <f t="shared" si="33"/>
        <v/>
      </c>
      <c r="Q161" s="165" t="str">
        <f t="shared" si="34"/>
        <v/>
      </c>
      <c r="R161" s="165" t="str">
        <f t="shared" si="35"/>
        <v/>
      </c>
      <c r="S161" s="165" t="str">
        <f t="shared" si="36"/>
        <v/>
      </c>
    </row>
    <row r="162" spans="1:19" ht="16.5" customHeight="1">
      <c r="A162" s="197">
        <v>160</v>
      </c>
      <c r="B162" s="196">
        <v>2700</v>
      </c>
      <c r="C162" s="165">
        <v>35</v>
      </c>
      <c r="D162" s="165">
        <v>60</v>
      </c>
      <c r="E162" s="197">
        <v>4.8</v>
      </c>
      <c r="F162" s="197">
        <v>0.15</v>
      </c>
      <c r="G162" s="197">
        <f t="shared" si="25"/>
        <v>7.368284402402564E-2</v>
      </c>
      <c r="H162" s="165">
        <f t="shared" si="26"/>
        <v>57.726765009712445</v>
      </c>
      <c r="I162" s="165">
        <f t="shared" si="27"/>
        <v>46.772064908638633</v>
      </c>
      <c r="J162" s="165">
        <f t="shared" si="28"/>
        <v>598682.43083057448</v>
      </c>
      <c r="L162" s="165" t="str">
        <f t="shared" si="29"/>
        <v/>
      </c>
      <c r="M162" s="165" t="str">
        <f t="shared" si="30"/>
        <v/>
      </c>
      <c r="N162" s="165" t="str">
        <f t="shared" si="31"/>
        <v/>
      </c>
      <c r="O162" s="165" t="str">
        <f t="shared" si="32"/>
        <v/>
      </c>
      <c r="P162" s="165" t="str">
        <f t="shared" si="33"/>
        <v/>
      </c>
      <c r="Q162" s="165" t="str">
        <f t="shared" si="34"/>
        <v/>
      </c>
      <c r="R162" s="165" t="str">
        <f t="shared" si="35"/>
        <v/>
      </c>
      <c r="S162" s="165" t="str">
        <f t="shared" si="36"/>
        <v/>
      </c>
    </row>
    <row r="163" spans="1:19" ht="16.5" customHeight="1">
      <c r="A163" s="197">
        <v>200</v>
      </c>
      <c r="B163" s="197">
        <v>150</v>
      </c>
      <c r="C163" s="165">
        <v>20</v>
      </c>
      <c r="D163" s="165">
        <v>30</v>
      </c>
      <c r="E163" s="197">
        <v>2</v>
      </c>
      <c r="F163" s="197">
        <v>0.15</v>
      </c>
      <c r="G163" s="197">
        <f t="shared" si="25"/>
        <v>1.3262911924324612</v>
      </c>
      <c r="H163" s="165">
        <f t="shared" si="26"/>
        <v>9.4247779607693793</v>
      </c>
      <c r="I163" s="165">
        <f t="shared" si="27"/>
        <v>15.915494309189533</v>
      </c>
      <c r="J163" s="165">
        <f t="shared" si="28"/>
        <v>318309.88618379069</v>
      </c>
      <c r="L163" s="165" t="str">
        <f t="shared" si="29"/>
        <v/>
      </c>
      <c r="M163" s="165" t="str">
        <f t="shared" si="30"/>
        <v/>
      </c>
      <c r="N163" s="165" t="str">
        <f t="shared" si="31"/>
        <v/>
      </c>
      <c r="O163" s="165" t="str">
        <f t="shared" si="32"/>
        <v/>
      </c>
      <c r="P163" s="165" t="str">
        <f t="shared" si="33"/>
        <v/>
      </c>
      <c r="Q163" s="165" t="str">
        <f t="shared" si="34"/>
        <v/>
      </c>
      <c r="R163" s="165" t="str">
        <f t="shared" si="35"/>
        <v/>
      </c>
      <c r="S163" s="165" t="str">
        <f t="shared" si="36"/>
        <v/>
      </c>
    </row>
    <row r="164" spans="1:19" ht="16.5" customHeight="1">
      <c r="A164" s="197">
        <v>200</v>
      </c>
      <c r="B164" s="197">
        <v>150</v>
      </c>
      <c r="C164" s="165">
        <v>22</v>
      </c>
      <c r="D164" s="165">
        <v>25</v>
      </c>
      <c r="E164" s="197">
        <v>1.85</v>
      </c>
      <c r="F164" s="197">
        <v>0.15</v>
      </c>
      <c r="G164" s="197">
        <f t="shared" si="25"/>
        <v>1.3262911924324612</v>
      </c>
      <c r="H164" s="165">
        <f t="shared" si="26"/>
        <v>9.5033177771091246</v>
      </c>
      <c r="I164" s="165">
        <f t="shared" si="27"/>
        <v>15.783961298369785</v>
      </c>
      <c r="J164" s="165">
        <f t="shared" si="28"/>
        <v>315679.2259673957</v>
      </c>
      <c r="L164" s="165">
        <f t="shared" si="29"/>
        <v>197.29951622962233</v>
      </c>
      <c r="M164" s="165">
        <f t="shared" si="30"/>
        <v>4514.0759441268337</v>
      </c>
      <c r="N164" s="165" t="str">
        <f t="shared" si="31"/>
        <v/>
      </c>
      <c r="O164" s="165" t="str">
        <f t="shared" si="32"/>
        <v/>
      </c>
      <c r="P164" s="165" t="str">
        <f t="shared" si="33"/>
        <v/>
      </c>
      <c r="Q164" s="165" t="str">
        <f t="shared" si="34"/>
        <v/>
      </c>
      <c r="R164" s="165" t="str">
        <f t="shared" si="35"/>
        <v/>
      </c>
      <c r="S164" s="165" t="str">
        <f t="shared" si="36"/>
        <v/>
      </c>
    </row>
    <row r="165" spans="1:19" ht="16.5" customHeight="1">
      <c r="A165" s="197">
        <v>200</v>
      </c>
      <c r="B165" s="197">
        <v>220</v>
      </c>
      <c r="C165" s="165">
        <v>20</v>
      </c>
      <c r="D165" s="165">
        <v>30</v>
      </c>
      <c r="E165" s="197">
        <v>1</v>
      </c>
      <c r="F165" s="197">
        <v>0.15</v>
      </c>
      <c r="G165" s="197">
        <f t="shared" si="25"/>
        <v>0.90428944938576916</v>
      </c>
      <c r="H165" s="165">
        <f t="shared" si="26"/>
        <v>9.4247779607693793</v>
      </c>
      <c r="I165" s="165">
        <f t="shared" si="27"/>
        <v>23.342724986811316</v>
      </c>
      <c r="J165" s="165">
        <f t="shared" si="28"/>
        <v>466854.49973622634</v>
      </c>
      <c r="L165" s="165" t="str">
        <f t="shared" si="29"/>
        <v/>
      </c>
      <c r="M165" s="165" t="str">
        <f t="shared" si="30"/>
        <v/>
      </c>
      <c r="N165" s="165" t="str">
        <f t="shared" si="31"/>
        <v/>
      </c>
      <c r="O165" s="165" t="str">
        <f t="shared" si="32"/>
        <v/>
      </c>
      <c r="P165" s="165" t="str">
        <f t="shared" si="33"/>
        <v/>
      </c>
      <c r="Q165" s="165" t="str">
        <f t="shared" si="34"/>
        <v/>
      </c>
      <c r="R165" s="165" t="str">
        <f t="shared" si="35"/>
        <v/>
      </c>
      <c r="S165" s="165" t="str">
        <f t="shared" si="36"/>
        <v/>
      </c>
    </row>
    <row r="166" spans="1:19" ht="16.5" customHeight="1">
      <c r="A166" s="197">
        <v>200</v>
      </c>
      <c r="B166" s="197">
        <v>220</v>
      </c>
      <c r="C166" s="165">
        <v>22</v>
      </c>
      <c r="D166" s="165">
        <v>25</v>
      </c>
      <c r="E166" s="197">
        <v>0.97</v>
      </c>
      <c r="F166" s="197">
        <v>0.15</v>
      </c>
      <c r="G166" s="197">
        <f t="shared" si="25"/>
        <v>0.90428944938576916</v>
      </c>
      <c r="H166" s="165">
        <f t="shared" si="26"/>
        <v>9.5033177771091246</v>
      </c>
      <c r="I166" s="165">
        <f t="shared" si="27"/>
        <v>23.149809904275685</v>
      </c>
      <c r="J166" s="165">
        <f t="shared" si="28"/>
        <v>462996.19808551372</v>
      </c>
      <c r="L166" s="165">
        <f t="shared" si="29"/>
        <v>289.37262380344606</v>
      </c>
      <c r="M166" s="165">
        <f t="shared" si="30"/>
        <v>3079.0749597833565</v>
      </c>
      <c r="N166" s="165" t="str">
        <f t="shared" si="31"/>
        <v/>
      </c>
      <c r="O166" s="165" t="str">
        <f t="shared" si="32"/>
        <v/>
      </c>
      <c r="P166" s="165" t="str">
        <f t="shared" si="33"/>
        <v/>
      </c>
      <c r="Q166" s="165" t="str">
        <f t="shared" si="34"/>
        <v/>
      </c>
      <c r="R166" s="165" t="str">
        <f t="shared" si="35"/>
        <v/>
      </c>
      <c r="S166" s="165" t="str">
        <f t="shared" si="36"/>
        <v/>
      </c>
    </row>
    <row r="167" spans="1:19" ht="16.5" customHeight="1">
      <c r="A167" s="197">
        <v>200</v>
      </c>
      <c r="B167" s="197">
        <v>270</v>
      </c>
      <c r="C167" s="165">
        <v>22</v>
      </c>
      <c r="D167" s="165">
        <v>26</v>
      </c>
      <c r="E167" s="197">
        <v>1.5</v>
      </c>
      <c r="F167" s="197">
        <v>0.15</v>
      </c>
      <c r="G167" s="197">
        <f t="shared" si="25"/>
        <v>0.73682844024025629</v>
      </c>
      <c r="H167" s="165">
        <f t="shared" si="26"/>
        <v>9.8834504881934908</v>
      </c>
      <c r="I167" s="165">
        <f t="shared" si="27"/>
        <v>27.318394554870778</v>
      </c>
      <c r="J167" s="165">
        <f t="shared" si="28"/>
        <v>546367.89109741559</v>
      </c>
      <c r="L167" s="165" t="str">
        <f t="shared" si="29"/>
        <v/>
      </c>
      <c r="M167" s="165" t="str">
        <f t="shared" si="30"/>
        <v/>
      </c>
      <c r="N167" s="165" t="str">
        <f t="shared" si="31"/>
        <v/>
      </c>
      <c r="O167" s="165" t="str">
        <f t="shared" si="32"/>
        <v/>
      </c>
      <c r="P167" s="165" t="str">
        <f t="shared" si="33"/>
        <v/>
      </c>
      <c r="Q167" s="165" t="str">
        <f t="shared" si="34"/>
        <v/>
      </c>
      <c r="R167" s="165" t="str">
        <f t="shared" si="35"/>
        <v/>
      </c>
      <c r="S167" s="165" t="str">
        <f t="shared" si="36"/>
        <v/>
      </c>
    </row>
    <row r="168" spans="1:19" ht="16.5" customHeight="1">
      <c r="A168" s="197">
        <v>200</v>
      </c>
      <c r="B168" s="197">
        <v>330</v>
      </c>
      <c r="C168" s="165">
        <v>22</v>
      </c>
      <c r="D168" s="165">
        <v>30</v>
      </c>
      <c r="E168" s="197">
        <v>1.29</v>
      </c>
      <c r="F168" s="197">
        <v>0.15</v>
      </c>
      <c r="G168" s="197">
        <f t="shared" si="25"/>
        <v>0.60285963292384603</v>
      </c>
      <c r="H168" s="165">
        <f t="shared" si="26"/>
        <v>11.403981332530948</v>
      </c>
      <c r="I168" s="165">
        <f t="shared" si="27"/>
        <v>28.93726238034461</v>
      </c>
      <c r="J168" s="165">
        <f t="shared" si="28"/>
        <v>578745.24760689214</v>
      </c>
      <c r="L168" s="165" t="str">
        <f t="shared" si="29"/>
        <v/>
      </c>
      <c r="M168" s="165" t="str">
        <f t="shared" si="30"/>
        <v/>
      </c>
      <c r="N168" s="165" t="str">
        <f t="shared" si="31"/>
        <v/>
      </c>
      <c r="O168" s="165" t="str">
        <f t="shared" si="32"/>
        <v/>
      </c>
      <c r="P168" s="165" t="str">
        <f t="shared" si="33"/>
        <v/>
      </c>
      <c r="Q168" s="165" t="str">
        <f t="shared" si="34"/>
        <v/>
      </c>
      <c r="R168" s="165" t="str">
        <f t="shared" si="35"/>
        <v/>
      </c>
      <c r="S168" s="165" t="str">
        <f t="shared" si="36"/>
        <v/>
      </c>
    </row>
    <row r="169" spans="1:19" ht="16.5" customHeight="1">
      <c r="A169" s="197">
        <v>200</v>
      </c>
      <c r="B169" s="197">
        <v>330</v>
      </c>
      <c r="C169" s="165">
        <v>25</v>
      </c>
      <c r="D169" s="165">
        <v>25</v>
      </c>
      <c r="E169" s="197">
        <v>1.23</v>
      </c>
      <c r="F169" s="197">
        <v>0.15</v>
      </c>
      <c r="G169" s="197">
        <f t="shared" si="25"/>
        <v>0.60285963292384603</v>
      </c>
      <c r="H169" s="165">
        <f t="shared" si="26"/>
        <v>12.271846303085129</v>
      </c>
      <c r="I169" s="165">
        <f t="shared" si="27"/>
        <v>26.890819184806638</v>
      </c>
      <c r="J169" s="165">
        <f t="shared" si="28"/>
        <v>537816.38369613281</v>
      </c>
      <c r="L169" s="165">
        <f t="shared" si="29"/>
        <v>336.13523981008296</v>
      </c>
      <c r="M169" s="165">
        <f t="shared" si="30"/>
        <v>2650.718801466388</v>
      </c>
      <c r="N169" s="165" t="str">
        <f t="shared" si="31"/>
        <v/>
      </c>
      <c r="O169" s="165" t="str">
        <f t="shared" si="32"/>
        <v/>
      </c>
      <c r="P169" s="165" t="str">
        <f t="shared" si="33"/>
        <v/>
      </c>
      <c r="Q169" s="165" t="str">
        <f t="shared" si="34"/>
        <v/>
      </c>
      <c r="R169" s="165" t="str">
        <f t="shared" si="35"/>
        <v/>
      </c>
      <c r="S169" s="165" t="str">
        <f t="shared" si="36"/>
        <v/>
      </c>
    </row>
    <row r="170" spans="1:19" ht="16.5" customHeight="1">
      <c r="A170" s="197">
        <v>200</v>
      </c>
      <c r="B170" s="197">
        <v>470</v>
      </c>
      <c r="C170" s="165">
        <v>22</v>
      </c>
      <c r="D170" s="165">
        <v>40</v>
      </c>
      <c r="E170" s="197">
        <v>1.74</v>
      </c>
      <c r="F170" s="197">
        <v>0.15</v>
      </c>
      <c r="G170" s="197">
        <f t="shared" si="25"/>
        <v>0.42328442311674302</v>
      </c>
      <c r="H170" s="165">
        <f t="shared" si="26"/>
        <v>15.2053084433746</v>
      </c>
      <c r="I170" s="165">
        <f t="shared" si="27"/>
        <v>30.910257542640828</v>
      </c>
      <c r="J170" s="165">
        <f t="shared" si="28"/>
        <v>618205.15085281653</v>
      </c>
      <c r="L170" s="165" t="str">
        <f t="shared" si="29"/>
        <v/>
      </c>
      <c r="M170" s="165" t="str">
        <f t="shared" si="30"/>
        <v/>
      </c>
      <c r="N170" s="165" t="str">
        <f t="shared" si="31"/>
        <v/>
      </c>
      <c r="O170" s="165" t="str">
        <f t="shared" si="32"/>
        <v/>
      </c>
      <c r="P170" s="165" t="str">
        <f t="shared" si="33"/>
        <v/>
      </c>
      <c r="Q170" s="165" t="str">
        <f t="shared" si="34"/>
        <v/>
      </c>
      <c r="R170" s="165" t="str">
        <f t="shared" si="35"/>
        <v/>
      </c>
      <c r="S170" s="165" t="str">
        <f t="shared" si="36"/>
        <v/>
      </c>
    </row>
    <row r="171" spans="1:19" ht="16.5" customHeight="1">
      <c r="A171" s="197">
        <v>200</v>
      </c>
      <c r="B171" s="197">
        <v>470</v>
      </c>
      <c r="C171" s="165">
        <v>25</v>
      </c>
      <c r="D171" s="165">
        <v>31</v>
      </c>
      <c r="E171" s="197">
        <v>1.55</v>
      </c>
      <c r="F171" s="197">
        <v>0.15</v>
      </c>
      <c r="G171" s="197">
        <f t="shared" si="25"/>
        <v>0.42328442311674302</v>
      </c>
      <c r="H171" s="165">
        <f t="shared" si="26"/>
        <v>15.217089415825559</v>
      </c>
      <c r="I171" s="165">
        <f t="shared" si="27"/>
        <v>30.88632702067234</v>
      </c>
      <c r="J171" s="165">
        <f t="shared" si="28"/>
        <v>617726.54041344684</v>
      </c>
      <c r="L171" s="165" t="str">
        <f t="shared" si="29"/>
        <v/>
      </c>
      <c r="M171" s="165" t="str">
        <f t="shared" si="30"/>
        <v/>
      </c>
      <c r="N171" s="165" t="str">
        <f t="shared" si="31"/>
        <v/>
      </c>
      <c r="O171" s="165" t="str">
        <f t="shared" si="32"/>
        <v/>
      </c>
      <c r="P171" s="165" t="str">
        <f t="shared" si="33"/>
        <v/>
      </c>
      <c r="Q171" s="165" t="str">
        <f t="shared" si="34"/>
        <v/>
      </c>
      <c r="R171" s="165" t="str">
        <f t="shared" si="35"/>
        <v/>
      </c>
      <c r="S171" s="165" t="str">
        <f t="shared" si="36"/>
        <v/>
      </c>
    </row>
    <row r="172" spans="1:19" ht="16.5" customHeight="1">
      <c r="A172" s="197">
        <v>200</v>
      </c>
      <c r="B172" s="197">
        <v>560</v>
      </c>
      <c r="C172" s="165">
        <v>22</v>
      </c>
      <c r="D172" s="165">
        <v>40</v>
      </c>
      <c r="E172" s="197">
        <v>2</v>
      </c>
      <c r="F172" s="197">
        <v>0.15</v>
      </c>
      <c r="G172" s="197">
        <f t="shared" si="25"/>
        <v>0.35525656940155215</v>
      </c>
      <c r="H172" s="165">
        <f t="shared" si="26"/>
        <v>15.2053084433746</v>
      </c>
      <c r="I172" s="165">
        <f t="shared" si="27"/>
        <v>36.829243029529501</v>
      </c>
      <c r="J172" s="165">
        <f t="shared" si="28"/>
        <v>736584.86059059005</v>
      </c>
      <c r="L172" s="165" t="str">
        <f t="shared" si="29"/>
        <v/>
      </c>
      <c r="M172" s="165" t="str">
        <f t="shared" si="30"/>
        <v/>
      </c>
      <c r="N172" s="165" t="str">
        <f t="shared" si="31"/>
        <v/>
      </c>
      <c r="O172" s="165" t="str">
        <f t="shared" si="32"/>
        <v/>
      </c>
      <c r="P172" s="165" t="str">
        <f t="shared" si="33"/>
        <v/>
      </c>
      <c r="Q172" s="165" t="str">
        <f t="shared" si="34"/>
        <v/>
      </c>
      <c r="R172" s="165" t="str">
        <f t="shared" si="35"/>
        <v/>
      </c>
      <c r="S172" s="165" t="str">
        <f t="shared" si="36"/>
        <v/>
      </c>
    </row>
    <row r="173" spans="1:19" ht="16.5" customHeight="1">
      <c r="A173" s="197">
        <v>200</v>
      </c>
      <c r="B173" s="197">
        <v>560</v>
      </c>
      <c r="C173" s="165">
        <v>25</v>
      </c>
      <c r="D173" s="165">
        <v>36</v>
      </c>
      <c r="E173" s="197">
        <v>1.82</v>
      </c>
      <c r="F173" s="197">
        <v>0.15</v>
      </c>
      <c r="G173" s="197">
        <f t="shared" si="25"/>
        <v>0.35525656940155215</v>
      </c>
      <c r="H173" s="165">
        <f t="shared" si="26"/>
        <v>17.67145867644259</v>
      </c>
      <c r="I173" s="165">
        <f t="shared" si="27"/>
        <v>31.68951755785293</v>
      </c>
      <c r="J173" s="165">
        <f t="shared" si="28"/>
        <v>633790.35115705861</v>
      </c>
      <c r="L173" s="165" t="str">
        <f t="shared" si="29"/>
        <v/>
      </c>
      <c r="M173" s="165" t="str">
        <f t="shared" si="30"/>
        <v/>
      </c>
      <c r="N173" s="165" t="str">
        <f t="shared" si="31"/>
        <v/>
      </c>
      <c r="O173" s="165" t="str">
        <f t="shared" si="32"/>
        <v/>
      </c>
      <c r="P173" s="165" t="str">
        <f t="shared" si="33"/>
        <v/>
      </c>
      <c r="Q173" s="165" t="str">
        <f t="shared" si="34"/>
        <v/>
      </c>
      <c r="R173" s="165" t="str">
        <f t="shared" si="35"/>
        <v/>
      </c>
      <c r="S173" s="165" t="str">
        <f t="shared" si="36"/>
        <v/>
      </c>
    </row>
    <row r="174" spans="1:19" ht="16.5" customHeight="1">
      <c r="A174" s="197">
        <v>200</v>
      </c>
      <c r="B174" s="197">
        <v>680</v>
      </c>
      <c r="C174" s="165">
        <v>22</v>
      </c>
      <c r="D174" s="165">
        <v>46</v>
      </c>
      <c r="E174" s="197">
        <v>2.14</v>
      </c>
      <c r="F174" s="197">
        <v>0.15</v>
      </c>
      <c r="G174" s="197">
        <f t="shared" si="25"/>
        <v>0.29256423362480766</v>
      </c>
      <c r="H174" s="165">
        <f t="shared" si="26"/>
        <v>17.486104709880788</v>
      </c>
      <c r="I174" s="165">
        <f t="shared" si="27"/>
        <v>38.888020590186429</v>
      </c>
      <c r="J174" s="165">
        <f t="shared" si="28"/>
        <v>777760.41180372855</v>
      </c>
      <c r="L174" s="165" t="str">
        <f t="shared" si="29"/>
        <v/>
      </c>
      <c r="M174" s="165" t="str">
        <f t="shared" si="30"/>
        <v/>
      </c>
      <c r="N174" s="165" t="str">
        <f t="shared" si="31"/>
        <v/>
      </c>
      <c r="O174" s="165" t="str">
        <f t="shared" si="32"/>
        <v/>
      </c>
      <c r="P174" s="165" t="str">
        <f t="shared" si="33"/>
        <v/>
      </c>
      <c r="Q174" s="165" t="str">
        <f t="shared" si="34"/>
        <v/>
      </c>
      <c r="R174" s="165" t="str">
        <f t="shared" si="35"/>
        <v/>
      </c>
      <c r="S174" s="165" t="str">
        <f t="shared" si="36"/>
        <v/>
      </c>
    </row>
    <row r="175" spans="1:19" ht="16.5" customHeight="1">
      <c r="A175" s="197">
        <v>200</v>
      </c>
      <c r="B175" s="197">
        <v>680</v>
      </c>
      <c r="C175" s="165">
        <v>25</v>
      </c>
      <c r="D175" s="165">
        <v>36</v>
      </c>
      <c r="E175" s="197">
        <v>2.08</v>
      </c>
      <c r="F175" s="197">
        <v>0.15</v>
      </c>
      <c r="G175" s="197">
        <f t="shared" si="25"/>
        <v>0.29256423362480766</v>
      </c>
      <c r="H175" s="165">
        <f t="shared" si="26"/>
        <v>17.67145867644259</v>
      </c>
      <c r="I175" s="165">
        <f t="shared" si="27"/>
        <v>38.480128463107128</v>
      </c>
      <c r="J175" s="165">
        <f t="shared" si="28"/>
        <v>769602.56926214253</v>
      </c>
      <c r="L175" s="165" t="str">
        <f t="shared" si="29"/>
        <v/>
      </c>
      <c r="M175" s="165" t="str">
        <f t="shared" si="30"/>
        <v/>
      </c>
      <c r="N175" s="165" t="str">
        <f t="shared" si="31"/>
        <v/>
      </c>
      <c r="O175" s="165" t="str">
        <f t="shared" si="32"/>
        <v/>
      </c>
      <c r="P175" s="165" t="str">
        <f t="shared" si="33"/>
        <v/>
      </c>
      <c r="Q175" s="165" t="str">
        <f t="shared" si="34"/>
        <v/>
      </c>
      <c r="R175" s="165" t="str">
        <f t="shared" si="35"/>
        <v/>
      </c>
      <c r="S175" s="165" t="str">
        <f t="shared" si="36"/>
        <v/>
      </c>
    </row>
    <row r="176" spans="1:19" ht="16.5" customHeight="1">
      <c r="A176" s="197">
        <v>200</v>
      </c>
      <c r="B176" s="197">
        <v>820</v>
      </c>
      <c r="C176" s="165">
        <v>25</v>
      </c>
      <c r="D176" s="165">
        <v>50</v>
      </c>
      <c r="E176" s="197">
        <v>2.59</v>
      </c>
      <c r="F176" s="197">
        <v>0.15</v>
      </c>
      <c r="G176" s="197">
        <f t="shared" si="25"/>
        <v>0.24261424251813318</v>
      </c>
      <c r="H176" s="165">
        <f t="shared" si="26"/>
        <v>24.543692606170257</v>
      </c>
      <c r="I176" s="165">
        <f t="shared" si="27"/>
        <v>33.409805653850675</v>
      </c>
      <c r="J176" s="165">
        <f t="shared" si="28"/>
        <v>668196.11307701352</v>
      </c>
      <c r="L176" s="165" t="str">
        <f t="shared" si="29"/>
        <v/>
      </c>
      <c r="M176" s="165" t="str">
        <f t="shared" si="30"/>
        <v/>
      </c>
      <c r="N176" s="165" t="str">
        <f t="shared" si="31"/>
        <v/>
      </c>
      <c r="O176" s="165" t="str">
        <f t="shared" si="32"/>
        <v/>
      </c>
      <c r="P176" s="165" t="str">
        <f t="shared" si="33"/>
        <v/>
      </c>
      <c r="Q176" s="165" t="str">
        <f t="shared" si="34"/>
        <v/>
      </c>
      <c r="R176" s="165" t="str">
        <f t="shared" si="35"/>
        <v/>
      </c>
      <c r="S176" s="165" t="str">
        <f t="shared" si="36"/>
        <v/>
      </c>
    </row>
    <row r="177" spans="1:19" ht="16.5" customHeight="1">
      <c r="A177" s="197">
        <v>200</v>
      </c>
      <c r="B177" s="197">
        <v>820</v>
      </c>
      <c r="C177" s="165">
        <v>30</v>
      </c>
      <c r="D177" s="165">
        <v>36</v>
      </c>
      <c r="E177" s="197">
        <v>2.5499999999999998</v>
      </c>
      <c r="F177" s="197">
        <v>0.15</v>
      </c>
      <c r="G177" s="197">
        <f t="shared" si="25"/>
        <v>0.24261424251813318</v>
      </c>
      <c r="H177" s="165">
        <f t="shared" si="26"/>
        <v>25.446900494077326</v>
      </c>
      <c r="I177" s="165">
        <f t="shared" si="27"/>
        <v>32.223963786507205</v>
      </c>
      <c r="J177" s="165">
        <f t="shared" si="28"/>
        <v>644479.27573014412</v>
      </c>
      <c r="L177" s="165" t="str">
        <f t="shared" si="29"/>
        <v/>
      </c>
      <c r="M177" s="165" t="str">
        <f t="shared" si="30"/>
        <v/>
      </c>
      <c r="N177" s="165" t="str">
        <f t="shared" si="31"/>
        <v/>
      </c>
      <c r="O177" s="165" t="str">
        <f t="shared" si="32"/>
        <v/>
      </c>
      <c r="P177" s="165" t="str">
        <f t="shared" si="33"/>
        <v/>
      </c>
      <c r="Q177" s="165" t="str">
        <f t="shared" si="34"/>
        <v/>
      </c>
      <c r="R177" s="165" t="str">
        <f t="shared" si="35"/>
        <v/>
      </c>
      <c r="S177" s="165" t="str">
        <f t="shared" si="36"/>
        <v/>
      </c>
    </row>
    <row r="178" spans="1:19" ht="16.5" customHeight="1">
      <c r="A178" s="197">
        <v>200</v>
      </c>
      <c r="B178" s="196">
        <v>1000</v>
      </c>
      <c r="C178" s="165">
        <v>25</v>
      </c>
      <c r="D178" s="165">
        <v>52</v>
      </c>
      <c r="E178" s="197">
        <v>2.99</v>
      </c>
      <c r="F178" s="197">
        <v>0.15</v>
      </c>
      <c r="G178" s="197">
        <f t="shared" si="25"/>
        <v>0.19894367886486922</v>
      </c>
      <c r="H178" s="165">
        <f t="shared" si="26"/>
        <v>25.525440310417071</v>
      </c>
      <c r="I178" s="165">
        <f t="shared" si="27"/>
        <v>39.176601376466543</v>
      </c>
      <c r="J178" s="165">
        <f t="shared" si="28"/>
        <v>783532.02752933081</v>
      </c>
      <c r="L178" s="165" t="str">
        <f t="shared" si="29"/>
        <v/>
      </c>
      <c r="M178" s="165" t="str">
        <f t="shared" si="30"/>
        <v/>
      </c>
      <c r="N178" s="165" t="str">
        <f t="shared" si="31"/>
        <v/>
      </c>
      <c r="O178" s="165" t="str">
        <f t="shared" si="32"/>
        <v/>
      </c>
      <c r="P178" s="165" t="str">
        <f t="shared" si="33"/>
        <v/>
      </c>
      <c r="Q178" s="165" t="str">
        <f t="shared" si="34"/>
        <v/>
      </c>
      <c r="R178" s="165" t="str">
        <f t="shared" si="35"/>
        <v/>
      </c>
      <c r="S178" s="165" t="str">
        <f t="shared" si="36"/>
        <v/>
      </c>
    </row>
    <row r="179" spans="1:19" ht="16.5" customHeight="1">
      <c r="A179" s="197">
        <v>200</v>
      </c>
      <c r="B179" s="196">
        <v>1000</v>
      </c>
      <c r="C179" s="165">
        <v>30</v>
      </c>
      <c r="D179" s="165">
        <v>42</v>
      </c>
      <c r="E179" s="197">
        <v>2.87</v>
      </c>
      <c r="F179" s="197">
        <v>0.15</v>
      </c>
      <c r="G179" s="197">
        <f t="shared" si="25"/>
        <v>0.19894367886486922</v>
      </c>
      <c r="H179" s="165">
        <f t="shared" si="26"/>
        <v>29.688050576423546</v>
      </c>
      <c r="I179" s="165">
        <f t="shared" si="27"/>
        <v>33.683585839554567</v>
      </c>
      <c r="J179" s="165">
        <f t="shared" si="28"/>
        <v>673671.71679109137</v>
      </c>
      <c r="L179" s="165" t="str">
        <f t="shared" si="29"/>
        <v/>
      </c>
      <c r="M179" s="165" t="str">
        <f t="shared" si="30"/>
        <v/>
      </c>
      <c r="N179" s="165" t="str">
        <f t="shared" si="31"/>
        <v/>
      </c>
      <c r="O179" s="165" t="str">
        <f t="shared" si="32"/>
        <v/>
      </c>
      <c r="P179" s="165" t="str">
        <f t="shared" si="33"/>
        <v/>
      </c>
      <c r="Q179" s="165" t="str">
        <f t="shared" si="34"/>
        <v/>
      </c>
      <c r="R179" s="165" t="str">
        <f t="shared" si="35"/>
        <v/>
      </c>
      <c r="S179" s="165" t="str">
        <f t="shared" si="36"/>
        <v/>
      </c>
    </row>
    <row r="180" spans="1:19" ht="16.5" customHeight="1">
      <c r="A180" s="197">
        <v>200</v>
      </c>
      <c r="B180" s="196">
        <v>1200</v>
      </c>
      <c r="C180" s="165">
        <v>30</v>
      </c>
      <c r="D180" s="165">
        <v>46</v>
      </c>
      <c r="E180" s="197">
        <v>4.25</v>
      </c>
      <c r="F180" s="197">
        <v>0.15</v>
      </c>
      <c r="G180" s="197">
        <f t="shared" si="25"/>
        <v>0.16578639905405765</v>
      </c>
      <c r="H180" s="165">
        <f t="shared" si="26"/>
        <v>32.515483964654358</v>
      </c>
      <c r="I180" s="165">
        <f t="shared" si="27"/>
        <v>36.905494050294571</v>
      </c>
      <c r="J180" s="165">
        <f t="shared" si="28"/>
        <v>738109.88100589137</v>
      </c>
      <c r="L180" s="165" t="str">
        <f t="shared" si="29"/>
        <v/>
      </c>
      <c r="M180" s="165" t="str">
        <f t="shared" si="30"/>
        <v/>
      </c>
      <c r="N180" s="165" t="str">
        <f t="shared" si="31"/>
        <v/>
      </c>
      <c r="O180" s="165" t="str">
        <f t="shared" si="32"/>
        <v/>
      </c>
      <c r="P180" s="165" t="str">
        <f t="shared" si="33"/>
        <v/>
      </c>
      <c r="Q180" s="165" t="str">
        <f t="shared" si="34"/>
        <v/>
      </c>
      <c r="R180" s="165" t="str">
        <f t="shared" si="35"/>
        <v/>
      </c>
      <c r="S180" s="165" t="str">
        <f t="shared" si="36"/>
        <v/>
      </c>
    </row>
    <row r="181" spans="1:19" ht="16.5" customHeight="1">
      <c r="A181" s="197">
        <v>200</v>
      </c>
      <c r="B181" s="196">
        <v>1200</v>
      </c>
      <c r="C181" s="165">
        <v>35</v>
      </c>
      <c r="D181" s="165">
        <v>37</v>
      </c>
      <c r="E181" s="197">
        <v>4.08</v>
      </c>
      <c r="F181" s="197">
        <v>0.15</v>
      </c>
      <c r="G181" s="197">
        <f t="shared" si="25"/>
        <v>0.16578639905405765</v>
      </c>
      <c r="H181" s="165">
        <f t="shared" si="26"/>
        <v>35.598171755989341</v>
      </c>
      <c r="I181" s="165">
        <f t="shared" si="27"/>
        <v>33.709596330550369</v>
      </c>
      <c r="J181" s="165">
        <f t="shared" si="28"/>
        <v>674191.92661100742</v>
      </c>
      <c r="L181" s="165" t="str">
        <f t="shared" si="29"/>
        <v/>
      </c>
      <c r="M181" s="165" t="str">
        <f t="shared" si="30"/>
        <v/>
      </c>
      <c r="N181" s="165" t="str">
        <f t="shared" si="31"/>
        <v/>
      </c>
      <c r="O181" s="165" t="str">
        <f t="shared" si="32"/>
        <v/>
      </c>
      <c r="P181" s="165" t="str">
        <f t="shared" si="33"/>
        <v/>
      </c>
      <c r="Q181" s="165" t="str">
        <f t="shared" si="34"/>
        <v/>
      </c>
      <c r="R181" s="165" t="str">
        <f t="shared" si="35"/>
        <v/>
      </c>
      <c r="S181" s="165" t="str">
        <f t="shared" si="36"/>
        <v/>
      </c>
    </row>
    <row r="182" spans="1:19" ht="16.5" customHeight="1">
      <c r="A182" s="197">
        <v>200</v>
      </c>
      <c r="B182" s="196">
        <v>1500</v>
      </c>
      <c r="C182" s="165">
        <v>30</v>
      </c>
      <c r="D182" s="165">
        <v>51</v>
      </c>
      <c r="E182" s="197">
        <v>5.3</v>
      </c>
      <c r="F182" s="197">
        <v>0.15</v>
      </c>
      <c r="G182" s="197">
        <f t="shared" si="25"/>
        <v>0.13262911924324614</v>
      </c>
      <c r="H182" s="165">
        <f t="shared" si="26"/>
        <v>36.049775699942877</v>
      </c>
      <c r="I182" s="165">
        <f t="shared" si="27"/>
        <v>41.609135448861522</v>
      </c>
      <c r="J182" s="165">
        <f t="shared" si="28"/>
        <v>832182.70897723048</v>
      </c>
      <c r="L182" s="165" t="str">
        <f t="shared" si="29"/>
        <v/>
      </c>
      <c r="M182" s="165" t="str">
        <f t="shared" si="30"/>
        <v/>
      </c>
      <c r="N182" s="165" t="str">
        <f t="shared" si="31"/>
        <v/>
      </c>
      <c r="O182" s="165" t="str">
        <f t="shared" si="32"/>
        <v/>
      </c>
      <c r="P182" s="165" t="str">
        <f t="shared" si="33"/>
        <v/>
      </c>
      <c r="Q182" s="165" t="str">
        <f t="shared" si="34"/>
        <v/>
      </c>
      <c r="R182" s="165" t="str">
        <f t="shared" si="35"/>
        <v/>
      </c>
      <c r="S182" s="165" t="str">
        <f t="shared" si="36"/>
        <v/>
      </c>
    </row>
    <row r="183" spans="1:19" ht="16.5" customHeight="1">
      <c r="A183" s="197">
        <v>200</v>
      </c>
      <c r="B183" s="196">
        <v>1500</v>
      </c>
      <c r="C183" s="165">
        <v>35</v>
      </c>
      <c r="D183" s="165">
        <v>42</v>
      </c>
      <c r="E183" s="197">
        <v>5.15</v>
      </c>
      <c r="F183" s="197">
        <v>0.15</v>
      </c>
      <c r="G183" s="197">
        <f t="shared" si="25"/>
        <v>0.13262911924324614</v>
      </c>
      <c r="H183" s="165">
        <f t="shared" si="26"/>
        <v>40.408735506798713</v>
      </c>
      <c r="I183" s="165">
        <f t="shared" si="27"/>
        <v>37.120686435427487</v>
      </c>
      <c r="J183" s="165">
        <f t="shared" si="28"/>
        <v>742413.72870854975</v>
      </c>
      <c r="L183" s="165" t="str">
        <f t="shared" si="29"/>
        <v/>
      </c>
      <c r="M183" s="165" t="str">
        <f t="shared" si="30"/>
        <v/>
      </c>
      <c r="N183" s="165" t="str">
        <f t="shared" si="31"/>
        <v/>
      </c>
      <c r="O183" s="165" t="str">
        <f t="shared" si="32"/>
        <v/>
      </c>
      <c r="P183" s="165" t="str">
        <f t="shared" si="33"/>
        <v/>
      </c>
      <c r="Q183" s="165" t="str">
        <f t="shared" si="34"/>
        <v/>
      </c>
      <c r="R183" s="165" t="str">
        <f t="shared" si="35"/>
        <v/>
      </c>
      <c r="S183" s="165" t="str">
        <f t="shared" si="36"/>
        <v/>
      </c>
    </row>
    <row r="184" spans="1:19" ht="16.5" customHeight="1">
      <c r="A184" s="197">
        <v>200</v>
      </c>
      <c r="B184" s="196">
        <v>1800</v>
      </c>
      <c r="C184" s="165">
        <v>35</v>
      </c>
      <c r="D184" s="165">
        <v>47</v>
      </c>
      <c r="E184" s="197">
        <v>5.8</v>
      </c>
      <c r="F184" s="197">
        <v>0.15</v>
      </c>
      <c r="G184" s="197">
        <f t="shared" si="25"/>
        <v>0.11052426603603843</v>
      </c>
      <c r="H184" s="165">
        <f t="shared" si="26"/>
        <v>45.219299257608085</v>
      </c>
      <c r="I184" s="165">
        <f t="shared" si="27"/>
        <v>39.80601268820309</v>
      </c>
      <c r="J184" s="165">
        <f t="shared" si="28"/>
        <v>796120.25376406184</v>
      </c>
      <c r="L184" s="165" t="str">
        <f t="shared" si="29"/>
        <v/>
      </c>
      <c r="M184" s="165" t="str">
        <f t="shared" si="30"/>
        <v/>
      </c>
      <c r="N184" s="165" t="str">
        <f t="shared" si="31"/>
        <v/>
      </c>
      <c r="O184" s="165" t="str">
        <f t="shared" si="32"/>
        <v/>
      </c>
      <c r="P184" s="165" t="str">
        <f t="shared" si="33"/>
        <v/>
      </c>
      <c r="Q184" s="165" t="str">
        <f t="shared" si="34"/>
        <v/>
      </c>
      <c r="R184" s="165" t="str">
        <f t="shared" si="35"/>
        <v/>
      </c>
      <c r="S184" s="165" t="str">
        <f t="shared" si="36"/>
        <v/>
      </c>
    </row>
    <row r="185" spans="1:19" ht="16.5" customHeight="1">
      <c r="A185" s="197">
        <v>200</v>
      </c>
      <c r="B185" s="196">
        <v>2200</v>
      </c>
      <c r="C185" s="165">
        <v>35</v>
      </c>
      <c r="D185" s="165">
        <v>51</v>
      </c>
      <c r="E185" s="197">
        <v>6.5</v>
      </c>
      <c r="F185" s="197">
        <v>0.15</v>
      </c>
      <c r="G185" s="197">
        <f t="shared" si="25"/>
        <v>9.0428944938576908E-2</v>
      </c>
      <c r="H185" s="165">
        <f t="shared" si="26"/>
        <v>49.067750258255579</v>
      </c>
      <c r="I185" s="165">
        <f t="shared" si="27"/>
        <v>44.835966361222219</v>
      </c>
      <c r="J185" s="165">
        <f t="shared" si="28"/>
        <v>896719.32722444437</v>
      </c>
      <c r="L185" s="165" t="str">
        <f t="shared" si="29"/>
        <v/>
      </c>
      <c r="M185" s="165" t="str">
        <f t="shared" si="30"/>
        <v/>
      </c>
      <c r="N185" s="165" t="str">
        <f t="shared" si="31"/>
        <v/>
      </c>
      <c r="O185" s="165" t="str">
        <f t="shared" si="32"/>
        <v/>
      </c>
      <c r="P185" s="165" t="str">
        <f t="shared" si="33"/>
        <v/>
      </c>
      <c r="Q185" s="165" t="str">
        <f t="shared" si="34"/>
        <v/>
      </c>
      <c r="R185" s="165" t="str">
        <f t="shared" si="35"/>
        <v/>
      </c>
      <c r="S185" s="165" t="str">
        <f t="shared" si="36"/>
        <v/>
      </c>
    </row>
    <row r="186" spans="1:19" ht="16.5" customHeight="1">
      <c r="A186" s="197">
        <v>250</v>
      </c>
      <c r="B186" s="197">
        <v>120</v>
      </c>
      <c r="C186" s="165">
        <v>20</v>
      </c>
      <c r="D186" s="165">
        <v>30</v>
      </c>
      <c r="E186" s="197">
        <v>0.9</v>
      </c>
      <c r="F186" s="197">
        <v>0.15</v>
      </c>
      <c r="G186" s="197">
        <f t="shared" si="25"/>
        <v>1.6578639905405765</v>
      </c>
      <c r="H186" s="165">
        <f t="shared" si="26"/>
        <v>9.4247779607693793</v>
      </c>
      <c r="I186" s="165">
        <f t="shared" si="27"/>
        <v>12.732395447351628</v>
      </c>
      <c r="J186" s="165">
        <f t="shared" si="28"/>
        <v>397887.3577297384</v>
      </c>
      <c r="L186" s="165" t="str">
        <f t="shared" si="29"/>
        <v/>
      </c>
      <c r="M186" s="165" t="str">
        <f t="shared" si="30"/>
        <v/>
      </c>
      <c r="N186" s="165" t="str">
        <f t="shared" si="31"/>
        <v/>
      </c>
      <c r="O186" s="165" t="str">
        <f t="shared" si="32"/>
        <v/>
      </c>
      <c r="P186" s="165" t="str">
        <f t="shared" si="33"/>
        <v/>
      </c>
      <c r="Q186" s="165" t="str">
        <f t="shared" si="34"/>
        <v/>
      </c>
      <c r="R186" s="165" t="str">
        <f t="shared" si="35"/>
        <v/>
      </c>
      <c r="S186" s="165" t="str">
        <f t="shared" si="36"/>
        <v/>
      </c>
    </row>
    <row r="187" spans="1:19" ht="16.5" customHeight="1">
      <c r="A187" s="197">
        <v>250</v>
      </c>
      <c r="B187" s="197">
        <v>120</v>
      </c>
      <c r="C187" s="165">
        <v>22</v>
      </c>
      <c r="D187" s="165">
        <v>25</v>
      </c>
      <c r="E187" s="197">
        <v>0.75</v>
      </c>
      <c r="F187" s="197">
        <v>0.15</v>
      </c>
      <c r="G187" s="197">
        <f t="shared" si="25"/>
        <v>1.6578639905405765</v>
      </c>
      <c r="H187" s="165">
        <f t="shared" si="26"/>
        <v>9.5033177771091246</v>
      </c>
      <c r="I187" s="165">
        <f t="shared" si="27"/>
        <v>12.627169038695829</v>
      </c>
      <c r="J187" s="165">
        <f t="shared" si="28"/>
        <v>394599.03245924466</v>
      </c>
      <c r="L187" s="165">
        <f t="shared" si="29"/>
        <v>157.83961298369786</v>
      </c>
      <c r="M187" s="165">
        <f t="shared" si="30"/>
        <v>5644.9707596028202</v>
      </c>
      <c r="N187" s="165" t="str">
        <f t="shared" si="31"/>
        <v/>
      </c>
      <c r="O187" s="165" t="str">
        <f t="shared" si="32"/>
        <v/>
      </c>
      <c r="P187" s="165" t="str">
        <f t="shared" si="33"/>
        <v/>
      </c>
      <c r="Q187" s="165" t="str">
        <f t="shared" si="34"/>
        <v/>
      </c>
      <c r="R187" s="165" t="str">
        <f t="shared" si="35"/>
        <v/>
      </c>
      <c r="S187" s="165" t="str">
        <f t="shared" si="36"/>
        <v/>
      </c>
    </row>
    <row r="188" spans="1:19" ht="16.5" customHeight="1">
      <c r="A188" s="197">
        <v>250</v>
      </c>
      <c r="B188" s="197">
        <v>150</v>
      </c>
      <c r="C188" s="165">
        <v>20</v>
      </c>
      <c r="D188" s="165">
        <v>30</v>
      </c>
      <c r="E188" s="197">
        <v>1</v>
      </c>
      <c r="F188" s="197">
        <v>0.15</v>
      </c>
      <c r="G188" s="197">
        <f t="shared" si="25"/>
        <v>1.3262911924324612</v>
      </c>
      <c r="H188" s="165">
        <f t="shared" si="26"/>
        <v>9.4247779607693793</v>
      </c>
      <c r="I188" s="165">
        <f t="shared" si="27"/>
        <v>15.915494309189533</v>
      </c>
      <c r="J188" s="165">
        <f t="shared" si="28"/>
        <v>497359.19716217293</v>
      </c>
      <c r="L188" s="165" t="str">
        <f t="shared" si="29"/>
        <v/>
      </c>
      <c r="M188" s="165" t="str">
        <f t="shared" si="30"/>
        <v/>
      </c>
      <c r="N188" s="165" t="str">
        <f t="shared" si="31"/>
        <v/>
      </c>
      <c r="O188" s="165" t="str">
        <f t="shared" si="32"/>
        <v/>
      </c>
      <c r="P188" s="165" t="str">
        <f t="shared" si="33"/>
        <v/>
      </c>
      <c r="Q188" s="165" t="str">
        <f t="shared" si="34"/>
        <v/>
      </c>
      <c r="R188" s="165" t="str">
        <f t="shared" si="35"/>
        <v/>
      </c>
      <c r="S188" s="165" t="str">
        <f t="shared" si="36"/>
        <v/>
      </c>
    </row>
    <row r="189" spans="1:19" ht="16.5" customHeight="1">
      <c r="A189" s="197">
        <v>250</v>
      </c>
      <c r="B189" s="197">
        <v>150</v>
      </c>
      <c r="C189" s="165">
        <v>22</v>
      </c>
      <c r="D189" s="165">
        <v>25</v>
      </c>
      <c r="E189" s="197">
        <v>0.97</v>
      </c>
      <c r="F189" s="197">
        <v>0.15</v>
      </c>
      <c r="G189" s="197">
        <f t="shared" si="25"/>
        <v>1.3262911924324612</v>
      </c>
      <c r="H189" s="165">
        <f t="shared" si="26"/>
        <v>9.5033177771091246</v>
      </c>
      <c r="I189" s="165">
        <f t="shared" si="27"/>
        <v>15.783961298369785</v>
      </c>
      <c r="J189" s="165">
        <f t="shared" si="28"/>
        <v>493248.79057405581</v>
      </c>
      <c r="L189" s="165">
        <f t="shared" si="29"/>
        <v>197.29951622962233</v>
      </c>
      <c r="M189" s="165">
        <f t="shared" si="30"/>
        <v>4514.0759441268337</v>
      </c>
      <c r="N189" s="165" t="str">
        <f t="shared" si="31"/>
        <v/>
      </c>
      <c r="O189" s="165" t="str">
        <f t="shared" si="32"/>
        <v/>
      </c>
      <c r="P189" s="165" t="str">
        <f t="shared" si="33"/>
        <v/>
      </c>
      <c r="Q189" s="165" t="str">
        <f t="shared" si="34"/>
        <v/>
      </c>
      <c r="R189" s="165" t="str">
        <f t="shared" si="35"/>
        <v/>
      </c>
      <c r="S189" s="165" t="str">
        <f t="shared" si="36"/>
        <v/>
      </c>
    </row>
    <row r="190" spans="1:19" ht="16.5" customHeight="1">
      <c r="A190" s="197">
        <v>250</v>
      </c>
      <c r="B190" s="197">
        <v>180</v>
      </c>
      <c r="C190" s="165">
        <v>25</v>
      </c>
      <c r="D190" s="165">
        <v>26</v>
      </c>
      <c r="E190" s="197">
        <v>1.3</v>
      </c>
      <c r="F190" s="197">
        <v>0.15</v>
      </c>
      <c r="G190" s="197">
        <f t="shared" si="25"/>
        <v>1.1052426603603844</v>
      </c>
      <c r="H190" s="165">
        <f t="shared" si="26"/>
        <v>12.762720155208536</v>
      </c>
      <c r="I190" s="165">
        <f t="shared" si="27"/>
        <v>14.103576495527955</v>
      </c>
      <c r="J190" s="165">
        <f t="shared" si="28"/>
        <v>440736.76548524859</v>
      </c>
      <c r="L190" s="165" t="str">
        <f t="shared" si="29"/>
        <v/>
      </c>
      <c r="M190" s="165" t="str">
        <f t="shared" si="30"/>
        <v/>
      </c>
      <c r="N190" s="165" t="str">
        <f t="shared" si="31"/>
        <v/>
      </c>
      <c r="O190" s="165" t="str">
        <f t="shared" si="32"/>
        <v/>
      </c>
      <c r="P190" s="165" t="str">
        <f t="shared" si="33"/>
        <v/>
      </c>
      <c r="Q190" s="165" t="str">
        <f t="shared" si="34"/>
        <v/>
      </c>
      <c r="R190" s="165" t="str">
        <f t="shared" si="35"/>
        <v/>
      </c>
      <c r="S190" s="165" t="str">
        <f t="shared" si="36"/>
        <v/>
      </c>
    </row>
    <row r="191" spans="1:19" ht="16.5" customHeight="1">
      <c r="A191" s="197">
        <v>250</v>
      </c>
      <c r="B191" s="197">
        <v>220</v>
      </c>
      <c r="C191" s="165">
        <v>22</v>
      </c>
      <c r="D191" s="165">
        <v>32</v>
      </c>
      <c r="E191" s="197">
        <v>1.45</v>
      </c>
      <c r="F191" s="197">
        <v>0.15</v>
      </c>
      <c r="G191" s="197">
        <f t="shared" si="25"/>
        <v>0.90428944938576916</v>
      </c>
      <c r="H191" s="165">
        <f t="shared" si="26"/>
        <v>12.164246754699679</v>
      </c>
      <c r="I191" s="165">
        <f t="shared" si="27"/>
        <v>18.085788987715379</v>
      </c>
      <c r="J191" s="165">
        <f t="shared" si="28"/>
        <v>565180.90586610558</v>
      </c>
      <c r="L191" s="165" t="str">
        <f t="shared" si="29"/>
        <v/>
      </c>
      <c r="M191" s="165" t="str">
        <f t="shared" si="30"/>
        <v/>
      </c>
      <c r="N191" s="165" t="str">
        <f t="shared" si="31"/>
        <v/>
      </c>
      <c r="O191" s="165" t="str">
        <f t="shared" si="32"/>
        <v/>
      </c>
      <c r="P191" s="165" t="str">
        <f t="shared" si="33"/>
        <v/>
      </c>
      <c r="Q191" s="165" t="str">
        <f t="shared" si="34"/>
        <v/>
      </c>
      <c r="R191" s="165" t="str">
        <f t="shared" si="35"/>
        <v/>
      </c>
      <c r="S191" s="165" t="str">
        <f t="shared" si="36"/>
        <v/>
      </c>
    </row>
    <row r="192" spans="1:19" ht="16.5" customHeight="1">
      <c r="A192" s="197">
        <v>250</v>
      </c>
      <c r="B192" s="197">
        <v>220</v>
      </c>
      <c r="C192" s="165">
        <v>25</v>
      </c>
      <c r="D192" s="165">
        <v>25</v>
      </c>
      <c r="E192" s="197">
        <v>1.0900000000000001</v>
      </c>
      <c r="F192" s="197">
        <v>0.15</v>
      </c>
      <c r="G192" s="197">
        <f t="shared" si="25"/>
        <v>0.90428944938576916</v>
      </c>
      <c r="H192" s="165">
        <f t="shared" si="26"/>
        <v>12.271846303085129</v>
      </c>
      <c r="I192" s="165">
        <f t="shared" si="27"/>
        <v>17.927212789871092</v>
      </c>
      <c r="J192" s="165">
        <f t="shared" si="28"/>
        <v>560225.39968347165</v>
      </c>
      <c r="L192" s="165">
        <f t="shared" si="29"/>
        <v>224.09015987338864</v>
      </c>
      <c r="M192" s="165">
        <f t="shared" si="30"/>
        <v>3976.0782021995815</v>
      </c>
      <c r="N192" s="165" t="str">
        <f t="shared" si="31"/>
        <v/>
      </c>
      <c r="O192" s="165" t="str">
        <f t="shared" si="32"/>
        <v/>
      </c>
      <c r="P192" s="165" t="str">
        <f t="shared" si="33"/>
        <v/>
      </c>
      <c r="Q192" s="165" t="str">
        <f t="shared" si="34"/>
        <v/>
      </c>
      <c r="R192" s="165" t="str">
        <f t="shared" si="35"/>
        <v/>
      </c>
      <c r="S192" s="165" t="str">
        <f t="shared" si="36"/>
        <v/>
      </c>
    </row>
    <row r="193" spans="1:19" ht="16.5" customHeight="1">
      <c r="A193" s="197">
        <v>250</v>
      </c>
      <c r="B193" s="197">
        <v>270</v>
      </c>
      <c r="C193" s="165">
        <v>22</v>
      </c>
      <c r="D193" s="165">
        <v>32</v>
      </c>
      <c r="E193" s="197">
        <v>1.1100000000000001</v>
      </c>
      <c r="F193" s="197">
        <v>0.15</v>
      </c>
      <c r="G193" s="197">
        <f t="shared" si="25"/>
        <v>0.73682844024025629</v>
      </c>
      <c r="H193" s="165">
        <f t="shared" si="26"/>
        <v>12.164246754699679</v>
      </c>
      <c r="I193" s="165">
        <f t="shared" si="27"/>
        <v>22.196195575832512</v>
      </c>
      <c r="J193" s="165">
        <f t="shared" si="28"/>
        <v>693631.11174476601</v>
      </c>
      <c r="L193" s="165" t="str">
        <f t="shared" si="29"/>
        <v/>
      </c>
      <c r="M193" s="165" t="str">
        <f t="shared" si="30"/>
        <v/>
      </c>
      <c r="N193" s="165" t="str">
        <f t="shared" si="31"/>
        <v/>
      </c>
      <c r="O193" s="165" t="str">
        <f t="shared" si="32"/>
        <v/>
      </c>
      <c r="P193" s="165" t="str">
        <f t="shared" si="33"/>
        <v/>
      </c>
      <c r="Q193" s="165" t="str">
        <f t="shared" si="34"/>
        <v/>
      </c>
      <c r="R193" s="165" t="str">
        <f t="shared" si="35"/>
        <v/>
      </c>
      <c r="S193" s="165" t="str">
        <f t="shared" si="36"/>
        <v/>
      </c>
    </row>
    <row r="194" spans="1:19" ht="16.5" customHeight="1">
      <c r="A194" s="197">
        <v>250</v>
      </c>
      <c r="B194" s="197">
        <v>270</v>
      </c>
      <c r="C194" s="165">
        <v>25</v>
      </c>
      <c r="D194" s="165">
        <v>25</v>
      </c>
      <c r="E194" s="197">
        <v>1.05</v>
      </c>
      <c r="F194" s="197">
        <v>0.15</v>
      </c>
      <c r="G194" s="197">
        <f t="shared" si="25"/>
        <v>0.73682844024025629</v>
      </c>
      <c r="H194" s="165">
        <f t="shared" si="26"/>
        <v>12.271846303085129</v>
      </c>
      <c r="I194" s="165">
        <f t="shared" si="27"/>
        <v>22.001579333023614</v>
      </c>
      <c r="J194" s="165">
        <f t="shared" si="28"/>
        <v>687549.35415698797</v>
      </c>
      <c r="L194" s="165">
        <f t="shared" si="29"/>
        <v>275.01974166279518</v>
      </c>
      <c r="M194" s="165">
        <f t="shared" si="30"/>
        <v>3239.7674240144738</v>
      </c>
      <c r="N194" s="165" t="str">
        <f t="shared" si="31"/>
        <v/>
      </c>
      <c r="O194" s="165" t="str">
        <f t="shared" si="32"/>
        <v/>
      </c>
      <c r="P194" s="165" t="str">
        <f t="shared" si="33"/>
        <v/>
      </c>
      <c r="Q194" s="165" t="str">
        <f t="shared" si="34"/>
        <v/>
      </c>
      <c r="R194" s="165" t="str">
        <f t="shared" si="35"/>
        <v/>
      </c>
      <c r="S194" s="165" t="str">
        <f t="shared" si="36"/>
        <v/>
      </c>
    </row>
    <row r="195" spans="1:19" ht="16.5" customHeight="1">
      <c r="A195" s="197">
        <v>250</v>
      </c>
      <c r="B195" s="197">
        <v>330</v>
      </c>
      <c r="C195" s="165">
        <v>22</v>
      </c>
      <c r="D195" s="165">
        <v>40</v>
      </c>
      <c r="E195" s="197">
        <v>1.58</v>
      </c>
      <c r="F195" s="197">
        <v>0.15</v>
      </c>
      <c r="G195" s="197">
        <f t="shared" si="25"/>
        <v>0.60285963292384603</v>
      </c>
      <c r="H195" s="165">
        <f t="shared" si="26"/>
        <v>15.2053084433746</v>
      </c>
      <c r="I195" s="165">
        <f t="shared" si="27"/>
        <v>21.702946785258455</v>
      </c>
      <c r="J195" s="165">
        <f t="shared" si="28"/>
        <v>678217.08703932667</v>
      </c>
      <c r="L195" s="165" t="str">
        <f t="shared" si="29"/>
        <v/>
      </c>
      <c r="M195" s="165" t="str">
        <f t="shared" si="30"/>
        <v/>
      </c>
      <c r="N195" s="165" t="str">
        <f t="shared" si="31"/>
        <v/>
      </c>
      <c r="O195" s="165" t="str">
        <f t="shared" si="32"/>
        <v/>
      </c>
      <c r="P195" s="165" t="str">
        <f t="shared" si="33"/>
        <v/>
      </c>
      <c r="Q195" s="165" t="str">
        <f t="shared" si="34"/>
        <v/>
      </c>
      <c r="R195" s="165" t="str">
        <f t="shared" si="35"/>
        <v/>
      </c>
      <c r="S195" s="165" t="str">
        <f t="shared" si="36"/>
        <v/>
      </c>
    </row>
    <row r="196" spans="1:19" ht="16.5" customHeight="1">
      <c r="A196" s="197">
        <v>250</v>
      </c>
      <c r="B196" s="197">
        <v>330</v>
      </c>
      <c r="C196" s="165">
        <v>25</v>
      </c>
      <c r="D196" s="165">
        <v>31</v>
      </c>
      <c r="E196" s="197">
        <v>1.42</v>
      </c>
      <c r="F196" s="197">
        <v>0.15</v>
      </c>
      <c r="G196" s="197">
        <f t="shared" ref="G196:G259" si="37">F196/(2*PI()*120*B196*10^-6)</f>
        <v>0.60285963292384603</v>
      </c>
      <c r="H196" s="165">
        <f t="shared" ref="H196:H259" si="38">0.001*D196*PI()*(C196/2)^2</f>
        <v>15.217089415825559</v>
      </c>
      <c r="I196" s="165">
        <f t="shared" ref="I196:I259" si="39">B196/H196</f>
        <v>21.686144503876324</v>
      </c>
      <c r="J196" s="165">
        <f t="shared" ref="J196:J259" si="40">0.5*I196*A196^2</f>
        <v>677692.01574613515</v>
      </c>
      <c r="L196" s="165" t="str">
        <f t="shared" ref="L196:L259" si="41">IF(AND($W$9&lt;A196,D196&lt;=$W$14),0.5*I196*$W$7,"")</f>
        <v/>
      </c>
      <c r="M196" s="165" t="str">
        <f t="shared" ref="M196:M259" si="42">IF(L196&lt;&gt;"",ROUNDUP($W$12/B196,0)*H196,"")</f>
        <v/>
      </c>
      <c r="N196" s="165" t="str">
        <f t="shared" ref="N196:N259" si="43">IF(M196=MIN($M$4:$M$266),M196,"")</f>
        <v/>
      </c>
      <c r="O196" s="165" t="str">
        <f t="shared" ref="O196:O259" si="44">IF($N196=MIN($M$4:$M$266),A196,"")</f>
        <v/>
      </c>
      <c r="P196" s="165" t="str">
        <f t="shared" ref="P196:P259" si="45">IF($N196=MIN($M$4:$M$266),B196,"")</f>
        <v/>
      </c>
      <c r="Q196" s="165" t="str">
        <f t="shared" ref="Q196:Q259" si="46">IF($N196=MIN($M$4:$M$266),C196,"")</f>
        <v/>
      </c>
      <c r="R196" s="165" t="str">
        <f t="shared" ref="R196:R259" si="47">IF($N196=MIN($M$4:$M$266),D196,"")</f>
        <v/>
      </c>
      <c r="S196" s="165" t="str">
        <f t="shared" ref="S196:S259" si="48">IF($N196=MIN($M$4:$M$266),G196,"")</f>
        <v/>
      </c>
    </row>
    <row r="197" spans="1:19" ht="16.5" customHeight="1">
      <c r="A197" s="197">
        <v>250</v>
      </c>
      <c r="B197" s="197">
        <v>390</v>
      </c>
      <c r="C197" s="165">
        <v>22</v>
      </c>
      <c r="D197" s="165">
        <v>41</v>
      </c>
      <c r="E197" s="197">
        <v>2</v>
      </c>
      <c r="F197" s="197">
        <v>0.15</v>
      </c>
      <c r="G197" s="197">
        <f t="shared" si="37"/>
        <v>0.51011199708940824</v>
      </c>
      <c r="H197" s="165">
        <f t="shared" si="38"/>
        <v>15.585441154458964</v>
      </c>
      <c r="I197" s="165">
        <f t="shared" si="39"/>
        <v>25.023353277903318</v>
      </c>
      <c r="J197" s="165">
        <f t="shared" si="40"/>
        <v>781979.7899344787</v>
      </c>
      <c r="L197" s="165" t="str">
        <f t="shared" si="41"/>
        <v/>
      </c>
      <c r="M197" s="165" t="str">
        <f t="shared" si="42"/>
        <v/>
      </c>
      <c r="N197" s="165" t="str">
        <f t="shared" si="43"/>
        <v/>
      </c>
      <c r="O197" s="165" t="str">
        <f t="shared" si="44"/>
        <v/>
      </c>
      <c r="P197" s="165" t="str">
        <f t="shared" si="45"/>
        <v/>
      </c>
      <c r="Q197" s="165" t="str">
        <f t="shared" si="46"/>
        <v/>
      </c>
      <c r="R197" s="165" t="str">
        <f t="shared" si="47"/>
        <v/>
      </c>
      <c r="S197" s="165" t="str">
        <f t="shared" si="48"/>
        <v/>
      </c>
    </row>
    <row r="198" spans="1:19" ht="16.5" customHeight="1">
      <c r="A198" s="197">
        <v>250</v>
      </c>
      <c r="B198" s="197">
        <v>390</v>
      </c>
      <c r="C198" s="165">
        <v>25</v>
      </c>
      <c r="D198" s="165">
        <v>36</v>
      </c>
      <c r="E198" s="197">
        <v>1.85</v>
      </c>
      <c r="F198" s="197">
        <v>0.15</v>
      </c>
      <c r="G198" s="197">
        <f t="shared" si="37"/>
        <v>0.51011199708940824</v>
      </c>
      <c r="H198" s="165">
        <f t="shared" si="38"/>
        <v>17.67145867644259</v>
      </c>
      <c r="I198" s="165">
        <f t="shared" si="39"/>
        <v>22.06948544207615</v>
      </c>
      <c r="J198" s="165">
        <f t="shared" si="40"/>
        <v>689671.4200648797</v>
      </c>
      <c r="L198" s="165" t="str">
        <f t="shared" si="41"/>
        <v/>
      </c>
      <c r="M198" s="165" t="str">
        <f t="shared" si="42"/>
        <v/>
      </c>
      <c r="N198" s="165" t="str">
        <f t="shared" si="43"/>
        <v/>
      </c>
      <c r="O198" s="165" t="str">
        <f t="shared" si="44"/>
        <v/>
      </c>
      <c r="P198" s="165" t="str">
        <f t="shared" si="45"/>
        <v/>
      </c>
      <c r="Q198" s="165" t="str">
        <f t="shared" si="46"/>
        <v/>
      </c>
      <c r="R198" s="165" t="str">
        <f t="shared" si="47"/>
        <v/>
      </c>
      <c r="S198" s="165" t="str">
        <f t="shared" si="48"/>
        <v/>
      </c>
    </row>
    <row r="199" spans="1:19" ht="16.5" customHeight="1">
      <c r="A199" s="197">
        <v>250</v>
      </c>
      <c r="B199" s="197">
        <v>470</v>
      </c>
      <c r="C199" s="165">
        <v>22</v>
      </c>
      <c r="D199" s="165">
        <v>46</v>
      </c>
      <c r="E199" s="197">
        <v>2.08</v>
      </c>
      <c r="F199" s="197">
        <v>0.15</v>
      </c>
      <c r="G199" s="197">
        <f t="shared" si="37"/>
        <v>0.42328442311674302</v>
      </c>
      <c r="H199" s="165">
        <f t="shared" si="38"/>
        <v>17.486104709880788</v>
      </c>
      <c r="I199" s="165">
        <f t="shared" si="39"/>
        <v>26.878484819687678</v>
      </c>
      <c r="J199" s="165">
        <f t="shared" si="40"/>
        <v>839952.65061523998</v>
      </c>
      <c r="L199" s="165" t="str">
        <f t="shared" si="41"/>
        <v/>
      </c>
      <c r="M199" s="165" t="str">
        <f t="shared" si="42"/>
        <v/>
      </c>
      <c r="N199" s="165" t="str">
        <f t="shared" si="43"/>
        <v/>
      </c>
      <c r="O199" s="165" t="str">
        <f t="shared" si="44"/>
        <v/>
      </c>
      <c r="P199" s="165" t="str">
        <f t="shared" si="45"/>
        <v/>
      </c>
      <c r="Q199" s="165" t="str">
        <f t="shared" si="46"/>
        <v/>
      </c>
      <c r="R199" s="165" t="str">
        <f t="shared" si="47"/>
        <v/>
      </c>
      <c r="S199" s="165" t="str">
        <f t="shared" si="48"/>
        <v/>
      </c>
    </row>
    <row r="200" spans="1:19" ht="16.5" customHeight="1">
      <c r="A200" s="197">
        <v>250</v>
      </c>
      <c r="B200" s="197">
        <v>470</v>
      </c>
      <c r="C200" s="165">
        <v>25</v>
      </c>
      <c r="D200" s="165">
        <v>41</v>
      </c>
      <c r="E200" s="197">
        <v>1.93</v>
      </c>
      <c r="F200" s="197">
        <v>0.15</v>
      </c>
      <c r="G200" s="197">
        <f t="shared" si="37"/>
        <v>0.42328442311674302</v>
      </c>
      <c r="H200" s="165">
        <f t="shared" si="38"/>
        <v>20.125827937059615</v>
      </c>
      <c r="I200" s="165">
        <f t="shared" si="39"/>
        <v>23.353076527825422</v>
      </c>
      <c r="J200" s="165">
        <f t="shared" si="40"/>
        <v>729783.64149454446</v>
      </c>
      <c r="L200" s="165" t="str">
        <f t="shared" si="41"/>
        <v/>
      </c>
      <c r="M200" s="165" t="str">
        <f t="shared" si="42"/>
        <v/>
      </c>
      <c r="N200" s="165" t="str">
        <f t="shared" si="43"/>
        <v/>
      </c>
      <c r="O200" s="165" t="str">
        <f t="shared" si="44"/>
        <v/>
      </c>
      <c r="P200" s="165" t="str">
        <f t="shared" si="45"/>
        <v/>
      </c>
      <c r="Q200" s="165" t="str">
        <f t="shared" si="46"/>
        <v/>
      </c>
      <c r="R200" s="165" t="str">
        <f t="shared" si="47"/>
        <v/>
      </c>
      <c r="S200" s="165" t="str">
        <f t="shared" si="48"/>
        <v/>
      </c>
    </row>
    <row r="201" spans="1:19" ht="16.5" customHeight="1">
      <c r="A201" s="197">
        <v>250</v>
      </c>
      <c r="B201" s="197">
        <v>560</v>
      </c>
      <c r="C201" s="165">
        <v>25</v>
      </c>
      <c r="D201" s="165">
        <v>45</v>
      </c>
      <c r="E201" s="197">
        <v>2.29</v>
      </c>
      <c r="F201" s="197">
        <v>0.15</v>
      </c>
      <c r="G201" s="197">
        <f t="shared" si="37"/>
        <v>0.35525656940155215</v>
      </c>
      <c r="H201" s="165">
        <f t="shared" si="38"/>
        <v>22.089323345553233</v>
      </c>
      <c r="I201" s="165">
        <f t="shared" si="39"/>
        <v>25.35161404628235</v>
      </c>
      <c r="J201" s="165">
        <f t="shared" si="40"/>
        <v>792237.93894632347</v>
      </c>
      <c r="L201" s="165" t="str">
        <f t="shared" si="41"/>
        <v/>
      </c>
      <c r="M201" s="165" t="str">
        <f t="shared" si="42"/>
        <v/>
      </c>
      <c r="N201" s="165" t="str">
        <f t="shared" si="43"/>
        <v/>
      </c>
      <c r="O201" s="165" t="str">
        <f t="shared" si="44"/>
        <v/>
      </c>
      <c r="P201" s="165" t="str">
        <f t="shared" si="45"/>
        <v/>
      </c>
      <c r="Q201" s="165" t="str">
        <f t="shared" si="46"/>
        <v/>
      </c>
      <c r="R201" s="165" t="str">
        <f t="shared" si="47"/>
        <v/>
      </c>
      <c r="S201" s="165" t="str">
        <f t="shared" si="48"/>
        <v/>
      </c>
    </row>
    <row r="202" spans="1:19" ht="16.5" customHeight="1">
      <c r="A202" s="197">
        <v>250</v>
      </c>
      <c r="B202" s="197">
        <v>560</v>
      </c>
      <c r="C202" s="165">
        <v>30</v>
      </c>
      <c r="D202" s="165">
        <v>40</v>
      </c>
      <c r="E202" s="197">
        <v>2.4</v>
      </c>
      <c r="F202" s="197">
        <v>0.15</v>
      </c>
      <c r="G202" s="197">
        <f t="shared" si="37"/>
        <v>0.35525656940155215</v>
      </c>
      <c r="H202" s="165">
        <f t="shared" si="38"/>
        <v>28.274333882308142</v>
      </c>
      <c r="I202" s="165">
        <f t="shared" si="39"/>
        <v>19.805948473658084</v>
      </c>
      <c r="J202" s="165">
        <f t="shared" si="40"/>
        <v>618935.88980181515</v>
      </c>
      <c r="L202" s="165" t="str">
        <f t="shared" si="41"/>
        <v/>
      </c>
      <c r="M202" s="165" t="str">
        <f t="shared" si="42"/>
        <v/>
      </c>
      <c r="N202" s="165" t="str">
        <f t="shared" si="43"/>
        <v/>
      </c>
      <c r="O202" s="165" t="str">
        <f t="shared" si="44"/>
        <v/>
      </c>
      <c r="P202" s="165" t="str">
        <f t="shared" si="45"/>
        <v/>
      </c>
      <c r="Q202" s="165" t="str">
        <f t="shared" si="46"/>
        <v/>
      </c>
      <c r="R202" s="165" t="str">
        <f t="shared" si="47"/>
        <v/>
      </c>
      <c r="S202" s="165" t="str">
        <f t="shared" si="48"/>
        <v/>
      </c>
    </row>
    <row r="203" spans="1:19" ht="16.5" customHeight="1">
      <c r="A203" s="197">
        <v>250</v>
      </c>
      <c r="B203" s="197">
        <v>680</v>
      </c>
      <c r="C203" s="165">
        <v>25</v>
      </c>
      <c r="D203" s="165">
        <v>50</v>
      </c>
      <c r="E203" s="197">
        <v>2.68</v>
      </c>
      <c r="F203" s="197">
        <v>0.15</v>
      </c>
      <c r="G203" s="197">
        <f t="shared" si="37"/>
        <v>0.29256423362480766</v>
      </c>
      <c r="H203" s="165">
        <f t="shared" si="38"/>
        <v>24.543692606170257</v>
      </c>
      <c r="I203" s="165">
        <f t="shared" si="39"/>
        <v>27.705692493437144</v>
      </c>
      <c r="J203" s="165">
        <f t="shared" si="40"/>
        <v>865802.89041991078</v>
      </c>
      <c r="L203" s="165" t="str">
        <f t="shared" si="41"/>
        <v/>
      </c>
      <c r="M203" s="165" t="str">
        <f t="shared" si="42"/>
        <v/>
      </c>
      <c r="N203" s="165" t="str">
        <f t="shared" si="43"/>
        <v/>
      </c>
      <c r="O203" s="165" t="str">
        <f t="shared" si="44"/>
        <v/>
      </c>
      <c r="P203" s="165" t="str">
        <f t="shared" si="45"/>
        <v/>
      </c>
      <c r="Q203" s="165" t="str">
        <f t="shared" si="46"/>
        <v/>
      </c>
      <c r="R203" s="165" t="str">
        <f t="shared" si="47"/>
        <v/>
      </c>
      <c r="S203" s="165" t="str">
        <f t="shared" si="48"/>
        <v/>
      </c>
    </row>
    <row r="204" spans="1:19" ht="16.5" customHeight="1">
      <c r="A204" s="197">
        <v>250</v>
      </c>
      <c r="B204" s="197">
        <v>680</v>
      </c>
      <c r="C204" s="165">
        <v>30</v>
      </c>
      <c r="D204" s="165">
        <v>40</v>
      </c>
      <c r="E204" s="197">
        <v>2.46</v>
      </c>
      <c r="F204" s="197">
        <v>0.15</v>
      </c>
      <c r="G204" s="197">
        <f t="shared" si="37"/>
        <v>0.29256423362480766</v>
      </c>
      <c r="H204" s="165">
        <f t="shared" si="38"/>
        <v>28.274333882308142</v>
      </c>
      <c r="I204" s="165">
        <f t="shared" si="39"/>
        <v>24.050080289441961</v>
      </c>
      <c r="J204" s="165">
        <f t="shared" si="40"/>
        <v>751565.00904506131</v>
      </c>
      <c r="L204" s="165" t="str">
        <f t="shared" si="41"/>
        <v/>
      </c>
      <c r="M204" s="165" t="str">
        <f t="shared" si="42"/>
        <v/>
      </c>
      <c r="N204" s="165" t="str">
        <f t="shared" si="43"/>
        <v/>
      </c>
      <c r="O204" s="165" t="str">
        <f t="shared" si="44"/>
        <v/>
      </c>
      <c r="P204" s="165" t="str">
        <f t="shared" si="45"/>
        <v/>
      </c>
      <c r="Q204" s="165" t="str">
        <f t="shared" si="46"/>
        <v/>
      </c>
      <c r="R204" s="165" t="str">
        <f t="shared" si="47"/>
        <v/>
      </c>
      <c r="S204" s="165" t="str">
        <f t="shared" si="48"/>
        <v/>
      </c>
    </row>
    <row r="205" spans="1:19" ht="16.5" customHeight="1">
      <c r="A205" s="197">
        <v>250</v>
      </c>
      <c r="B205" s="197">
        <v>820</v>
      </c>
      <c r="C205" s="165">
        <v>30</v>
      </c>
      <c r="D205" s="165">
        <v>45</v>
      </c>
      <c r="E205" s="197">
        <v>3.11</v>
      </c>
      <c r="F205" s="197">
        <v>0.15</v>
      </c>
      <c r="G205" s="197">
        <f t="shared" si="37"/>
        <v>0.24261424251813318</v>
      </c>
      <c r="H205" s="165">
        <f t="shared" si="38"/>
        <v>31.808625617596658</v>
      </c>
      <c r="I205" s="165">
        <f t="shared" si="39"/>
        <v>25.779171029205763</v>
      </c>
      <c r="J205" s="165">
        <f t="shared" si="40"/>
        <v>805599.09466268006</v>
      </c>
      <c r="L205" s="165" t="str">
        <f t="shared" si="41"/>
        <v/>
      </c>
      <c r="M205" s="165" t="str">
        <f t="shared" si="42"/>
        <v/>
      </c>
      <c r="N205" s="165" t="str">
        <f t="shared" si="43"/>
        <v/>
      </c>
      <c r="O205" s="165" t="str">
        <f t="shared" si="44"/>
        <v/>
      </c>
      <c r="P205" s="165" t="str">
        <f t="shared" si="45"/>
        <v/>
      </c>
      <c r="Q205" s="165" t="str">
        <f t="shared" si="46"/>
        <v/>
      </c>
      <c r="R205" s="165" t="str">
        <f t="shared" si="47"/>
        <v/>
      </c>
      <c r="S205" s="165" t="str">
        <f t="shared" si="48"/>
        <v/>
      </c>
    </row>
    <row r="206" spans="1:19" ht="16.5" customHeight="1">
      <c r="A206" s="197">
        <v>250</v>
      </c>
      <c r="B206" s="197">
        <v>820</v>
      </c>
      <c r="C206" s="165">
        <v>35</v>
      </c>
      <c r="D206" s="165">
        <v>45</v>
      </c>
      <c r="E206" s="197">
        <v>3.1</v>
      </c>
      <c r="F206" s="197">
        <v>0.15</v>
      </c>
      <c r="G206" s="197">
        <f t="shared" si="37"/>
        <v>0.24261424251813318</v>
      </c>
      <c r="H206" s="165">
        <f t="shared" si="38"/>
        <v>43.295073757284335</v>
      </c>
      <c r="I206" s="165">
        <f t="shared" si="39"/>
        <v>18.939799123498112</v>
      </c>
      <c r="J206" s="165">
        <f t="shared" si="40"/>
        <v>591868.722609316</v>
      </c>
      <c r="L206" s="165" t="str">
        <f t="shared" si="41"/>
        <v/>
      </c>
      <c r="M206" s="165" t="str">
        <f t="shared" si="42"/>
        <v/>
      </c>
      <c r="N206" s="165" t="str">
        <f t="shared" si="43"/>
        <v/>
      </c>
      <c r="O206" s="165" t="str">
        <f t="shared" si="44"/>
        <v/>
      </c>
      <c r="P206" s="165" t="str">
        <f t="shared" si="45"/>
        <v/>
      </c>
      <c r="Q206" s="165" t="str">
        <f t="shared" si="46"/>
        <v/>
      </c>
      <c r="R206" s="165" t="str">
        <f t="shared" si="47"/>
        <v/>
      </c>
      <c r="S206" s="165" t="str">
        <f t="shared" si="48"/>
        <v/>
      </c>
    </row>
    <row r="207" spans="1:19" ht="16.5" customHeight="1">
      <c r="A207" s="197">
        <v>250</v>
      </c>
      <c r="B207" s="196">
        <v>1000</v>
      </c>
      <c r="C207" s="165">
        <v>30</v>
      </c>
      <c r="D207" s="165">
        <v>50</v>
      </c>
      <c r="E207" s="197">
        <v>3.6</v>
      </c>
      <c r="F207" s="197">
        <v>0.15</v>
      </c>
      <c r="G207" s="197">
        <f t="shared" si="37"/>
        <v>0.19894367886486922</v>
      </c>
      <c r="H207" s="165">
        <f t="shared" si="38"/>
        <v>35.342917352885173</v>
      </c>
      <c r="I207" s="165">
        <f t="shared" si="39"/>
        <v>28.294212105225839</v>
      </c>
      <c r="J207" s="165">
        <f t="shared" si="40"/>
        <v>884194.12828830746</v>
      </c>
      <c r="L207" s="165" t="str">
        <f t="shared" si="41"/>
        <v/>
      </c>
      <c r="M207" s="165" t="str">
        <f t="shared" si="42"/>
        <v/>
      </c>
      <c r="N207" s="165" t="str">
        <f t="shared" si="43"/>
        <v/>
      </c>
      <c r="O207" s="165" t="str">
        <f t="shared" si="44"/>
        <v/>
      </c>
      <c r="P207" s="165" t="str">
        <f t="shared" si="45"/>
        <v/>
      </c>
      <c r="Q207" s="165" t="str">
        <f t="shared" si="46"/>
        <v/>
      </c>
      <c r="R207" s="165" t="str">
        <f t="shared" si="47"/>
        <v/>
      </c>
      <c r="S207" s="165" t="str">
        <f t="shared" si="48"/>
        <v/>
      </c>
    </row>
    <row r="208" spans="1:19" ht="16.5" customHeight="1">
      <c r="A208" s="197">
        <v>250</v>
      </c>
      <c r="B208" s="196">
        <v>1000</v>
      </c>
      <c r="C208" s="165">
        <v>35</v>
      </c>
      <c r="D208" s="165">
        <v>45</v>
      </c>
      <c r="E208" s="197">
        <v>3.4</v>
      </c>
      <c r="F208" s="197">
        <v>0.15</v>
      </c>
      <c r="G208" s="197">
        <f t="shared" si="37"/>
        <v>0.19894367886486922</v>
      </c>
      <c r="H208" s="165">
        <f t="shared" si="38"/>
        <v>43.295073757284335</v>
      </c>
      <c r="I208" s="165">
        <f t="shared" si="39"/>
        <v>23.097316004265991</v>
      </c>
      <c r="J208" s="165">
        <f t="shared" si="40"/>
        <v>721791.12513331219</v>
      </c>
      <c r="L208" s="165" t="str">
        <f t="shared" si="41"/>
        <v/>
      </c>
      <c r="M208" s="165" t="str">
        <f t="shared" si="42"/>
        <v/>
      </c>
      <c r="N208" s="165" t="str">
        <f t="shared" si="43"/>
        <v/>
      </c>
      <c r="O208" s="165" t="str">
        <f t="shared" si="44"/>
        <v/>
      </c>
      <c r="P208" s="165" t="str">
        <f t="shared" si="45"/>
        <v/>
      </c>
      <c r="Q208" s="165" t="str">
        <f t="shared" si="46"/>
        <v/>
      </c>
      <c r="R208" s="165" t="str">
        <f t="shared" si="47"/>
        <v/>
      </c>
      <c r="S208" s="165" t="str">
        <f t="shared" si="48"/>
        <v/>
      </c>
    </row>
    <row r="209" spans="1:19" ht="16.5" customHeight="1">
      <c r="A209" s="197">
        <v>250</v>
      </c>
      <c r="B209" s="196">
        <v>1200</v>
      </c>
      <c r="C209" s="165">
        <v>35</v>
      </c>
      <c r="D209" s="165">
        <v>46</v>
      </c>
      <c r="E209" s="197">
        <v>4</v>
      </c>
      <c r="F209" s="197">
        <v>0.15</v>
      </c>
      <c r="G209" s="197">
        <f t="shared" si="37"/>
        <v>0.16578639905405765</v>
      </c>
      <c r="H209" s="165">
        <f t="shared" si="38"/>
        <v>44.257186507446214</v>
      </c>
      <c r="I209" s="165">
        <f t="shared" si="39"/>
        <v>27.114240526747029</v>
      </c>
      <c r="J209" s="165">
        <f t="shared" si="40"/>
        <v>847320.01646084466</v>
      </c>
      <c r="L209" s="165" t="str">
        <f t="shared" si="41"/>
        <v/>
      </c>
      <c r="M209" s="165" t="str">
        <f t="shared" si="42"/>
        <v/>
      </c>
      <c r="N209" s="165" t="str">
        <f t="shared" si="43"/>
        <v/>
      </c>
      <c r="O209" s="165" t="str">
        <f t="shared" si="44"/>
        <v/>
      </c>
      <c r="P209" s="165" t="str">
        <f t="shared" si="45"/>
        <v/>
      </c>
      <c r="Q209" s="165" t="str">
        <f t="shared" si="46"/>
        <v/>
      </c>
      <c r="R209" s="165" t="str">
        <f t="shared" si="47"/>
        <v/>
      </c>
      <c r="S209" s="165" t="str">
        <f t="shared" si="48"/>
        <v/>
      </c>
    </row>
    <row r="210" spans="1:19" ht="16.5" customHeight="1">
      <c r="A210" s="197">
        <v>250</v>
      </c>
      <c r="B210" s="196">
        <v>1500</v>
      </c>
      <c r="C210" s="165">
        <v>35</v>
      </c>
      <c r="D210" s="165">
        <v>62</v>
      </c>
      <c r="E210" s="197">
        <v>5</v>
      </c>
      <c r="F210" s="197">
        <v>0.15</v>
      </c>
      <c r="G210" s="197">
        <f t="shared" si="37"/>
        <v>0.13262911924324614</v>
      </c>
      <c r="H210" s="165">
        <f t="shared" si="38"/>
        <v>59.650990510036195</v>
      </c>
      <c r="I210" s="165">
        <f t="shared" si="39"/>
        <v>25.146271456257331</v>
      </c>
      <c r="J210" s="165">
        <f t="shared" si="40"/>
        <v>785820.98300804163</v>
      </c>
      <c r="L210" s="165" t="str">
        <f t="shared" si="41"/>
        <v/>
      </c>
      <c r="M210" s="165" t="str">
        <f t="shared" si="42"/>
        <v/>
      </c>
      <c r="N210" s="165" t="str">
        <f t="shared" si="43"/>
        <v/>
      </c>
      <c r="O210" s="165" t="str">
        <f t="shared" si="44"/>
        <v/>
      </c>
      <c r="P210" s="165" t="str">
        <f t="shared" si="45"/>
        <v/>
      </c>
      <c r="Q210" s="165" t="str">
        <f t="shared" si="46"/>
        <v/>
      </c>
      <c r="R210" s="165" t="str">
        <f t="shared" si="47"/>
        <v/>
      </c>
      <c r="S210" s="165" t="str">
        <f t="shared" si="48"/>
        <v/>
      </c>
    </row>
    <row r="211" spans="1:19" ht="16.5" customHeight="1">
      <c r="A211" s="197">
        <v>315</v>
      </c>
      <c r="B211" s="197">
        <v>100</v>
      </c>
      <c r="C211" s="165">
        <v>22</v>
      </c>
      <c r="D211" s="165">
        <v>30</v>
      </c>
      <c r="E211" s="197">
        <v>0.63</v>
      </c>
      <c r="F211" s="197">
        <v>0.2</v>
      </c>
      <c r="G211" s="197">
        <f t="shared" si="37"/>
        <v>2.6525823848649224</v>
      </c>
      <c r="H211" s="165">
        <f t="shared" si="38"/>
        <v>11.403981332530948</v>
      </c>
      <c r="I211" s="165">
        <f t="shared" si="39"/>
        <v>8.7688673879832155</v>
      </c>
      <c r="J211" s="165">
        <f t="shared" si="40"/>
        <v>435045.43328631727</v>
      </c>
      <c r="L211" s="165" t="str">
        <f t="shared" si="41"/>
        <v/>
      </c>
      <c r="M211" s="165" t="str">
        <f t="shared" si="42"/>
        <v/>
      </c>
      <c r="N211" s="165" t="str">
        <f t="shared" si="43"/>
        <v/>
      </c>
      <c r="O211" s="165" t="str">
        <f t="shared" si="44"/>
        <v/>
      </c>
      <c r="P211" s="165" t="str">
        <f t="shared" si="45"/>
        <v/>
      </c>
      <c r="Q211" s="165" t="str">
        <f t="shared" si="46"/>
        <v/>
      </c>
      <c r="R211" s="165" t="str">
        <f t="shared" si="47"/>
        <v/>
      </c>
      <c r="S211" s="165" t="str">
        <f t="shared" si="48"/>
        <v/>
      </c>
    </row>
    <row r="212" spans="1:19" ht="16.5" customHeight="1">
      <c r="A212" s="197">
        <v>315</v>
      </c>
      <c r="B212" s="197">
        <v>100</v>
      </c>
      <c r="C212" s="165">
        <v>25</v>
      </c>
      <c r="D212" s="165">
        <v>25</v>
      </c>
      <c r="E212" s="197">
        <v>0.57999999999999996</v>
      </c>
      <c r="F212" s="197">
        <v>0.2</v>
      </c>
      <c r="G212" s="197">
        <f t="shared" si="37"/>
        <v>2.6525823848649224</v>
      </c>
      <c r="H212" s="165">
        <f t="shared" si="38"/>
        <v>12.271846303085129</v>
      </c>
      <c r="I212" s="165">
        <f t="shared" si="39"/>
        <v>8.1487330863050413</v>
      </c>
      <c r="J212" s="165">
        <f t="shared" si="40"/>
        <v>404279.02024430886</v>
      </c>
      <c r="L212" s="165">
        <f t="shared" si="41"/>
        <v>101.85916357881301</v>
      </c>
      <c r="M212" s="165">
        <f t="shared" si="42"/>
        <v>8749.8264140996962</v>
      </c>
      <c r="N212" s="165" t="str">
        <f t="shared" si="43"/>
        <v/>
      </c>
      <c r="O212" s="165" t="str">
        <f t="shared" si="44"/>
        <v/>
      </c>
      <c r="P212" s="165" t="str">
        <f t="shared" si="45"/>
        <v/>
      </c>
      <c r="Q212" s="165" t="str">
        <f t="shared" si="46"/>
        <v/>
      </c>
      <c r="R212" s="165" t="str">
        <f t="shared" si="47"/>
        <v/>
      </c>
      <c r="S212" s="165" t="str">
        <f t="shared" si="48"/>
        <v/>
      </c>
    </row>
    <row r="213" spans="1:19" ht="16.5" customHeight="1">
      <c r="A213" s="197">
        <v>315</v>
      </c>
      <c r="B213" s="197">
        <v>220</v>
      </c>
      <c r="C213" s="165">
        <v>22</v>
      </c>
      <c r="D213" s="165">
        <v>50</v>
      </c>
      <c r="E213" s="197">
        <v>1.38</v>
      </c>
      <c r="F213" s="197">
        <v>0.2</v>
      </c>
      <c r="G213" s="197">
        <f t="shared" si="37"/>
        <v>1.2057192658476923</v>
      </c>
      <c r="H213" s="165">
        <f t="shared" si="38"/>
        <v>19.006635554218249</v>
      </c>
      <c r="I213" s="165">
        <f t="shared" si="39"/>
        <v>11.574904952137842</v>
      </c>
      <c r="J213" s="165">
        <f t="shared" si="40"/>
        <v>574259.97193793871</v>
      </c>
      <c r="L213" s="165" t="str">
        <f t="shared" si="41"/>
        <v/>
      </c>
      <c r="M213" s="165" t="str">
        <f t="shared" si="42"/>
        <v/>
      </c>
      <c r="N213" s="165" t="str">
        <f t="shared" si="43"/>
        <v/>
      </c>
      <c r="O213" s="165" t="str">
        <f t="shared" si="44"/>
        <v/>
      </c>
      <c r="P213" s="165" t="str">
        <f t="shared" si="45"/>
        <v/>
      </c>
      <c r="Q213" s="165" t="str">
        <f t="shared" si="46"/>
        <v/>
      </c>
      <c r="R213" s="165" t="str">
        <f t="shared" si="47"/>
        <v/>
      </c>
      <c r="S213" s="165" t="str">
        <f t="shared" si="48"/>
        <v/>
      </c>
    </row>
    <row r="214" spans="1:19" ht="16.5" customHeight="1">
      <c r="A214" s="197">
        <v>315</v>
      </c>
      <c r="B214" s="197">
        <v>220</v>
      </c>
      <c r="C214" s="165">
        <v>30</v>
      </c>
      <c r="D214" s="165">
        <v>30</v>
      </c>
      <c r="E214" s="197">
        <v>1.25</v>
      </c>
      <c r="F214" s="197">
        <v>0.2</v>
      </c>
      <c r="G214" s="197">
        <f t="shared" si="37"/>
        <v>1.2057192658476923</v>
      </c>
      <c r="H214" s="165">
        <f t="shared" si="38"/>
        <v>21.205750411731103</v>
      </c>
      <c r="I214" s="165">
        <f t="shared" si="39"/>
        <v>10.374544438582808</v>
      </c>
      <c r="J214" s="165">
        <f t="shared" si="40"/>
        <v>514707.08595918957</v>
      </c>
      <c r="L214" s="165" t="str">
        <f t="shared" si="41"/>
        <v/>
      </c>
      <c r="M214" s="165" t="str">
        <f t="shared" si="42"/>
        <v/>
      </c>
      <c r="N214" s="165" t="str">
        <f t="shared" si="43"/>
        <v/>
      </c>
      <c r="O214" s="165" t="str">
        <f t="shared" si="44"/>
        <v/>
      </c>
      <c r="P214" s="165" t="str">
        <f t="shared" si="45"/>
        <v/>
      </c>
      <c r="Q214" s="165" t="str">
        <f t="shared" si="46"/>
        <v/>
      </c>
      <c r="R214" s="165" t="str">
        <f t="shared" si="47"/>
        <v/>
      </c>
      <c r="S214" s="165" t="str">
        <f t="shared" si="48"/>
        <v/>
      </c>
    </row>
    <row r="215" spans="1:19" ht="16.5" customHeight="1">
      <c r="A215" s="197">
        <v>315</v>
      </c>
      <c r="B215" s="197">
        <v>330</v>
      </c>
      <c r="C215" s="165">
        <v>25</v>
      </c>
      <c r="D215" s="165">
        <v>50</v>
      </c>
      <c r="E215" s="197">
        <v>2.08</v>
      </c>
      <c r="F215" s="197">
        <v>0.2</v>
      </c>
      <c r="G215" s="197">
        <f t="shared" si="37"/>
        <v>0.80381284389846153</v>
      </c>
      <c r="H215" s="165">
        <f t="shared" si="38"/>
        <v>24.543692606170257</v>
      </c>
      <c r="I215" s="165">
        <f t="shared" si="39"/>
        <v>13.445409592403319</v>
      </c>
      <c r="J215" s="165">
        <f t="shared" si="40"/>
        <v>667060.38340310962</v>
      </c>
      <c r="L215" s="165" t="str">
        <f t="shared" si="41"/>
        <v/>
      </c>
      <c r="M215" s="165" t="str">
        <f t="shared" si="42"/>
        <v/>
      </c>
      <c r="N215" s="165" t="str">
        <f t="shared" si="43"/>
        <v/>
      </c>
      <c r="O215" s="165" t="str">
        <f t="shared" si="44"/>
        <v/>
      </c>
      <c r="P215" s="165" t="str">
        <f t="shared" si="45"/>
        <v/>
      </c>
      <c r="Q215" s="165" t="str">
        <f t="shared" si="46"/>
        <v/>
      </c>
      <c r="R215" s="165" t="str">
        <f t="shared" si="47"/>
        <v/>
      </c>
      <c r="S215" s="165" t="str">
        <f t="shared" si="48"/>
        <v/>
      </c>
    </row>
    <row r="216" spans="1:19" ht="16.5" customHeight="1">
      <c r="A216" s="197">
        <v>315</v>
      </c>
      <c r="B216" s="197">
        <v>330</v>
      </c>
      <c r="C216" s="165">
        <v>35</v>
      </c>
      <c r="D216" s="165">
        <v>30</v>
      </c>
      <c r="E216" s="197">
        <v>1.85</v>
      </c>
      <c r="F216" s="197">
        <v>0.2</v>
      </c>
      <c r="G216" s="197">
        <f t="shared" si="37"/>
        <v>0.80381284389846153</v>
      </c>
      <c r="H216" s="165">
        <f t="shared" si="38"/>
        <v>28.863382504856222</v>
      </c>
      <c r="I216" s="165">
        <f t="shared" si="39"/>
        <v>11.433171422111666</v>
      </c>
      <c r="J216" s="165">
        <f t="shared" si="40"/>
        <v>567228.21717951505</v>
      </c>
      <c r="L216" s="165" t="str">
        <f t="shared" si="41"/>
        <v/>
      </c>
      <c r="M216" s="165" t="str">
        <f t="shared" si="42"/>
        <v/>
      </c>
      <c r="N216" s="165" t="str">
        <f t="shared" si="43"/>
        <v/>
      </c>
      <c r="O216" s="165" t="str">
        <f t="shared" si="44"/>
        <v/>
      </c>
      <c r="P216" s="165" t="str">
        <f t="shared" si="45"/>
        <v/>
      </c>
      <c r="Q216" s="165" t="str">
        <f t="shared" si="46"/>
        <v/>
      </c>
      <c r="R216" s="165" t="str">
        <f t="shared" si="47"/>
        <v/>
      </c>
      <c r="S216" s="165" t="str">
        <f t="shared" si="48"/>
        <v/>
      </c>
    </row>
    <row r="217" spans="1:19" ht="16.5" customHeight="1">
      <c r="A217" s="197">
        <v>315</v>
      </c>
      <c r="B217" s="197">
        <v>470</v>
      </c>
      <c r="C217" s="165">
        <v>30</v>
      </c>
      <c r="D217" s="165">
        <v>50</v>
      </c>
      <c r="E217" s="197">
        <v>2.96</v>
      </c>
      <c r="F217" s="197">
        <v>0.2</v>
      </c>
      <c r="G217" s="197">
        <f t="shared" si="37"/>
        <v>0.564379230822324</v>
      </c>
      <c r="H217" s="165">
        <f t="shared" si="38"/>
        <v>35.342917352885173</v>
      </c>
      <c r="I217" s="165">
        <f t="shared" si="39"/>
        <v>13.298279689456145</v>
      </c>
      <c r="J217" s="165">
        <f t="shared" si="40"/>
        <v>659760.90109314292</v>
      </c>
      <c r="L217" s="165" t="str">
        <f t="shared" si="41"/>
        <v/>
      </c>
      <c r="M217" s="165" t="str">
        <f t="shared" si="42"/>
        <v/>
      </c>
      <c r="N217" s="165" t="str">
        <f t="shared" si="43"/>
        <v/>
      </c>
      <c r="O217" s="165" t="str">
        <f t="shared" si="44"/>
        <v/>
      </c>
      <c r="P217" s="165" t="str">
        <f t="shared" si="45"/>
        <v/>
      </c>
      <c r="Q217" s="165" t="str">
        <f t="shared" si="46"/>
        <v/>
      </c>
      <c r="R217" s="165" t="str">
        <f t="shared" si="47"/>
        <v/>
      </c>
      <c r="S217" s="165" t="str">
        <f t="shared" si="48"/>
        <v/>
      </c>
    </row>
    <row r="218" spans="1:19" ht="16.5" customHeight="1">
      <c r="A218" s="197">
        <v>350</v>
      </c>
      <c r="B218" s="197">
        <v>68</v>
      </c>
      <c r="C218" s="165">
        <v>22</v>
      </c>
      <c r="D218" s="165">
        <v>25</v>
      </c>
      <c r="E218" s="197">
        <v>0.53</v>
      </c>
      <c r="F218" s="197">
        <v>0.2</v>
      </c>
      <c r="G218" s="197">
        <f t="shared" si="37"/>
        <v>3.9008564483307691</v>
      </c>
      <c r="H218" s="165">
        <f t="shared" si="38"/>
        <v>9.5033177771091246</v>
      </c>
      <c r="I218" s="165">
        <f t="shared" si="39"/>
        <v>7.1553957885943023</v>
      </c>
      <c r="J218" s="165">
        <f t="shared" si="40"/>
        <v>438267.992051401</v>
      </c>
      <c r="L218" s="165">
        <f t="shared" si="41"/>
        <v>89.442447357428776</v>
      </c>
      <c r="M218" s="165">
        <f t="shared" si="42"/>
        <v>9959.4770304103622</v>
      </c>
      <c r="N218" s="165" t="str">
        <f t="shared" si="43"/>
        <v/>
      </c>
      <c r="O218" s="165" t="str">
        <f t="shared" si="44"/>
        <v/>
      </c>
      <c r="P218" s="165" t="str">
        <f t="shared" si="45"/>
        <v/>
      </c>
      <c r="Q218" s="165" t="str">
        <f t="shared" si="46"/>
        <v/>
      </c>
      <c r="R218" s="165" t="str">
        <f t="shared" si="47"/>
        <v/>
      </c>
      <c r="S218" s="165" t="str">
        <f t="shared" si="48"/>
        <v/>
      </c>
    </row>
    <row r="219" spans="1:19" ht="16.5" customHeight="1">
      <c r="A219" s="197">
        <v>350</v>
      </c>
      <c r="B219" s="197">
        <v>82</v>
      </c>
      <c r="C219" s="165">
        <v>22</v>
      </c>
      <c r="D219" s="165">
        <v>25</v>
      </c>
      <c r="E219" s="197">
        <v>0.59</v>
      </c>
      <c r="F219" s="197">
        <v>0.2</v>
      </c>
      <c r="G219" s="197">
        <f t="shared" si="37"/>
        <v>3.2348565669084421</v>
      </c>
      <c r="H219" s="165">
        <f t="shared" si="38"/>
        <v>9.5033177771091246</v>
      </c>
      <c r="I219" s="165">
        <f t="shared" si="39"/>
        <v>8.6285655097754823</v>
      </c>
      <c r="J219" s="165">
        <f t="shared" si="40"/>
        <v>528499.6374737483</v>
      </c>
      <c r="L219" s="165">
        <f t="shared" si="41"/>
        <v>107.85706887219352</v>
      </c>
      <c r="M219" s="165">
        <f t="shared" si="42"/>
        <v>8258.3831483078302</v>
      </c>
      <c r="N219" s="165" t="str">
        <f t="shared" si="43"/>
        <v/>
      </c>
      <c r="O219" s="165" t="str">
        <f t="shared" si="44"/>
        <v/>
      </c>
      <c r="P219" s="165" t="str">
        <f t="shared" si="45"/>
        <v/>
      </c>
      <c r="Q219" s="165" t="str">
        <f t="shared" si="46"/>
        <v/>
      </c>
      <c r="R219" s="165" t="str">
        <f t="shared" si="47"/>
        <v/>
      </c>
      <c r="S219" s="165" t="str">
        <f t="shared" si="48"/>
        <v/>
      </c>
    </row>
    <row r="220" spans="1:19" ht="16.5" customHeight="1">
      <c r="A220" s="197">
        <v>350</v>
      </c>
      <c r="B220" s="197">
        <v>100</v>
      </c>
      <c r="C220" s="165">
        <v>22</v>
      </c>
      <c r="D220" s="165">
        <v>30</v>
      </c>
      <c r="E220" s="197">
        <v>0.66</v>
      </c>
      <c r="F220" s="197">
        <v>0.2</v>
      </c>
      <c r="G220" s="197">
        <f t="shared" si="37"/>
        <v>2.6525823848649224</v>
      </c>
      <c r="H220" s="165">
        <f t="shared" si="38"/>
        <v>11.403981332530948</v>
      </c>
      <c r="I220" s="165">
        <f t="shared" si="39"/>
        <v>8.7688673879832155</v>
      </c>
      <c r="J220" s="165">
        <f t="shared" si="40"/>
        <v>537093.12751397199</v>
      </c>
      <c r="L220" s="165" t="str">
        <f t="shared" si="41"/>
        <v/>
      </c>
      <c r="M220" s="165" t="str">
        <f t="shared" si="42"/>
        <v/>
      </c>
      <c r="N220" s="165" t="str">
        <f t="shared" si="43"/>
        <v/>
      </c>
      <c r="O220" s="165" t="str">
        <f t="shared" si="44"/>
        <v/>
      </c>
      <c r="P220" s="165" t="str">
        <f t="shared" si="45"/>
        <v/>
      </c>
      <c r="Q220" s="165" t="str">
        <f t="shared" si="46"/>
        <v/>
      </c>
      <c r="R220" s="165" t="str">
        <f t="shared" si="47"/>
        <v/>
      </c>
      <c r="S220" s="165" t="str">
        <f t="shared" si="48"/>
        <v/>
      </c>
    </row>
    <row r="221" spans="1:19" ht="16.5" customHeight="1">
      <c r="A221" s="197">
        <v>350</v>
      </c>
      <c r="B221" s="197">
        <v>100</v>
      </c>
      <c r="C221" s="165">
        <v>25</v>
      </c>
      <c r="D221" s="165">
        <v>25</v>
      </c>
      <c r="E221" s="197">
        <v>0.63</v>
      </c>
      <c r="F221" s="197">
        <v>0.2</v>
      </c>
      <c r="G221" s="197">
        <f t="shared" si="37"/>
        <v>2.6525823848649224</v>
      </c>
      <c r="H221" s="165">
        <f t="shared" si="38"/>
        <v>12.271846303085129</v>
      </c>
      <c r="I221" s="165">
        <f t="shared" si="39"/>
        <v>8.1487330863050413</v>
      </c>
      <c r="J221" s="165">
        <f t="shared" si="40"/>
        <v>499109.90153618378</v>
      </c>
      <c r="L221" s="165">
        <f t="shared" si="41"/>
        <v>101.85916357881301</v>
      </c>
      <c r="M221" s="165">
        <f t="shared" si="42"/>
        <v>8749.8264140996962</v>
      </c>
      <c r="N221" s="165" t="str">
        <f t="shared" si="43"/>
        <v/>
      </c>
      <c r="O221" s="165" t="str">
        <f t="shared" si="44"/>
        <v/>
      </c>
      <c r="P221" s="165" t="str">
        <f t="shared" si="45"/>
        <v/>
      </c>
      <c r="Q221" s="165" t="str">
        <f t="shared" si="46"/>
        <v/>
      </c>
      <c r="R221" s="165" t="str">
        <f t="shared" si="47"/>
        <v/>
      </c>
      <c r="S221" s="165" t="str">
        <f t="shared" si="48"/>
        <v/>
      </c>
    </row>
    <row r="222" spans="1:19" ht="16.5" customHeight="1">
      <c r="A222" s="197">
        <v>350</v>
      </c>
      <c r="B222" s="197">
        <v>120</v>
      </c>
      <c r="C222" s="165">
        <v>22</v>
      </c>
      <c r="D222" s="165">
        <v>31</v>
      </c>
      <c r="E222" s="197">
        <v>0.7</v>
      </c>
      <c r="F222" s="197">
        <v>0.2</v>
      </c>
      <c r="G222" s="197">
        <f t="shared" si="37"/>
        <v>2.2104853207207689</v>
      </c>
      <c r="H222" s="165">
        <f t="shared" si="38"/>
        <v>11.784114043615313</v>
      </c>
      <c r="I222" s="165">
        <f t="shared" si="39"/>
        <v>10.183200837657928</v>
      </c>
      <c r="J222" s="165">
        <f t="shared" si="40"/>
        <v>623721.05130654806</v>
      </c>
      <c r="L222" s="165" t="str">
        <f t="shared" si="41"/>
        <v/>
      </c>
      <c r="M222" s="165" t="str">
        <f t="shared" si="42"/>
        <v/>
      </c>
      <c r="N222" s="165" t="str">
        <f t="shared" si="43"/>
        <v/>
      </c>
      <c r="O222" s="165" t="str">
        <f t="shared" si="44"/>
        <v/>
      </c>
      <c r="P222" s="165" t="str">
        <f t="shared" si="45"/>
        <v/>
      </c>
      <c r="Q222" s="165" t="str">
        <f t="shared" si="46"/>
        <v/>
      </c>
      <c r="R222" s="165" t="str">
        <f t="shared" si="47"/>
        <v/>
      </c>
      <c r="S222" s="165" t="str">
        <f t="shared" si="48"/>
        <v/>
      </c>
    </row>
    <row r="223" spans="1:19" ht="16.5" customHeight="1">
      <c r="A223" s="197">
        <v>350</v>
      </c>
      <c r="B223" s="197">
        <v>120</v>
      </c>
      <c r="C223" s="165">
        <v>25</v>
      </c>
      <c r="D223" s="165">
        <v>26</v>
      </c>
      <c r="E223" s="197">
        <v>0.68</v>
      </c>
      <c r="F223" s="197">
        <v>0.2</v>
      </c>
      <c r="G223" s="197">
        <f t="shared" si="37"/>
        <v>2.2104853207207689</v>
      </c>
      <c r="H223" s="165">
        <f t="shared" si="38"/>
        <v>12.762720155208536</v>
      </c>
      <c r="I223" s="165">
        <f t="shared" si="39"/>
        <v>9.4023843303519694</v>
      </c>
      <c r="J223" s="165">
        <f t="shared" si="40"/>
        <v>575896.04023405816</v>
      </c>
      <c r="L223" s="165" t="str">
        <f t="shared" si="41"/>
        <v/>
      </c>
      <c r="M223" s="165" t="str">
        <f t="shared" si="42"/>
        <v/>
      </c>
      <c r="N223" s="165" t="str">
        <f t="shared" si="43"/>
        <v/>
      </c>
      <c r="O223" s="165" t="str">
        <f t="shared" si="44"/>
        <v/>
      </c>
      <c r="P223" s="165" t="str">
        <f t="shared" si="45"/>
        <v/>
      </c>
      <c r="Q223" s="165" t="str">
        <f t="shared" si="46"/>
        <v/>
      </c>
      <c r="R223" s="165" t="str">
        <f t="shared" si="47"/>
        <v/>
      </c>
      <c r="S223" s="165" t="str">
        <f t="shared" si="48"/>
        <v/>
      </c>
    </row>
    <row r="224" spans="1:19" ht="16.5" customHeight="1">
      <c r="A224" s="197">
        <v>350</v>
      </c>
      <c r="B224" s="197">
        <v>150</v>
      </c>
      <c r="C224" s="165">
        <v>22</v>
      </c>
      <c r="D224" s="165">
        <v>35</v>
      </c>
      <c r="E224" s="197">
        <v>0.86</v>
      </c>
      <c r="F224" s="197">
        <v>0.2</v>
      </c>
      <c r="G224" s="197">
        <f t="shared" si="37"/>
        <v>1.7683882565766151</v>
      </c>
      <c r="H224" s="165">
        <f t="shared" si="38"/>
        <v>13.304644887952776</v>
      </c>
      <c r="I224" s="165">
        <f t="shared" si="39"/>
        <v>11.274258070264132</v>
      </c>
      <c r="J224" s="165">
        <f t="shared" si="40"/>
        <v>690548.30680367805</v>
      </c>
      <c r="L224" s="165" t="str">
        <f t="shared" si="41"/>
        <v/>
      </c>
      <c r="M224" s="165" t="str">
        <f t="shared" si="42"/>
        <v/>
      </c>
      <c r="N224" s="165" t="str">
        <f t="shared" si="43"/>
        <v/>
      </c>
      <c r="O224" s="165" t="str">
        <f t="shared" si="44"/>
        <v/>
      </c>
      <c r="P224" s="165" t="str">
        <f t="shared" si="45"/>
        <v/>
      </c>
      <c r="Q224" s="165" t="str">
        <f t="shared" si="46"/>
        <v/>
      </c>
      <c r="R224" s="165" t="str">
        <f t="shared" si="47"/>
        <v/>
      </c>
      <c r="S224" s="165" t="str">
        <f t="shared" si="48"/>
        <v/>
      </c>
    </row>
    <row r="225" spans="1:19" ht="16.5" customHeight="1">
      <c r="A225" s="197">
        <v>350</v>
      </c>
      <c r="B225" s="197">
        <v>150</v>
      </c>
      <c r="C225" s="165">
        <v>25</v>
      </c>
      <c r="D225" s="165">
        <v>31</v>
      </c>
      <c r="E225" s="197">
        <v>0.82</v>
      </c>
      <c r="F225" s="197">
        <v>0.2</v>
      </c>
      <c r="G225" s="197">
        <f t="shared" si="37"/>
        <v>1.7683882565766151</v>
      </c>
      <c r="H225" s="165">
        <f t="shared" si="38"/>
        <v>15.217089415825559</v>
      </c>
      <c r="I225" s="165">
        <f t="shared" si="39"/>
        <v>9.8573384108528739</v>
      </c>
      <c r="J225" s="165">
        <f t="shared" si="40"/>
        <v>603761.97766473854</v>
      </c>
      <c r="L225" s="165" t="str">
        <f t="shared" si="41"/>
        <v/>
      </c>
      <c r="M225" s="165" t="str">
        <f t="shared" si="42"/>
        <v/>
      </c>
      <c r="N225" s="165" t="str">
        <f t="shared" si="43"/>
        <v/>
      </c>
      <c r="O225" s="165" t="str">
        <f t="shared" si="44"/>
        <v/>
      </c>
      <c r="P225" s="165" t="str">
        <f t="shared" si="45"/>
        <v/>
      </c>
      <c r="Q225" s="165" t="str">
        <f t="shared" si="46"/>
        <v/>
      </c>
      <c r="R225" s="165" t="str">
        <f t="shared" si="47"/>
        <v/>
      </c>
      <c r="S225" s="165" t="str">
        <f t="shared" si="48"/>
        <v/>
      </c>
    </row>
    <row r="226" spans="1:19" ht="16.5" customHeight="1">
      <c r="A226" s="197">
        <v>350</v>
      </c>
      <c r="B226" s="197">
        <v>180</v>
      </c>
      <c r="C226" s="165">
        <v>22</v>
      </c>
      <c r="D226" s="165">
        <v>41</v>
      </c>
      <c r="E226" s="197">
        <v>0.9</v>
      </c>
      <c r="F226" s="197">
        <v>0.2</v>
      </c>
      <c r="G226" s="197">
        <f t="shared" si="37"/>
        <v>1.4736568804805128</v>
      </c>
      <c r="H226" s="165">
        <f t="shared" si="38"/>
        <v>15.585441154458964</v>
      </c>
      <c r="I226" s="165">
        <f t="shared" si="39"/>
        <v>11.549239974416917</v>
      </c>
      <c r="J226" s="165">
        <f t="shared" si="40"/>
        <v>707390.94843303622</v>
      </c>
      <c r="L226" s="165" t="str">
        <f t="shared" si="41"/>
        <v/>
      </c>
      <c r="M226" s="165" t="str">
        <f t="shared" si="42"/>
        <v/>
      </c>
      <c r="N226" s="165" t="str">
        <f t="shared" si="43"/>
        <v/>
      </c>
      <c r="O226" s="165" t="str">
        <f t="shared" si="44"/>
        <v/>
      </c>
      <c r="P226" s="165" t="str">
        <f t="shared" si="45"/>
        <v/>
      </c>
      <c r="Q226" s="165" t="str">
        <f t="shared" si="46"/>
        <v/>
      </c>
      <c r="R226" s="165" t="str">
        <f t="shared" si="47"/>
        <v/>
      </c>
      <c r="S226" s="165" t="str">
        <f t="shared" si="48"/>
        <v/>
      </c>
    </row>
    <row r="227" spans="1:19" ht="16.5" customHeight="1">
      <c r="A227" s="197">
        <v>350</v>
      </c>
      <c r="B227" s="197">
        <v>180</v>
      </c>
      <c r="C227" s="165">
        <v>25</v>
      </c>
      <c r="D227" s="165">
        <v>36</v>
      </c>
      <c r="E227" s="197">
        <v>0.85</v>
      </c>
      <c r="F227" s="197">
        <v>0.2</v>
      </c>
      <c r="G227" s="197">
        <f t="shared" si="37"/>
        <v>1.4736568804805128</v>
      </c>
      <c r="H227" s="165">
        <f t="shared" si="38"/>
        <v>17.67145867644259</v>
      </c>
      <c r="I227" s="165">
        <f t="shared" si="39"/>
        <v>10.1859163578813</v>
      </c>
      <c r="J227" s="165">
        <f t="shared" si="40"/>
        <v>623887.37692022964</v>
      </c>
      <c r="L227" s="165" t="str">
        <f t="shared" si="41"/>
        <v/>
      </c>
      <c r="M227" s="165" t="str">
        <f t="shared" si="42"/>
        <v/>
      </c>
      <c r="N227" s="165" t="str">
        <f t="shared" si="43"/>
        <v/>
      </c>
      <c r="O227" s="165" t="str">
        <f t="shared" si="44"/>
        <v/>
      </c>
      <c r="P227" s="165" t="str">
        <f t="shared" si="45"/>
        <v/>
      </c>
      <c r="Q227" s="165" t="str">
        <f t="shared" si="46"/>
        <v/>
      </c>
      <c r="R227" s="165" t="str">
        <f t="shared" si="47"/>
        <v/>
      </c>
      <c r="S227" s="165" t="str">
        <f t="shared" si="48"/>
        <v/>
      </c>
    </row>
    <row r="228" spans="1:19" ht="16.5" customHeight="1">
      <c r="A228" s="197">
        <v>350</v>
      </c>
      <c r="B228" s="197">
        <v>220</v>
      </c>
      <c r="C228" s="165">
        <v>22</v>
      </c>
      <c r="D228" s="165">
        <v>45</v>
      </c>
      <c r="E228" s="197">
        <v>1.17</v>
      </c>
      <c r="F228" s="197">
        <v>0.2</v>
      </c>
      <c r="G228" s="197">
        <f t="shared" si="37"/>
        <v>1.2057192658476923</v>
      </c>
      <c r="H228" s="165">
        <f t="shared" si="38"/>
        <v>17.105971998796424</v>
      </c>
      <c r="I228" s="165">
        <f t="shared" si="39"/>
        <v>12.861005502375381</v>
      </c>
      <c r="J228" s="165">
        <f t="shared" si="40"/>
        <v>787736.58702049206</v>
      </c>
      <c r="L228" s="165" t="str">
        <f t="shared" si="41"/>
        <v/>
      </c>
      <c r="M228" s="165" t="str">
        <f t="shared" si="42"/>
        <v/>
      </c>
      <c r="N228" s="165" t="str">
        <f t="shared" si="43"/>
        <v/>
      </c>
      <c r="O228" s="165" t="str">
        <f t="shared" si="44"/>
        <v/>
      </c>
      <c r="P228" s="165" t="str">
        <f t="shared" si="45"/>
        <v/>
      </c>
      <c r="Q228" s="165" t="str">
        <f t="shared" si="46"/>
        <v/>
      </c>
      <c r="R228" s="165" t="str">
        <f t="shared" si="47"/>
        <v/>
      </c>
      <c r="S228" s="165" t="str">
        <f t="shared" si="48"/>
        <v/>
      </c>
    </row>
    <row r="229" spans="1:19" ht="16.5" customHeight="1">
      <c r="A229" s="197">
        <v>350</v>
      </c>
      <c r="B229" s="197">
        <v>220</v>
      </c>
      <c r="C229" s="165">
        <v>25</v>
      </c>
      <c r="D229" s="165">
        <v>41</v>
      </c>
      <c r="E229" s="197">
        <v>1.06</v>
      </c>
      <c r="F229" s="197">
        <v>0.2</v>
      </c>
      <c r="G229" s="197">
        <f t="shared" si="37"/>
        <v>1.2057192658476923</v>
      </c>
      <c r="H229" s="165">
        <f t="shared" si="38"/>
        <v>20.125827937059615</v>
      </c>
      <c r="I229" s="165">
        <f t="shared" si="39"/>
        <v>10.931227310897006</v>
      </c>
      <c r="J229" s="165">
        <f t="shared" si="40"/>
        <v>669537.67279244156</v>
      </c>
      <c r="L229" s="165" t="str">
        <f t="shared" si="41"/>
        <v/>
      </c>
      <c r="M229" s="165" t="str">
        <f t="shared" si="42"/>
        <v/>
      </c>
      <c r="N229" s="165" t="str">
        <f t="shared" si="43"/>
        <v/>
      </c>
      <c r="O229" s="165" t="str">
        <f t="shared" si="44"/>
        <v/>
      </c>
      <c r="P229" s="165" t="str">
        <f t="shared" si="45"/>
        <v/>
      </c>
      <c r="Q229" s="165" t="str">
        <f t="shared" si="46"/>
        <v/>
      </c>
      <c r="R229" s="165" t="str">
        <f t="shared" si="47"/>
        <v/>
      </c>
      <c r="S229" s="165" t="str">
        <f t="shared" si="48"/>
        <v/>
      </c>
    </row>
    <row r="230" spans="1:19" ht="16.5" customHeight="1">
      <c r="A230" s="197">
        <v>350</v>
      </c>
      <c r="B230" s="197">
        <v>270</v>
      </c>
      <c r="C230" s="165">
        <v>25</v>
      </c>
      <c r="D230" s="165">
        <v>46</v>
      </c>
      <c r="E230" s="197">
        <v>1.6</v>
      </c>
      <c r="F230" s="197">
        <v>0.2</v>
      </c>
      <c r="G230" s="197">
        <f t="shared" si="37"/>
        <v>0.98243792032034172</v>
      </c>
      <c r="H230" s="165">
        <f t="shared" si="38"/>
        <v>22.58019719767664</v>
      </c>
      <c r="I230" s="165">
        <f t="shared" si="39"/>
        <v>11.957380072295441</v>
      </c>
      <c r="J230" s="165">
        <f t="shared" si="40"/>
        <v>732389.52942809579</v>
      </c>
      <c r="L230" s="165" t="str">
        <f t="shared" si="41"/>
        <v/>
      </c>
      <c r="M230" s="165" t="str">
        <f t="shared" si="42"/>
        <v/>
      </c>
      <c r="N230" s="165" t="str">
        <f t="shared" si="43"/>
        <v/>
      </c>
      <c r="O230" s="165" t="str">
        <f t="shared" si="44"/>
        <v/>
      </c>
      <c r="P230" s="165" t="str">
        <f t="shared" si="45"/>
        <v/>
      </c>
      <c r="Q230" s="165" t="str">
        <f t="shared" si="46"/>
        <v/>
      </c>
      <c r="R230" s="165" t="str">
        <f t="shared" si="47"/>
        <v/>
      </c>
      <c r="S230" s="165" t="str">
        <f t="shared" si="48"/>
        <v/>
      </c>
    </row>
    <row r="231" spans="1:19" ht="16.5" customHeight="1">
      <c r="A231" s="197">
        <v>350</v>
      </c>
      <c r="B231" s="197">
        <v>270</v>
      </c>
      <c r="C231" s="165">
        <v>30</v>
      </c>
      <c r="D231" s="165">
        <v>36</v>
      </c>
      <c r="E231" s="197">
        <v>1.4</v>
      </c>
      <c r="F231" s="197">
        <v>0.2</v>
      </c>
      <c r="G231" s="197">
        <f t="shared" si="37"/>
        <v>0.98243792032034172</v>
      </c>
      <c r="H231" s="165">
        <f t="shared" si="38"/>
        <v>25.446900494077326</v>
      </c>
      <c r="I231" s="165">
        <f t="shared" si="39"/>
        <v>10.610329539459689</v>
      </c>
      <c r="J231" s="165">
        <f t="shared" si="40"/>
        <v>649882.68429190596</v>
      </c>
      <c r="L231" s="165" t="str">
        <f t="shared" si="41"/>
        <v/>
      </c>
      <c r="M231" s="165" t="str">
        <f t="shared" si="42"/>
        <v/>
      </c>
      <c r="N231" s="165" t="str">
        <f t="shared" si="43"/>
        <v/>
      </c>
      <c r="O231" s="165" t="str">
        <f t="shared" si="44"/>
        <v/>
      </c>
      <c r="P231" s="165" t="str">
        <f t="shared" si="45"/>
        <v/>
      </c>
      <c r="Q231" s="165" t="str">
        <f t="shared" si="46"/>
        <v/>
      </c>
      <c r="R231" s="165" t="str">
        <f t="shared" si="47"/>
        <v/>
      </c>
      <c r="S231" s="165" t="str">
        <f t="shared" si="48"/>
        <v/>
      </c>
    </row>
    <row r="232" spans="1:19" ht="16.5" customHeight="1">
      <c r="A232" s="197">
        <v>350</v>
      </c>
      <c r="B232" s="197">
        <v>330</v>
      </c>
      <c r="C232" s="165">
        <v>25</v>
      </c>
      <c r="D232" s="165">
        <v>50</v>
      </c>
      <c r="E232" s="197">
        <v>1.6</v>
      </c>
      <c r="F232" s="197">
        <v>0.2</v>
      </c>
      <c r="G232" s="197">
        <f t="shared" si="37"/>
        <v>0.80381284389846153</v>
      </c>
      <c r="H232" s="165">
        <f t="shared" si="38"/>
        <v>24.543692606170257</v>
      </c>
      <c r="I232" s="165">
        <f t="shared" si="39"/>
        <v>13.445409592403319</v>
      </c>
      <c r="J232" s="165">
        <f t="shared" si="40"/>
        <v>823531.33753470331</v>
      </c>
      <c r="L232" s="165" t="str">
        <f t="shared" si="41"/>
        <v/>
      </c>
      <c r="M232" s="165" t="str">
        <f t="shared" si="42"/>
        <v/>
      </c>
      <c r="N232" s="165" t="str">
        <f t="shared" si="43"/>
        <v/>
      </c>
      <c r="O232" s="165" t="str">
        <f t="shared" si="44"/>
        <v/>
      </c>
      <c r="P232" s="165" t="str">
        <f t="shared" si="45"/>
        <v/>
      </c>
      <c r="Q232" s="165" t="str">
        <f t="shared" si="46"/>
        <v/>
      </c>
      <c r="R232" s="165" t="str">
        <f t="shared" si="47"/>
        <v/>
      </c>
      <c r="S232" s="165" t="str">
        <f t="shared" si="48"/>
        <v/>
      </c>
    </row>
    <row r="233" spans="1:19" ht="16.5" customHeight="1">
      <c r="A233" s="197">
        <v>350</v>
      </c>
      <c r="B233" s="197">
        <v>330</v>
      </c>
      <c r="C233" s="165">
        <v>30</v>
      </c>
      <c r="D233" s="165">
        <v>41</v>
      </c>
      <c r="E233" s="197">
        <v>1.53</v>
      </c>
      <c r="F233" s="197">
        <v>0.2</v>
      </c>
      <c r="G233" s="197">
        <f t="shared" si="37"/>
        <v>0.80381284389846153</v>
      </c>
      <c r="H233" s="165">
        <f t="shared" si="38"/>
        <v>28.981192229365845</v>
      </c>
      <c r="I233" s="165">
        <f t="shared" si="39"/>
        <v>11.386695115517714</v>
      </c>
      <c r="J233" s="165">
        <f t="shared" si="40"/>
        <v>697435.07582546002</v>
      </c>
      <c r="L233" s="165" t="str">
        <f t="shared" si="41"/>
        <v/>
      </c>
      <c r="M233" s="165" t="str">
        <f t="shared" si="42"/>
        <v/>
      </c>
      <c r="N233" s="165" t="str">
        <f t="shared" si="43"/>
        <v/>
      </c>
      <c r="O233" s="165" t="str">
        <f t="shared" si="44"/>
        <v/>
      </c>
      <c r="P233" s="165" t="str">
        <f t="shared" si="45"/>
        <v/>
      </c>
      <c r="Q233" s="165" t="str">
        <f t="shared" si="46"/>
        <v/>
      </c>
      <c r="R233" s="165" t="str">
        <f t="shared" si="47"/>
        <v/>
      </c>
      <c r="S233" s="165" t="str">
        <f t="shared" si="48"/>
        <v/>
      </c>
    </row>
    <row r="234" spans="1:19" ht="16.5" customHeight="1">
      <c r="A234" s="197">
        <v>350</v>
      </c>
      <c r="B234" s="197">
        <v>390</v>
      </c>
      <c r="C234" s="165">
        <v>25</v>
      </c>
      <c r="D234" s="165">
        <v>50</v>
      </c>
      <c r="E234" s="197">
        <v>2</v>
      </c>
      <c r="F234" s="197">
        <v>0.2</v>
      </c>
      <c r="G234" s="197">
        <f t="shared" si="37"/>
        <v>0.68014932945254436</v>
      </c>
      <c r="H234" s="165">
        <f t="shared" si="38"/>
        <v>24.543692606170257</v>
      </c>
      <c r="I234" s="165">
        <f t="shared" si="39"/>
        <v>15.890029518294831</v>
      </c>
      <c r="J234" s="165">
        <f t="shared" si="40"/>
        <v>973264.30799555837</v>
      </c>
      <c r="L234" s="165" t="str">
        <f t="shared" si="41"/>
        <v/>
      </c>
      <c r="M234" s="165" t="str">
        <f t="shared" si="42"/>
        <v/>
      </c>
      <c r="N234" s="165" t="str">
        <f t="shared" si="43"/>
        <v/>
      </c>
      <c r="O234" s="165" t="str">
        <f t="shared" si="44"/>
        <v/>
      </c>
      <c r="P234" s="165" t="str">
        <f t="shared" si="45"/>
        <v/>
      </c>
      <c r="Q234" s="165" t="str">
        <f t="shared" si="46"/>
        <v/>
      </c>
      <c r="R234" s="165" t="str">
        <f t="shared" si="47"/>
        <v/>
      </c>
      <c r="S234" s="165" t="str">
        <f t="shared" si="48"/>
        <v/>
      </c>
    </row>
    <row r="235" spans="1:19" ht="16.5" customHeight="1">
      <c r="A235" s="197">
        <v>350</v>
      </c>
      <c r="B235" s="197">
        <v>390</v>
      </c>
      <c r="C235" s="165">
        <v>30</v>
      </c>
      <c r="D235" s="165">
        <v>46</v>
      </c>
      <c r="E235" s="197">
        <v>1.85</v>
      </c>
      <c r="F235" s="197">
        <v>0.2</v>
      </c>
      <c r="G235" s="197">
        <f t="shared" si="37"/>
        <v>0.68014932945254436</v>
      </c>
      <c r="H235" s="165">
        <f t="shared" si="38"/>
        <v>32.515483964654358</v>
      </c>
      <c r="I235" s="165">
        <f t="shared" si="39"/>
        <v>11.994285566345736</v>
      </c>
      <c r="J235" s="165">
        <f t="shared" si="40"/>
        <v>734649.99093867629</v>
      </c>
      <c r="L235" s="165" t="str">
        <f t="shared" si="41"/>
        <v/>
      </c>
      <c r="M235" s="165" t="str">
        <f t="shared" si="42"/>
        <v/>
      </c>
      <c r="N235" s="165" t="str">
        <f t="shared" si="43"/>
        <v/>
      </c>
      <c r="O235" s="165" t="str">
        <f t="shared" si="44"/>
        <v/>
      </c>
      <c r="P235" s="165" t="str">
        <f t="shared" si="45"/>
        <v/>
      </c>
      <c r="Q235" s="165" t="str">
        <f t="shared" si="46"/>
        <v/>
      </c>
      <c r="R235" s="165" t="str">
        <f t="shared" si="47"/>
        <v/>
      </c>
      <c r="S235" s="165" t="str">
        <f t="shared" si="48"/>
        <v/>
      </c>
    </row>
    <row r="236" spans="1:19" ht="16.5" customHeight="1">
      <c r="A236" s="197">
        <v>350</v>
      </c>
      <c r="B236" s="197">
        <v>470</v>
      </c>
      <c r="C236" s="165">
        <v>30</v>
      </c>
      <c r="D236" s="165">
        <v>50</v>
      </c>
      <c r="E236" s="197">
        <v>2.0099999999999998</v>
      </c>
      <c r="F236" s="197">
        <v>0.2</v>
      </c>
      <c r="G236" s="197">
        <f t="shared" si="37"/>
        <v>0.564379230822324</v>
      </c>
      <c r="H236" s="165">
        <f t="shared" si="38"/>
        <v>35.342917352885173</v>
      </c>
      <c r="I236" s="165">
        <f t="shared" si="39"/>
        <v>13.298279689456145</v>
      </c>
      <c r="J236" s="165">
        <f t="shared" si="40"/>
        <v>814519.63097918883</v>
      </c>
      <c r="L236" s="165" t="str">
        <f t="shared" si="41"/>
        <v/>
      </c>
      <c r="M236" s="165" t="str">
        <f t="shared" si="42"/>
        <v/>
      </c>
      <c r="N236" s="165" t="str">
        <f t="shared" si="43"/>
        <v/>
      </c>
      <c r="O236" s="165" t="str">
        <f t="shared" si="44"/>
        <v/>
      </c>
      <c r="P236" s="165" t="str">
        <f t="shared" si="45"/>
        <v/>
      </c>
      <c r="Q236" s="165" t="str">
        <f t="shared" si="46"/>
        <v/>
      </c>
      <c r="R236" s="165" t="str">
        <f t="shared" si="47"/>
        <v/>
      </c>
      <c r="S236" s="165" t="str">
        <f t="shared" si="48"/>
        <v/>
      </c>
    </row>
    <row r="237" spans="1:19" ht="16.5" customHeight="1">
      <c r="A237" s="197">
        <v>350</v>
      </c>
      <c r="B237" s="197">
        <v>470</v>
      </c>
      <c r="C237" s="165">
        <v>35</v>
      </c>
      <c r="D237" s="165">
        <v>40</v>
      </c>
      <c r="E237" s="197">
        <v>1.92</v>
      </c>
      <c r="F237" s="197">
        <v>0.2</v>
      </c>
      <c r="G237" s="197">
        <f t="shared" si="37"/>
        <v>0.564379230822324</v>
      </c>
      <c r="H237" s="165">
        <f t="shared" si="38"/>
        <v>38.48451000647497</v>
      </c>
      <c r="I237" s="165">
        <f t="shared" si="39"/>
        <v>12.212705837255641</v>
      </c>
      <c r="J237" s="165">
        <f t="shared" si="40"/>
        <v>748028.23253190797</v>
      </c>
      <c r="L237" s="165" t="str">
        <f t="shared" si="41"/>
        <v/>
      </c>
      <c r="M237" s="165" t="str">
        <f t="shared" si="42"/>
        <v/>
      </c>
      <c r="N237" s="165" t="str">
        <f t="shared" si="43"/>
        <v/>
      </c>
      <c r="O237" s="165" t="str">
        <f t="shared" si="44"/>
        <v/>
      </c>
      <c r="P237" s="165" t="str">
        <f t="shared" si="45"/>
        <v/>
      </c>
      <c r="Q237" s="165" t="str">
        <f t="shared" si="46"/>
        <v/>
      </c>
      <c r="R237" s="165" t="str">
        <f t="shared" si="47"/>
        <v/>
      </c>
      <c r="S237" s="165" t="str">
        <f t="shared" si="48"/>
        <v/>
      </c>
    </row>
    <row r="238" spans="1:19" ht="16.5" customHeight="1">
      <c r="A238" s="197">
        <v>350</v>
      </c>
      <c r="B238" s="197">
        <v>560</v>
      </c>
      <c r="C238" s="165">
        <v>35</v>
      </c>
      <c r="D238" s="165">
        <v>45</v>
      </c>
      <c r="E238" s="197">
        <v>2.31</v>
      </c>
      <c r="F238" s="197">
        <v>0.2</v>
      </c>
      <c r="G238" s="197">
        <f t="shared" si="37"/>
        <v>0.47367542586873623</v>
      </c>
      <c r="H238" s="165">
        <f t="shared" si="38"/>
        <v>43.295073757284335</v>
      </c>
      <c r="I238" s="165">
        <f t="shared" si="39"/>
        <v>12.934496962388955</v>
      </c>
      <c r="J238" s="165">
        <f t="shared" si="40"/>
        <v>792237.93894632347</v>
      </c>
      <c r="L238" s="165" t="str">
        <f t="shared" si="41"/>
        <v/>
      </c>
      <c r="M238" s="165" t="str">
        <f t="shared" si="42"/>
        <v/>
      </c>
      <c r="N238" s="165" t="str">
        <f t="shared" si="43"/>
        <v/>
      </c>
      <c r="O238" s="165" t="str">
        <f t="shared" si="44"/>
        <v/>
      </c>
      <c r="P238" s="165" t="str">
        <f t="shared" si="45"/>
        <v/>
      </c>
      <c r="Q238" s="165" t="str">
        <f t="shared" si="46"/>
        <v/>
      </c>
      <c r="R238" s="165" t="str">
        <f t="shared" si="47"/>
        <v/>
      </c>
      <c r="S238" s="165" t="str">
        <f t="shared" si="48"/>
        <v/>
      </c>
    </row>
    <row r="239" spans="1:19" ht="16.5" customHeight="1">
      <c r="A239" s="197">
        <v>350</v>
      </c>
      <c r="B239" s="197">
        <v>680</v>
      </c>
      <c r="C239" s="165">
        <v>35</v>
      </c>
      <c r="D239" s="165">
        <v>52</v>
      </c>
      <c r="E239" s="197">
        <v>2.9</v>
      </c>
      <c r="F239" s="197">
        <v>0.2</v>
      </c>
      <c r="G239" s="197">
        <f t="shared" si="37"/>
        <v>0.39008564483307689</v>
      </c>
      <c r="H239" s="165">
        <f t="shared" si="38"/>
        <v>50.029863008417465</v>
      </c>
      <c r="I239" s="165">
        <f t="shared" si="39"/>
        <v>13.591882110202677</v>
      </c>
      <c r="J239" s="165">
        <f t="shared" si="40"/>
        <v>832502.77924991399</v>
      </c>
      <c r="L239" s="165" t="str">
        <f t="shared" si="41"/>
        <v/>
      </c>
      <c r="M239" s="165" t="str">
        <f t="shared" si="42"/>
        <v/>
      </c>
      <c r="N239" s="165" t="str">
        <f t="shared" si="43"/>
        <v/>
      </c>
      <c r="O239" s="165" t="str">
        <f t="shared" si="44"/>
        <v/>
      </c>
      <c r="P239" s="165" t="str">
        <f t="shared" si="45"/>
        <v/>
      </c>
      <c r="Q239" s="165" t="str">
        <f t="shared" si="46"/>
        <v/>
      </c>
      <c r="R239" s="165" t="str">
        <f t="shared" si="47"/>
        <v/>
      </c>
      <c r="S239" s="165" t="str">
        <f t="shared" si="48"/>
        <v/>
      </c>
    </row>
    <row r="240" spans="1:19" ht="16.5" customHeight="1">
      <c r="A240" s="197">
        <v>400</v>
      </c>
      <c r="B240" s="197">
        <v>47</v>
      </c>
      <c r="C240" s="165">
        <v>22</v>
      </c>
      <c r="D240" s="165">
        <v>25</v>
      </c>
      <c r="E240" s="197">
        <v>0.38</v>
      </c>
      <c r="F240" s="197">
        <v>0.2</v>
      </c>
      <c r="G240" s="197">
        <f t="shared" si="37"/>
        <v>5.6437923082232411</v>
      </c>
      <c r="H240" s="165">
        <f t="shared" si="38"/>
        <v>9.5033177771091246</v>
      </c>
      <c r="I240" s="165">
        <f t="shared" si="39"/>
        <v>4.9456412068225326</v>
      </c>
      <c r="J240" s="165">
        <f t="shared" si="40"/>
        <v>395651.29654580262</v>
      </c>
      <c r="L240" s="165">
        <f t="shared" si="41"/>
        <v>61.820515085281656</v>
      </c>
      <c r="M240" s="165">
        <f t="shared" si="42"/>
        <v>14407.029750097432</v>
      </c>
      <c r="N240" s="165" t="str">
        <f t="shared" si="43"/>
        <v/>
      </c>
      <c r="O240" s="165" t="str">
        <f t="shared" si="44"/>
        <v/>
      </c>
      <c r="P240" s="165" t="str">
        <f t="shared" si="45"/>
        <v/>
      </c>
      <c r="Q240" s="165" t="str">
        <f t="shared" si="46"/>
        <v/>
      </c>
      <c r="R240" s="165" t="str">
        <f t="shared" si="47"/>
        <v/>
      </c>
      <c r="S240" s="165" t="str">
        <f t="shared" si="48"/>
        <v/>
      </c>
    </row>
    <row r="241" spans="1:19" ht="16.5" customHeight="1">
      <c r="A241" s="197">
        <v>400</v>
      </c>
      <c r="B241" s="197">
        <v>47</v>
      </c>
      <c r="C241" s="165">
        <v>35</v>
      </c>
      <c r="D241" s="165">
        <v>30</v>
      </c>
      <c r="E241" s="197">
        <v>0.28000000000000003</v>
      </c>
      <c r="F241" s="197">
        <v>0.2</v>
      </c>
      <c r="G241" s="197">
        <f t="shared" si="37"/>
        <v>5.6437923082232411</v>
      </c>
      <c r="H241" s="165">
        <f t="shared" si="38"/>
        <v>28.863382504856222</v>
      </c>
      <c r="I241" s="165">
        <f t="shared" si="39"/>
        <v>1.6283607783007525</v>
      </c>
      <c r="J241" s="165">
        <f t="shared" si="40"/>
        <v>130268.8622640602</v>
      </c>
      <c r="L241" s="165" t="str">
        <f t="shared" si="41"/>
        <v/>
      </c>
      <c r="M241" s="165" t="str">
        <f t="shared" si="42"/>
        <v/>
      </c>
      <c r="N241" s="165" t="str">
        <f t="shared" si="43"/>
        <v/>
      </c>
      <c r="O241" s="165" t="str">
        <f t="shared" si="44"/>
        <v/>
      </c>
      <c r="P241" s="165" t="str">
        <f t="shared" si="45"/>
        <v/>
      </c>
      <c r="Q241" s="165" t="str">
        <f t="shared" si="46"/>
        <v/>
      </c>
      <c r="R241" s="165" t="str">
        <f t="shared" si="47"/>
        <v/>
      </c>
      <c r="S241" s="165" t="str">
        <f t="shared" si="48"/>
        <v/>
      </c>
    </row>
    <row r="242" spans="1:19" ht="16.5" customHeight="1">
      <c r="A242" s="197">
        <v>400</v>
      </c>
      <c r="B242" s="197">
        <v>68</v>
      </c>
      <c r="C242" s="165">
        <v>22</v>
      </c>
      <c r="D242" s="165">
        <v>25</v>
      </c>
      <c r="E242" s="197">
        <v>0.51</v>
      </c>
      <c r="F242" s="197">
        <v>0.2</v>
      </c>
      <c r="G242" s="197">
        <f t="shared" si="37"/>
        <v>3.9008564483307691</v>
      </c>
      <c r="H242" s="165">
        <f t="shared" si="38"/>
        <v>9.5033177771091246</v>
      </c>
      <c r="I242" s="165">
        <f t="shared" si="39"/>
        <v>7.1553957885943023</v>
      </c>
      <c r="J242" s="165">
        <f t="shared" si="40"/>
        <v>572431.66308754415</v>
      </c>
      <c r="L242" s="165">
        <f t="shared" si="41"/>
        <v>89.442447357428776</v>
      </c>
      <c r="M242" s="165">
        <f t="shared" si="42"/>
        <v>9959.4770304103622</v>
      </c>
      <c r="N242" s="165" t="str">
        <f t="shared" si="43"/>
        <v/>
      </c>
      <c r="O242" s="165" t="str">
        <f t="shared" si="44"/>
        <v/>
      </c>
      <c r="P242" s="165" t="str">
        <f t="shared" si="45"/>
        <v/>
      </c>
      <c r="Q242" s="165" t="str">
        <f t="shared" si="46"/>
        <v/>
      </c>
      <c r="R242" s="165" t="str">
        <f t="shared" si="47"/>
        <v/>
      </c>
      <c r="S242" s="165" t="str">
        <f t="shared" si="48"/>
        <v/>
      </c>
    </row>
    <row r="243" spans="1:19" ht="16.5" customHeight="1">
      <c r="A243" s="197">
        <v>400</v>
      </c>
      <c r="B243" s="197">
        <v>82</v>
      </c>
      <c r="C243" s="165">
        <v>22</v>
      </c>
      <c r="D243" s="165">
        <v>25</v>
      </c>
      <c r="E243" s="197">
        <v>0.6</v>
      </c>
      <c r="F243" s="197">
        <v>0.2</v>
      </c>
      <c r="G243" s="197">
        <f t="shared" si="37"/>
        <v>3.2348565669084421</v>
      </c>
      <c r="H243" s="165">
        <f t="shared" si="38"/>
        <v>9.5033177771091246</v>
      </c>
      <c r="I243" s="165">
        <f t="shared" si="39"/>
        <v>8.6285655097754823</v>
      </c>
      <c r="J243" s="165">
        <f t="shared" si="40"/>
        <v>690285.24078203854</v>
      </c>
      <c r="L243" s="165">
        <f t="shared" si="41"/>
        <v>107.85706887219352</v>
      </c>
      <c r="M243" s="165">
        <f t="shared" si="42"/>
        <v>8258.3831483078302</v>
      </c>
      <c r="N243" s="165" t="str">
        <f t="shared" si="43"/>
        <v/>
      </c>
      <c r="O243" s="165" t="str">
        <f t="shared" si="44"/>
        <v/>
      </c>
      <c r="P243" s="165" t="str">
        <f t="shared" si="45"/>
        <v/>
      </c>
      <c r="Q243" s="165" t="str">
        <f t="shared" si="46"/>
        <v/>
      </c>
      <c r="R243" s="165" t="str">
        <f t="shared" si="47"/>
        <v/>
      </c>
      <c r="S243" s="165" t="str">
        <f t="shared" si="48"/>
        <v/>
      </c>
    </row>
    <row r="244" spans="1:19" ht="16.5" customHeight="1">
      <c r="A244" s="197">
        <v>400</v>
      </c>
      <c r="B244" s="197">
        <v>100</v>
      </c>
      <c r="C244" s="165">
        <v>22</v>
      </c>
      <c r="D244" s="165">
        <v>30</v>
      </c>
      <c r="E244" s="197">
        <v>0.68</v>
      </c>
      <c r="F244" s="197">
        <v>0.2</v>
      </c>
      <c r="G244" s="197">
        <f t="shared" si="37"/>
        <v>2.6525823848649224</v>
      </c>
      <c r="H244" s="165">
        <f t="shared" si="38"/>
        <v>11.403981332530948</v>
      </c>
      <c r="I244" s="165">
        <f t="shared" si="39"/>
        <v>8.7688673879832155</v>
      </c>
      <c r="J244" s="165">
        <f t="shared" si="40"/>
        <v>701509.39103865728</v>
      </c>
      <c r="L244" s="165" t="str">
        <f t="shared" si="41"/>
        <v/>
      </c>
      <c r="M244" s="165" t="str">
        <f t="shared" si="42"/>
        <v/>
      </c>
      <c r="N244" s="165" t="str">
        <f t="shared" si="43"/>
        <v/>
      </c>
      <c r="O244" s="165" t="str">
        <f t="shared" si="44"/>
        <v/>
      </c>
      <c r="P244" s="165" t="str">
        <f t="shared" si="45"/>
        <v/>
      </c>
      <c r="Q244" s="165" t="str">
        <f t="shared" si="46"/>
        <v/>
      </c>
      <c r="R244" s="165" t="str">
        <f t="shared" si="47"/>
        <v/>
      </c>
      <c r="S244" s="165" t="str">
        <f t="shared" si="48"/>
        <v/>
      </c>
    </row>
    <row r="245" spans="1:19" ht="16.5" customHeight="1">
      <c r="A245" s="197">
        <v>400</v>
      </c>
      <c r="B245" s="197">
        <v>100</v>
      </c>
      <c r="C245" s="165">
        <v>25</v>
      </c>
      <c r="D245" s="165">
        <v>25</v>
      </c>
      <c r="E245" s="197">
        <v>0.65</v>
      </c>
      <c r="F245" s="197">
        <v>0.2</v>
      </c>
      <c r="G245" s="197">
        <f t="shared" si="37"/>
        <v>2.6525823848649224</v>
      </c>
      <c r="H245" s="165">
        <f t="shared" si="38"/>
        <v>12.271846303085129</v>
      </c>
      <c r="I245" s="165">
        <f t="shared" si="39"/>
        <v>8.1487330863050413</v>
      </c>
      <c r="J245" s="165">
        <f t="shared" si="40"/>
        <v>651898.64690440334</v>
      </c>
      <c r="L245" s="165">
        <f t="shared" si="41"/>
        <v>101.85916357881301</v>
      </c>
      <c r="M245" s="165">
        <f t="shared" si="42"/>
        <v>8749.8264140996962</v>
      </c>
      <c r="N245" s="165" t="str">
        <f t="shared" si="43"/>
        <v/>
      </c>
      <c r="O245" s="165" t="str">
        <f t="shared" si="44"/>
        <v/>
      </c>
      <c r="P245" s="165" t="str">
        <f t="shared" si="45"/>
        <v/>
      </c>
      <c r="Q245" s="165" t="str">
        <f t="shared" si="46"/>
        <v/>
      </c>
      <c r="R245" s="165" t="str">
        <f t="shared" si="47"/>
        <v/>
      </c>
      <c r="S245" s="165" t="str">
        <f t="shared" si="48"/>
        <v/>
      </c>
    </row>
    <row r="246" spans="1:19" ht="16.5" customHeight="1">
      <c r="A246" s="197">
        <v>400</v>
      </c>
      <c r="B246" s="197">
        <v>120</v>
      </c>
      <c r="C246" s="165">
        <v>22</v>
      </c>
      <c r="D246" s="165">
        <v>31</v>
      </c>
      <c r="E246" s="197">
        <v>0.9</v>
      </c>
      <c r="F246" s="197">
        <v>0.2</v>
      </c>
      <c r="G246" s="197">
        <f t="shared" si="37"/>
        <v>2.2104853207207689</v>
      </c>
      <c r="H246" s="165">
        <f t="shared" si="38"/>
        <v>11.784114043615313</v>
      </c>
      <c r="I246" s="165">
        <f t="shared" si="39"/>
        <v>10.183200837657928</v>
      </c>
      <c r="J246" s="165">
        <f t="shared" si="40"/>
        <v>814656.06701263424</v>
      </c>
      <c r="L246" s="165" t="str">
        <f t="shared" si="41"/>
        <v/>
      </c>
      <c r="M246" s="165" t="str">
        <f t="shared" si="42"/>
        <v/>
      </c>
      <c r="N246" s="165" t="str">
        <f t="shared" si="43"/>
        <v/>
      </c>
      <c r="O246" s="165" t="str">
        <f t="shared" si="44"/>
        <v/>
      </c>
      <c r="P246" s="165" t="str">
        <f t="shared" si="45"/>
        <v/>
      </c>
      <c r="Q246" s="165" t="str">
        <f t="shared" si="46"/>
        <v/>
      </c>
      <c r="R246" s="165" t="str">
        <f t="shared" si="47"/>
        <v/>
      </c>
      <c r="S246" s="165" t="str">
        <f t="shared" si="48"/>
        <v/>
      </c>
    </row>
    <row r="247" spans="1:19" ht="16.5" customHeight="1">
      <c r="A247" s="197">
        <v>400</v>
      </c>
      <c r="B247" s="197">
        <v>120</v>
      </c>
      <c r="C247" s="165">
        <v>25</v>
      </c>
      <c r="D247" s="165">
        <v>30</v>
      </c>
      <c r="E247" s="197">
        <v>0.9</v>
      </c>
      <c r="F247" s="197">
        <v>0.2</v>
      </c>
      <c r="G247" s="197">
        <f t="shared" si="37"/>
        <v>2.2104853207207689</v>
      </c>
      <c r="H247" s="165">
        <f t="shared" si="38"/>
        <v>14.726215563702155</v>
      </c>
      <c r="I247" s="165">
        <f t="shared" si="39"/>
        <v>8.1487330863050413</v>
      </c>
      <c r="J247" s="165">
        <f t="shared" si="40"/>
        <v>651898.64690440334</v>
      </c>
      <c r="L247" s="165" t="str">
        <f t="shared" si="41"/>
        <v/>
      </c>
      <c r="M247" s="165" t="str">
        <f t="shared" si="42"/>
        <v/>
      </c>
      <c r="N247" s="165" t="str">
        <f t="shared" si="43"/>
        <v/>
      </c>
      <c r="O247" s="165" t="str">
        <f t="shared" si="44"/>
        <v/>
      </c>
      <c r="P247" s="165" t="str">
        <f t="shared" si="45"/>
        <v/>
      </c>
      <c r="Q247" s="165" t="str">
        <f t="shared" si="46"/>
        <v/>
      </c>
      <c r="R247" s="165" t="str">
        <f t="shared" si="47"/>
        <v/>
      </c>
      <c r="S247" s="165" t="str">
        <f t="shared" si="48"/>
        <v/>
      </c>
    </row>
    <row r="248" spans="1:19" ht="16.5" customHeight="1">
      <c r="A248" s="197">
        <v>400</v>
      </c>
      <c r="B248" s="197">
        <v>150</v>
      </c>
      <c r="C248" s="165">
        <v>22</v>
      </c>
      <c r="D248" s="165">
        <v>41</v>
      </c>
      <c r="E248" s="197">
        <v>0.95</v>
      </c>
      <c r="F248" s="197">
        <v>0.2</v>
      </c>
      <c r="G248" s="197">
        <f t="shared" si="37"/>
        <v>1.7683882565766151</v>
      </c>
      <c r="H248" s="165">
        <f t="shared" si="38"/>
        <v>15.585441154458964</v>
      </c>
      <c r="I248" s="165">
        <f t="shared" si="39"/>
        <v>9.6243666453474308</v>
      </c>
      <c r="J248" s="165">
        <f t="shared" si="40"/>
        <v>769949.33162779443</v>
      </c>
      <c r="L248" s="165" t="str">
        <f t="shared" si="41"/>
        <v/>
      </c>
      <c r="M248" s="165" t="str">
        <f t="shared" si="42"/>
        <v/>
      </c>
      <c r="N248" s="165" t="str">
        <f t="shared" si="43"/>
        <v/>
      </c>
      <c r="O248" s="165" t="str">
        <f t="shared" si="44"/>
        <v/>
      </c>
      <c r="P248" s="165" t="str">
        <f t="shared" si="45"/>
        <v/>
      </c>
      <c r="Q248" s="165" t="str">
        <f t="shared" si="46"/>
        <v/>
      </c>
      <c r="R248" s="165" t="str">
        <f t="shared" si="47"/>
        <v/>
      </c>
      <c r="S248" s="165" t="str">
        <f t="shared" si="48"/>
        <v/>
      </c>
    </row>
    <row r="249" spans="1:19" ht="16.5" customHeight="1">
      <c r="A249" s="197">
        <v>400</v>
      </c>
      <c r="B249" s="197">
        <v>150</v>
      </c>
      <c r="C249" s="165">
        <v>25</v>
      </c>
      <c r="D249" s="165">
        <v>31</v>
      </c>
      <c r="E249" s="197">
        <v>0.85</v>
      </c>
      <c r="F249" s="197">
        <v>0.2</v>
      </c>
      <c r="G249" s="197">
        <f t="shared" si="37"/>
        <v>1.7683882565766151</v>
      </c>
      <c r="H249" s="165">
        <f t="shared" si="38"/>
        <v>15.217089415825559</v>
      </c>
      <c r="I249" s="165">
        <f t="shared" si="39"/>
        <v>9.8573384108528739</v>
      </c>
      <c r="J249" s="165">
        <f t="shared" si="40"/>
        <v>788587.07286822994</v>
      </c>
      <c r="L249" s="165" t="str">
        <f t="shared" si="41"/>
        <v/>
      </c>
      <c r="M249" s="165" t="str">
        <f t="shared" si="42"/>
        <v/>
      </c>
      <c r="N249" s="165" t="str">
        <f t="shared" si="43"/>
        <v/>
      </c>
      <c r="O249" s="165" t="str">
        <f t="shared" si="44"/>
        <v/>
      </c>
      <c r="P249" s="165" t="str">
        <f t="shared" si="45"/>
        <v/>
      </c>
      <c r="Q249" s="165" t="str">
        <f t="shared" si="46"/>
        <v/>
      </c>
      <c r="R249" s="165" t="str">
        <f t="shared" si="47"/>
        <v/>
      </c>
      <c r="S249" s="165" t="str">
        <f t="shared" si="48"/>
        <v/>
      </c>
    </row>
    <row r="250" spans="1:19" ht="16.5" customHeight="1">
      <c r="A250" s="197">
        <v>400</v>
      </c>
      <c r="B250" s="197">
        <v>220</v>
      </c>
      <c r="C250" s="165">
        <v>22</v>
      </c>
      <c r="D250" s="165">
        <v>50</v>
      </c>
      <c r="E250" s="197">
        <v>1.27</v>
      </c>
      <c r="F250" s="197">
        <v>0.2</v>
      </c>
      <c r="G250" s="197">
        <f t="shared" si="37"/>
        <v>1.2057192658476923</v>
      </c>
      <c r="H250" s="165">
        <f t="shared" si="38"/>
        <v>19.006635554218249</v>
      </c>
      <c r="I250" s="165">
        <f t="shared" si="39"/>
        <v>11.574904952137842</v>
      </c>
      <c r="J250" s="165">
        <f t="shared" si="40"/>
        <v>925992.39617102745</v>
      </c>
      <c r="L250" s="165" t="str">
        <f t="shared" si="41"/>
        <v/>
      </c>
      <c r="M250" s="165" t="str">
        <f t="shared" si="42"/>
        <v/>
      </c>
      <c r="N250" s="165" t="str">
        <f t="shared" si="43"/>
        <v/>
      </c>
      <c r="O250" s="165" t="str">
        <f t="shared" si="44"/>
        <v/>
      </c>
      <c r="P250" s="165" t="str">
        <f t="shared" si="45"/>
        <v/>
      </c>
      <c r="Q250" s="165" t="str">
        <f t="shared" si="46"/>
        <v/>
      </c>
      <c r="R250" s="165" t="str">
        <f t="shared" si="47"/>
        <v/>
      </c>
      <c r="S250" s="165" t="str">
        <f t="shared" si="48"/>
        <v/>
      </c>
    </row>
    <row r="251" spans="1:19" ht="16.5" customHeight="1">
      <c r="A251" s="197">
        <v>400</v>
      </c>
      <c r="B251" s="197">
        <v>220</v>
      </c>
      <c r="C251" s="165">
        <v>26</v>
      </c>
      <c r="D251" s="165">
        <v>40</v>
      </c>
      <c r="E251" s="197">
        <v>1.17</v>
      </c>
      <c r="F251" s="197">
        <v>0.2</v>
      </c>
      <c r="G251" s="197">
        <f t="shared" si="37"/>
        <v>1.2057192658476923</v>
      </c>
      <c r="H251" s="165">
        <f t="shared" si="38"/>
        <v>21.237166338267002</v>
      </c>
      <c r="I251" s="165">
        <f t="shared" si="39"/>
        <v>10.359197479354135</v>
      </c>
      <c r="J251" s="165">
        <f t="shared" si="40"/>
        <v>828735.79834833078</v>
      </c>
      <c r="L251" s="165" t="str">
        <f t="shared" si="41"/>
        <v/>
      </c>
      <c r="M251" s="165" t="str">
        <f t="shared" si="42"/>
        <v/>
      </c>
      <c r="N251" s="165" t="str">
        <f t="shared" si="43"/>
        <v/>
      </c>
      <c r="O251" s="165" t="str">
        <f t="shared" si="44"/>
        <v/>
      </c>
      <c r="P251" s="165" t="str">
        <f t="shared" si="45"/>
        <v/>
      </c>
      <c r="Q251" s="165" t="str">
        <f t="shared" si="46"/>
        <v/>
      </c>
      <c r="R251" s="165" t="str">
        <f t="shared" si="47"/>
        <v/>
      </c>
      <c r="S251" s="165" t="str">
        <f t="shared" si="48"/>
        <v/>
      </c>
    </row>
    <row r="252" spans="1:19" ht="16.5" customHeight="1">
      <c r="A252" s="197">
        <v>400</v>
      </c>
      <c r="B252" s="197">
        <v>270</v>
      </c>
      <c r="C252" s="165">
        <v>25</v>
      </c>
      <c r="D252" s="165">
        <v>46</v>
      </c>
      <c r="E252" s="197">
        <v>1.65</v>
      </c>
      <c r="F252" s="197">
        <v>0.2</v>
      </c>
      <c r="G252" s="197">
        <f t="shared" si="37"/>
        <v>0.98243792032034172</v>
      </c>
      <c r="H252" s="165">
        <f t="shared" si="38"/>
        <v>22.58019719767664</v>
      </c>
      <c r="I252" s="165">
        <f t="shared" si="39"/>
        <v>11.957380072295441</v>
      </c>
      <c r="J252" s="165">
        <f t="shared" si="40"/>
        <v>956590.40578363533</v>
      </c>
      <c r="L252" s="165" t="str">
        <f t="shared" si="41"/>
        <v/>
      </c>
      <c r="M252" s="165" t="str">
        <f t="shared" si="42"/>
        <v/>
      </c>
      <c r="N252" s="165" t="str">
        <f t="shared" si="43"/>
        <v/>
      </c>
      <c r="O252" s="165" t="str">
        <f t="shared" si="44"/>
        <v/>
      </c>
      <c r="P252" s="165" t="str">
        <f t="shared" si="45"/>
        <v/>
      </c>
      <c r="Q252" s="165" t="str">
        <f t="shared" si="46"/>
        <v/>
      </c>
      <c r="R252" s="165" t="str">
        <f t="shared" si="47"/>
        <v/>
      </c>
      <c r="S252" s="165" t="str">
        <f t="shared" si="48"/>
        <v/>
      </c>
    </row>
    <row r="253" spans="1:19" ht="16.5" customHeight="1">
      <c r="A253" s="197">
        <v>400</v>
      </c>
      <c r="B253" s="197">
        <v>270</v>
      </c>
      <c r="C253" s="165">
        <v>30</v>
      </c>
      <c r="D253" s="165">
        <v>36</v>
      </c>
      <c r="E253" s="197">
        <v>1.59</v>
      </c>
      <c r="F253" s="197">
        <v>0.2</v>
      </c>
      <c r="G253" s="197">
        <f t="shared" si="37"/>
        <v>0.98243792032034172</v>
      </c>
      <c r="H253" s="165">
        <f t="shared" si="38"/>
        <v>25.446900494077326</v>
      </c>
      <c r="I253" s="165">
        <f t="shared" si="39"/>
        <v>10.610329539459689</v>
      </c>
      <c r="J253" s="165">
        <f t="shared" si="40"/>
        <v>848826.36315677513</v>
      </c>
      <c r="L253" s="165" t="str">
        <f t="shared" si="41"/>
        <v/>
      </c>
      <c r="M253" s="165" t="str">
        <f t="shared" si="42"/>
        <v/>
      </c>
      <c r="N253" s="165" t="str">
        <f t="shared" si="43"/>
        <v/>
      </c>
      <c r="O253" s="165" t="str">
        <f t="shared" si="44"/>
        <v/>
      </c>
      <c r="P253" s="165" t="str">
        <f t="shared" si="45"/>
        <v/>
      </c>
      <c r="Q253" s="165" t="str">
        <f t="shared" si="46"/>
        <v/>
      </c>
      <c r="R253" s="165" t="str">
        <f t="shared" si="47"/>
        <v/>
      </c>
      <c r="S253" s="165" t="str">
        <f t="shared" si="48"/>
        <v/>
      </c>
    </row>
    <row r="254" spans="1:19" ht="16.5" customHeight="1">
      <c r="A254" s="197">
        <v>400</v>
      </c>
      <c r="B254" s="197">
        <v>330</v>
      </c>
      <c r="C254" s="165">
        <v>30</v>
      </c>
      <c r="D254" s="165">
        <v>41</v>
      </c>
      <c r="E254" s="197">
        <v>1.9</v>
      </c>
      <c r="F254" s="197">
        <v>0.2</v>
      </c>
      <c r="G254" s="197">
        <f t="shared" si="37"/>
        <v>0.80381284389846153</v>
      </c>
      <c r="H254" s="165">
        <f t="shared" si="38"/>
        <v>28.981192229365845</v>
      </c>
      <c r="I254" s="165">
        <f t="shared" si="39"/>
        <v>11.386695115517714</v>
      </c>
      <c r="J254" s="165">
        <f t="shared" si="40"/>
        <v>910935.60924141714</v>
      </c>
      <c r="L254" s="165" t="str">
        <f t="shared" si="41"/>
        <v/>
      </c>
      <c r="M254" s="165" t="str">
        <f t="shared" si="42"/>
        <v/>
      </c>
      <c r="N254" s="165" t="str">
        <f t="shared" si="43"/>
        <v/>
      </c>
      <c r="O254" s="165" t="str">
        <f t="shared" si="44"/>
        <v/>
      </c>
      <c r="P254" s="165" t="str">
        <f t="shared" si="45"/>
        <v/>
      </c>
      <c r="Q254" s="165" t="str">
        <f t="shared" si="46"/>
        <v/>
      </c>
      <c r="R254" s="165" t="str">
        <f t="shared" si="47"/>
        <v/>
      </c>
      <c r="S254" s="165" t="str">
        <f t="shared" si="48"/>
        <v/>
      </c>
    </row>
    <row r="255" spans="1:19" ht="16.5" customHeight="1">
      <c r="A255" s="197">
        <v>400</v>
      </c>
      <c r="B255" s="197">
        <v>330</v>
      </c>
      <c r="C255" s="165">
        <v>35</v>
      </c>
      <c r="D255" s="165">
        <v>37</v>
      </c>
      <c r="E255" s="197">
        <v>1.75</v>
      </c>
      <c r="F255" s="197">
        <v>0.2</v>
      </c>
      <c r="G255" s="197">
        <f t="shared" si="37"/>
        <v>0.80381284389846153</v>
      </c>
      <c r="H255" s="165">
        <f t="shared" si="38"/>
        <v>35.598171755989341</v>
      </c>
      <c r="I255" s="165">
        <f t="shared" si="39"/>
        <v>9.2701389909013514</v>
      </c>
      <c r="J255" s="165">
        <f t="shared" si="40"/>
        <v>741611.11927210807</v>
      </c>
      <c r="L255" s="165" t="str">
        <f t="shared" si="41"/>
        <v/>
      </c>
      <c r="M255" s="165" t="str">
        <f t="shared" si="42"/>
        <v/>
      </c>
      <c r="N255" s="165" t="str">
        <f t="shared" si="43"/>
        <v/>
      </c>
      <c r="O255" s="165" t="str">
        <f t="shared" si="44"/>
        <v/>
      </c>
      <c r="P255" s="165" t="str">
        <f t="shared" si="45"/>
        <v/>
      </c>
      <c r="Q255" s="165" t="str">
        <f t="shared" si="46"/>
        <v/>
      </c>
      <c r="R255" s="165" t="str">
        <f t="shared" si="47"/>
        <v/>
      </c>
      <c r="S255" s="165" t="str">
        <f t="shared" si="48"/>
        <v/>
      </c>
    </row>
    <row r="256" spans="1:19" ht="16.5" customHeight="1">
      <c r="A256" s="197">
        <v>400</v>
      </c>
      <c r="B256" s="197">
        <v>390</v>
      </c>
      <c r="C256" s="165">
        <v>30</v>
      </c>
      <c r="D256" s="165">
        <v>45</v>
      </c>
      <c r="E256" s="197">
        <v>2.2999999999999998</v>
      </c>
      <c r="F256" s="197">
        <v>0.2</v>
      </c>
      <c r="G256" s="197">
        <f t="shared" si="37"/>
        <v>0.68014932945254436</v>
      </c>
      <c r="H256" s="165">
        <f t="shared" si="38"/>
        <v>31.808625617596658</v>
      </c>
      <c r="I256" s="165">
        <f t="shared" si="39"/>
        <v>12.260825245597863</v>
      </c>
      <c r="J256" s="165">
        <f t="shared" si="40"/>
        <v>980866.019647829</v>
      </c>
      <c r="L256" s="165" t="str">
        <f t="shared" si="41"/>
        <v/>
      </c>
      <c r="M256" s="165" t="str">
        <f t="shared" si="42"/>
        <v/>
      </c>
      <c r="N256" s="165" t="str">
        <f t="shared" si="43"/>
        <v/>
      </c>
      <c r="O256" s="165" t="str">
        <f t="shared" si="44"/>
        <v/>
      </c>
      <c r="P256" s="165" t="str">
        <f t="shared" si="45"/>
        <v/>
      </c>
      <c r="Q256" s="165" t="str">
        <f t="shared" si="46"/>
        <v/>
      </c>
      <c r="R256" s="165" t="str">
        <f t="shared" si="47"/>
        <v/>
      </c>
      <c r="S256" s="165" t="str">
        <f t="shared" si="48"/>
        <v/>
      </c>
    </row>
    <row r="257" spans="1:19" ht="16.5" customHeight="1">
      <c r="A257" s="197">
        <v>400</v>
      </c>
      <c r="B257" s="197">
        <v>470</v>
      </c>
      <c r="C257" s="165">
        <v>35</v>
      </c>
      <c r="D257" s="165">
        <v>40</v>
      </c>
      <c r="E257" s="197">
        <v>2.4</v>
      </c>
      <c r="F257" s="197">
        <v>0.2</v>
      </c>
      <c r="G257" s="197">
        <f t="shared" si="37"/>
        <v>0.564379230822324</v>
      </c>
      <c r="H257" s="165">
        <f t="shared" si="38"/>
        <v>38.48451000647497</v>
      </c>
      <c r="I257" s="165">
        <f t="shared" si="39"/>
        <v>12.212705837255641</v>
      </c>
      <c r="J257" s="165">
        <f t="shared" si="40"/>
        <v>977016.46698045125</v>
      </c>
      <c r="L257" s="165" t="str">
        <f t="shared" si="41"/>
        <v/>
      </c>
      <c r="M257" s="165" t="str">
        <f t="shared" si="42"/>
        <v/>
      </c>
      <c r="N257" s="165" t="str">
        <f t="shared" si="43"/>
        <v/>
      </c>
      <c r="O257" s="165" t="str">
        <f t="shared" si="44"/>
        <v/>
      </c>
      <c r="P257" s="165" t="str">
        <f t="shared" si="45"/>
        <v/>
      </c>
      <c r="Q257" s="165" t="str">
        <f t="shared" si="46"/>
        <v/>
      </c>
      <c r="R257" s="165" t="str">
        <f t="shared" si="47"/>
        <v/>
      </c>
      <c r="S257" s="165" t="str">
        <f t="shared" si="48"/>
        <v/>
      </c>
    </row>
    <row r="258" spans="1:19" ht="16.5" customHeight="1">
      <c r="A258" s="197">
        <v>400</v>
      </c>
      <c r="B258" s="197">
        <v>560</v>
      </c>
      <c r="C258" s="165">
        <v>35</v>
      </c>
      <c r="D258" s="165">
        <v>52</v>
      </c>
      <c r="E258" s="197">
        <v>2.79</v>
      </c>
      <c r="F258" s="197">
        <v>0.2</v>
      </c>
      <c r="G258" s="197">
        <f t="shared" si="37"/>
        <v>0.47367542586873623</v>
      </c>
      <c r="H258" s="165">
        <f t="shared" si="38"/>
        <v>50.029863008417465</v>
      </c>
      <c r="I258" s="165">
        <f t="shared" si="39"/>
        <v>11.19331467899044</v>
      </c>
      <c r="J258" s="165">
        <f t="shared" si="40"/>
        <v>895465.17431923514</v>
      </c>
      <c r="L258" s="165" t="str">
        <f t="shared" si="41"/>
        <v/>
      </c>
      <c r="M258" s="165" t="str">
        <f t="shared" si="42"/>
        <v/>
      </c>
      <c r="N258" s="165" t="str">
        <f t="shared" si="43"/>
        <v/>
      </c>
      <c r="O258" s="165" t="str">
        <f t="shared" si="44"/>
        <v/>
      </c>
      <c r="P258" s="165" t="str">
        <f t="shared" si="45"/>
        <v/>
      </c>
      <c r="Q258" s="165" t="str">
        <f t="shared" si="46"/>
        <v/>
      </c>
      <c r="R258" s="165" t="str">
        <f t="shared" si="47"/>
        <v/>
      </c>
      <c r="S258" s="165" t="str">
        <f t="shared" si="48"/>
        <v/>
      </c>
    </row>
    <row r="259" spans="1:19" ht="16.5" customHeight="1">
      <c r="A259" s="197">
        <v>450</v>
      </c>
      <c r="B259" s="197">
        <v>47</v>
      </c>
      <c r="C259" s="165">
        <v>22</v>
      </c>
      <c r="D259" s="165">
        <v>26</v>
      </c>
      <c r="E259" s="197">
        <v>0.36</v>
      </c>
      <c r="F259" s="197">
        <v>0.2</v>
      </c>
      <c r="G259" s="197">
        <f t="shared" si="37"/>
        <v>5.6437923082232411</v>
      </c>
      <c r="H259" s="165">
        <f t="shared" si="38"/>
        <v>9.8834504881934908</v>
      </c>
      <c r="I259" s="165">
        <f t="shared" si="39"/>
        <v>4.7554242373293576</v>
      </c>
      <c r="J259" s="165">
        <f t="shared" si="40"/>
        <v>481486.70402959746</v>
      </c>
      <c r="L259" s="165" t="str">
        <f t="shared" si="41"/>
        <v/>
      </c>
      <c r="M259" s="165" t="str">
        <f t="shared" si="42"/>
        <v/>
      </c>
      <c r="N259" s="165" t="str">
        <f t="shared" si="43"/>
        <v/>
      </c>
      <c r="O259" s="165" t="str">
        <f t="shared" si="44"/>
        <v/>
      </c>
      <c r="P259" s="165" t="str">
        <f t="shared" si="45"/>
        <v/>
      </c>
      <c r="Q259" s="165" t="str">
        <f t="shared" si="46"/>
        <v/>
      </c>
      <c r="R259" s="165" t="str">
        <f t="shared" si="47"/>
        <v/>
      </c>
      <c r="S259" s="165" t="str">
        <f t="shared" si="48"/>
        <v/>
      </c>
    </row>
    <row r="260" spans="1:19" ht="16.5" customHeight="1">
      <c r="A260" s="197">
        <v>450</v>
      </c>
      <c r="B260" s="197">
        <v>100</v>
      </c>
      <c r="C260" s="165">
        <v>22</v>
      </c>
      <c r="D260" s="165">
        <v>36</v>
      </c>
      <c r="E260" s="197">
        <v>0.61</v>
      </c>
      <c r="F260" s="197">
        <v>0.2</v>
      </c>
      <c r="G260" s="197">
        <f t="shared" ref="G260:G266" si="49">F260/(2*PI()*120*B260*10^-6)</f>
        <v>2.6525823848649224</v>
      </c>
      <c r="H260" s="165">
        <f t="shared" ref="H260:H266" si="50">0.001*D260*PI()*(C260/2)^2</f>
        <v>13.68477759903714</v>
      </c>
      <c r="I260" s="165">
        <f t="shared" ref="I260:I266" si="51">B260/H260</f>
        <v>7.3073894899860115</v>
      </c>
      <c r="J260" s="165">
        <f t="shared" ref="J260:J266" si="52">0.5*I260*A260^2</f>
        <v>739873.18586108368</v>
      </c>
      <c r="L260" s="165" t="str">
        <f t="shared" ref="L260:L266" si="53">IF(AND($W$9&lt;A260,D260&lt;=$W$14),0.5*I260*$W$7,"")</f>
        <v/>
      </c>
      <c r="M260" s="165" t="str">
        <f t="shared" ref="M260:M266" si="54">IF(L260&lt;&gt;"",ROUNDUP($W$12/B260,0)*H260,"")</f>
        <v/>
      </c>
      <c r="N260" s="165" t="str">
        <f t="shared" ref="N260:N266" si="55">IF(M260=MIN($M$4:$M$266),M260,"")</f>
        <v/>
      </c>
      <c r="O260" s="165" t="str">
        <f t="shared" ref="O260:O266" si="56">IF($N260=MIN($M$4:$M$266),A260,"")</f>
        <v/>
      </c>
      <c r="P260" s="165" t="str">
        <f t="shared" ref="P260:P266" si="57">IF($N260=MIN($M$4:$M$266),B260,"")</f>
        <v/>
      </c>
      <c r="Q260" s="165" t="str">
        <f t="shared" ref="Q260:Q266" si="58">IF($N260=MIN($M$4:$M$266),C260,"")</f>
        <v/>
      </c>
      <c r="R260" s="165" t="str">
        <f t="shared" ref="R260:R266" si="59">IF($N260=MIN($M$4:$M$266),D260,"")</f>
        <v/>
      </c>
      <c r="S260" s="165" t="str">
        <f t="shared" ref="S260:S266" si="60">IF($N260=MIN($M$4:$M$266),G260,"")</f>
        <v/>
      </c>
    </row>
    <row r="261" spans="1:19" ht="16.5" customHeight="1">
      <c r="A261" s="197">
        <v>450</v>
      </c>
      <c r="B261" s="197">
        <v>100</v>
      </c>
      <c r="C261" s="165">
        <v>25</v>
      </c>
      <c r="D261" s="165">
        <v>31</v>
      </c>
      <c r="E261" s="197">
        <v>0.35</v>
      </c>
      <c r="F261" s="197">
        <v>0.2</v>
      </c>
      <c r="G261" s="197">
        <f t="shared" si="49"/>
        <v>2.6525823848649224</v>
      </c>
      <c r="H261" s="165">
        <f t="shared" si="50"/>
        <v>15.217089415825559</v>
      </c>
      <c r="I261" s="165">
        <f t="shared" si="51"/>
        <v>6.5715589405685826</v>
      </c>
      <c r="J261" s="165">
        <f t="shared" si="52"/>
        <v>665370.34273256897</v>
      </c>
      <c r="L261" s="165" t="str">
        <f t="shared" si="53"/>
        <v/>
      </c>
      <c r="M261" s="165" t="str">
        <f t="shared" si="54"/>
        <v/>
      </c>
      <c r="N261" s="165" t="str">
        <f t="shared" si="55"/>
        <v/>
      </c>
      <c r="O261" s="165" t="str">
        <f t="shared" si="56"/>
        <v/>
      </c>
      <c r="P261" s="165" t="str">
        <f t="shared" si="57"/>
        <v/>
      </c>
      <c r="Q261" s="165" t="str">
        <f t="shared" si="58"/>
        <v/>
      </c>
      <c r="R261" s="165" t="str">
        <f t="shared" si="59"/>
        <v/>
      </c>
      <c r="S261" s="165" t="str">
        <f t="shared" si="60"/>
        <v/>
      </c>
    </row>
    <row r="262" spans="1:19" ht="16.5" customHeight="1">
      <c r="A262" s="197">
        <v>450</v>
      </c>
      <c r="B262" s="197">
        <v>150</v>
      </c>
      <c r="C262" s="165">
        <v>22</v>
      </c>
      <c r="D262" s="165">
        <v>50</v>
      </c>
      <c r="E262" s="197">
        <v>0.88</v>
      </c>
      <c r="F262" s="197">
        <v>0.2</v>
      </c>
      <c r="G262" s="197">
        <f t="shared" si="49"/>
        <v>1.7683882565766151</v>
      </c>
      <c r="H262" s="165">
        <f t="shared" si="50"/>
        <v>19.006635554218249</v>
      </c>
      <c r="I262" s="165">
        <f t="shared" si="51"/>
        <v>7.8919806491848927</v>
      </c>
      <c r="J262" s="165">
        <f t="shared" si="52"/>
        <v>799063.04072997044</v>
      </c>
      <c r="L262" s="165" t="str">
        <f t="shared" si="53"/>
        <v/>
      </c>
      <c r="M262" s="165" t="str">
        <f t="shared" si="54"/>
        <v/>
      </c>
      <c r="N262" s="165" t="str">
        <f t="shared" si="55"/>
        <v/>
      </c>
      <c r="O262" s="165" t="str">
        <f t="shared" si="56"/>
        <v/>
      </c>
      <c r="P262" s="165" t="str">
        <f t="shared" si="57"/>
        <v/>
      </c>
      <c r="Q262" s="165" t="str">
        <f t="shared" si="58"/>
        <v/>
      </c>
      <c r="R262" s="165" t="str">
        <f t="shared" si="59"/>
        <v/>
      </c>
      <c r="S262" s="165" t="str">
        <f t="shared" si="60"/>
        <v/>
      </c>
    </row>
    <row r="263" spans="1:19" ht="16.5" customHeight="1">
      <c r="A263" s="197">
        <v>450</v>
      </c>
      <c r="B263" s="197">
        <v>150</v>
      </c>
      <c r="C263" s="165">
        <v>25</v>
      </c>
      <c r="D263" s="165">
        <v>40</v>
      </c>
      <c r="E263" s="197">
        <v>0.59</v>
      </c>
      <c r="F263" s="197">
        <v>0.2</v>
      </c>
      <c r="G263" s="197">
        <f t="shared" si="49"/>
        <v>1.7683882565766151</v>
      </c>
      <c r="H263" s="165">
        <f t="shared" si="50"/>
        <v>19.634954084936208</v>
      </c>
      <c r="I263" s="165">
        <f t="shared" si="51"/>
        <v>7.6394372684109761</v>
      </c>
      <c r="J263" s="165">
        <f t="shared" si="52"/>
        <v>773493.02342661133</v>
      </c>
      <c r="L263" s="165" t="str">
        <f t="shared" si="53"/>
        <v/>
      </c>
      <c r="M263" s="165" t="str">
        <f t="shared" si="54"/>
        <v/>
      </c>
      <c r="N263" s="165" t="str">
        <f t="shared" si="55"/>
        <v/>
      </c>
      <c r="O263" s="165" t="str">
        <f t="shared" si="56"/>
        <v/>
      </c>
      <c r="P263" s="165" t="str">
        <f t="shared" si="57"/>
        <v/>
      </c>
      <c r="Q263" s="165" t="str">
        <f t="shared" si="58"/>
        <v/>
      </c>
      <c r="R263" s="165" t="str">
        <f t="shared" si="59"/>
        <v/>
      </c>
      <c r="S263" s="165" t="str">
        <f t="shared" si="60"/>
        <v/>
      </c>
    </row>
    <row r="264" spans="1:19" ht="16.5" customHeight="1">
      <c r="A264" s="197">
        <v>450</v>
      </c>
      <c r="B264" s="197">
        <v>220</v>
      </c>
      <c r="C264" s="165">
        <v>25</v>
      </c>
      <c r="D264" s="165">
        <v>50</v>
      </c>
      <c r="E264" s="197">
        <v>1.06</v>
      </c>
      <c r="F264" s="197">
        <v>0.2</v>
      </c>
      <c r="G264" s="197">
        <f t="shared" si="49"/>
        <v>1.2057192658476923</v>
      </c>
      <c r="H264" s="165">
        <f t="shared" si="50"/>
        <v>24.543692606170257</v>
      </c>
      <c r="I264" s="165">
        <f t="shared" si="51"/>
        <v>8.963606394935546</v>
      </c>
      <c r="J264" s="165">
        <f t="shared" si="52"/>
        <v>907565.14748722408</v>
      </c>
      <c r="L264" s="165" t="str">
        <f t="shared" si="53"/>
        <v/>
      </c>
      <c r="M264" s="165" t="str">
        <f t="shared" si="54"/>
        <v/>
      </c>
      <c r="N264" s="165" t="str">
        <f t="shared" si="55"/>
        <v/>
      </c>
      <c r="O264" s="165" t="str">
        <f t="shared" si="56"/>
        <v/>
      </c>
      <c r="P264" s="165" t="str">
        <f t="shared" si="57"/>
        <v/>
      </c>
      <c r="Q264" s="165" t="str">
        <f t="shared" si="58"/>
        <v/>
      </c>
      <c r="R264" s="165" t="str">
        <f t="shared" si="59"/>
        <v/>
      </c>
      <c r="S264" s="165" t="str">
        <f t="shared" si="60"/>
        <v/>
      </c>
    </row>
    <row r="265" spans="1:19" ht="16.5" customHeight="1">
      <c r="A265" s="197">
        <v>450</v>
      </c>
      <c r="B265" s="197">
        <v>220</v>
      </c>
      <c r="C265" s="165">
        <v>35</v>
      </c>
      <c r="D265" s="165">
        <v>37</v>
      </c>
      <c r="E265" s="197">
        <v>0.97</v>
      </c>
      <c r="F265" s="197">
        <v>0.2</v>
      </c>
      <c r="G265" s="197">
        <f t="shared" si="49"/>
        <v>1.2057192658476923</v>
      </c>
      <c r="H265" s="165">
        <f t="shared" si="50"/>
        <v>35.598171755989341</v>
      </c>
      <c r="I265" s="165">
        <f t="shared" si="51"/>
        <v>6.1800926606009003</v>
      </c>
      <c r="J265" s="165">
        <f t="shared" si="52"/>
        <v>625734.38188584114</v>
      </c>
      <c r="L265" s="165" t="str">
        <f t="shared" si="53"/>
        <v/>
      </c>
      <c r="M265" s="165" t="str">
        <f t="shared" si="54"/>
        <v/>
      </c>
      <c r="N265" s="165" t="str">
        <f t="shared" si="55"/>
        <v/>
      </c>
      <c r="O265" s="165" t="str">
        <f t="shared" si="56"/>
        <v/>
      </c>
      <c r="P265" s="165" t="str">
        <f t="shared" si="57"/>
        <v/>
      </c>
      <c r="Q265" s="165" t="str">
        <f t="shared" si="58"/>
        <v/>
      </c>
      <c r="R265" s="165" t="str">
        <f t="shared" si="59"/>
        <v/>
      </c>
      <c r="S265" s="165" t="str">
        <f t="shared" si="60"/>
        <v/>
      </c>
    </row>
    <row r="266" spans="1:19" ht="16.5" customHeight="1">
      <c r="A266" s="197">
        <v>450</v>
      </c>
      <c r="B266" s="197">
        <v>330</v>
      </c>
      <c r="C266" s="165">
        <v>35</v>
      </c>
      <c r="D266" s="165">
        <v>47</v>
      </c>
      <c r="E266" s="197">
        <v>1.1299999999999999</v>
      </c>
      <c r="F266" s="197">
        <v>0.2</v>
      </c>
      <c r="G266" s="197">
        <f t="shared" si="49"/>
        <v>0.80381284389846153</v>
      </c>
      <c r="H266" s="165">
        <f t="shared" si="50"/>
        <v>45.219299257608085</v>
      </c>
      <c r="I266" s="165">
        <f t="shared" si="51"/>
        <v>7.2977689928372333</v>
      </c>
      <c r="J266" s="165">
        <f t="shared" si="52"/>
        <v>738899.11052476987</v>
      </c>
      <c r="L266" s="165" t="str">
        <f t="shared" si="53"/>
        <v/>
      </c>
      <c r="M266" s="165" t="str">
        <f t="shared" si="54"/>
        <v/>
      </c>
      <c r="N266" s="165" t="str">
        <f t="shared" si="55"/>
        <v/>
      </c>
      <c r="O266" s="165" t="str">
        <f t="shared" si="56"/>
        <v/>
      </c>
      <c r="P266" s="165" t="str">
        <f t="shared" si="57"/>
        <v/>
      </c>
      <c r="Q266" s="165" t="str">
        <f t="shared" si="58"/>
        <v/>
      </c>
      <c r="R266" s="165" t="str">
        <f t="shared" si="59"/>
        <v/>
      </c>
      <c r="S266" s="165" t="str">
        <f t="shared" si="60"/>
        <v/>
      </c>
    </row>
  </sheetData>
  <phoneticPr fontId="35" type="noConversion"/>
  <conditionalFormatting sqref="J4:K266">
    <cfRule type="colorScale" priority="2">
      <colorScale>
        <cfvo type="min"/>
        <cfvo type="percentile" val="50"/>
        <cfvo type="max"/>
        <color rgb="FFFF0000"/>
        <color rgb="FFFFEB84"/>
        <color rgb="FF00B050"/>
      </colorScale>
    </cfRule>
  </conditionalFormatting>
  <conditionalFormatting sqref="L4:L266">
    <cfRule type="colorScale" priority="4">
      <colorScale>
        <cfvo type="min"/>
        <cfvo type="percentile" val="50"/>
        <cfvo type="max"/>
        <color rgb="FFFF0000"/>
        <color rgb="FFFFEB84"/>
        <color rgb="FF00B050"/>
      </colorScale>
    </cfRule>
  </conditionalFormatting>
  <conditionalFormatting sqref="M4:M266">
    <cfRule type="colorScale" priority="3">
      <colorScale>
        <cfvo type="min"/>
        <cfvo type="percentile" val="50"/>
        <cfvo type="max"/>
        <color rgb="FF63BE7B"/>
        <color rgb="FFFFEB84"/>
        <color rgb="FFF8696B"/>
      </colorScale>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CHANGELOG_rev0_6</vt:lpstr>
      <vt:lpstr>Design Spec</vt:lpstr>
      <vt:lpstr>Preliminary Calculation</vt:lpstr>
      <vt:lpstr>Res. Tank Design</vt:lpstr>
      <vt:lpstr>Power Components</vt:lpstr>
      <vt:lpstr>Device Setting</vt:lpstr>
      <vt:lpstr>CompensationNet&amp;Check</vt:lpstr>
      <vt:lpstr>BOM&amp;Schematics</vt:lpstr>
      <vt:lpstr>RTC</vt:lpstr>
      <vt:lpstr>CC</vt:lpstr>
      <vt:lpstr>OutCap_Sel_DB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Federico LEVATI</dc:creator>
  <dc:description/>
  <cp:lastModifiedBy>권경회</cp:lastModifiedBy>
  <cp:revision>2</cp:revision>
  <cp:lastPrinted>2026-08-24T02:28:39Z</cp:lastPrinted>
  <dcterms:created xsi:type="dcterms:W3CDTF">2025-07-01T11:30:36Z</dcterms:created>
  <dcterms:modified xsi:type="dcterms:W3CDTF">2026-09-07T04:14:14Z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0x01010072B0032DB6E4C141A8A9FE019A172803</vt:lpwstr>
  </property>
  <property fmtid="{D5CDD505-2E9C-101B-9397-08002B2CF9AE}" pid="3" name="IbpWorkbookKeyString_GUID">
    <vt:lpwstr>53293b8f-5b72-451c-af9e-6ad616f0b0e4</vt:lpwstr>
  </property>
</Properties>
</file>