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jihamanishi/Documents/GitHub/price_dash_app/"/>
    </mc:Choice>
  </mc:AlternateContent>
  <xr:revisionPtr revIDLastSave="0" documentId="8_{AC2B1E57-551F-7E40-98F5-09B14EFBC064}" xr6:coauthVersionLast="47" xr6:coauthVersionMax="47" xr10:uidLastSave="{00000000-0000-0000-0000-000000000000}"/>
  <bookViews>
    <workbookView xWindow="0" yWindow="0" windowWidth="28800" windowHeight="18000" xr2:uid="{AE65E8B0-8EB1-478F-89E3-54207FF3A177}"/>
  </bookViews>
  <sheets>
    <sheet name="Data Base" sheetId="20" r:id="rId1"/>
    <sheet name="Summ.Promotiom (MSS)" sheetId="32" r:id="rId2"/>
    <sheet name="Price List LEO vs MSS" sheetId="33" r:id="rId3"/>
    <sheet name="SKT" sheetId="1" r:id="rId4"/>
    <sheet name="SAM" sheetId="2" r:id="rId5"/>
    <sheet name="RAM" sheetId="4" r:id="rId6"/>
    <sheet name="RM9" sheetId="5" r:id="rId7"/>
    <sheet name="LPR" sheetId="6" r:id="rId8"/>
    <sheet name="PTG" sheetId="7" r:id="rId9"/>
    <sheet name="PTY" sheetId="8" r:id="rId10"/>
    <sheet name="BGS" sheetId="9" r:id="rId11"/>
    <sheet name="RCD" sheetId="10" r:id="rId12"/>
    <sheet name="Price List REDD vs. MSS" sheetId="14" r:id="rId13"/>
    <sheet name="Price List i-Store vs MSS" sheetId="13" r:id="rId14"/>
    <sheet name="NET ISS vs MSS NA" sheetId="18" r:id="rId15"/>
    <sheet name="NET ISS vs MSS AC" sheetId="19" r:id="rId16"/>
    <sheet name="Copy of Storage Price 1" sheetId="15" r:id="rId17"/>
    <sheet name="MSS net after disc." sheetId="16" r:id="rId18"/>
  </sheets>
  <definedNames>
    <definedName name="_xlnm._FilterDatabase" localSheetId="0" hidden="1">'Data Base'!$A$1:$K$878</definedName>
  </definedNames>
  <calcPr calcId="191029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  <pivotCache cacheId="6" r:id="rId25"/>
    <pivotCache cacheId="7" r:id="rId26"/>
    <pivotCache cacheId="8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0" i="20" l="1"/>
  <c r="K920" i="20" s="1"/>
  <c r="J921" i="20"/>
  <c r="K921" i="20" s="1"/>
  <c r="J922" i="20"/>
  <c r="K922" i="20"/>
  <c r="J923" i="20"/>
  <c r="K923" i="20"/>
  <c r="J924" i="20"/>
  <c r="K924" i="20" s="1"/>
  <c r="J925" i="20"/>
  <c r="K925" i="20" s="1"/>
  <c r="J926" i="20"/>
  <c r="K926" i="20"/>
  <c r="J919" i="20"/>
  <c r="K919" i="20"/>
  <c r="H919" i="20"/>
  <c r="H920" i="20"/>
  <c r="H921" i="20"/>
  <c r="H922" i="20"/>
  <c r="H923" i="20"/>
  <c r="H924" i="20"/>
  <c r="H925" i="20"/>
  <c r="H926" i="20"/>
  <c r="J905" i="20"/>
  <c r="K905" i="20" s="1"/>
  <c r="J906" i="20"/>
  <c r="K906" i="20"/>
  <c r="J907" i="20"/>
  <c r="K907" i="20"/>
  <c r="J908" i="20"/>
  <c r="K908" i="20"/>
  <c r="J909" i="20"/>
  <c r="K909" i="20"/>
  <c r="J910" i="20"/>
  <c r="K910" i="20"/>
  <c r="J911" i="20"/>
  <c r="K911" i="20"/>
  <c r="J912" i="20"/>
  <c r="K912" i="20"/>
  <c r="J913" i="20"/>
  <c r="K913" i="20"/>
  <c r="J914" i="20"/>
  <c r="K914" i="20" s="1"/>
  <c r="J915" i="20"/>
  <c r="K915" i="20"/>
  <c r="J916" i="20"/>
  <c r="K916" i="20"/>
  <c r="J917" i="20"/>
  <c r="K917" i="20"/>
  <c r="J918" i="20"/>
  <c r="K918" i="20"/>
  <c r="K904" i="20"/>
  <c r="J904" i="20"/>
  <c r="H904" i="20"/>
  <c r="H905" i="20"/>
  <c r="H906" i="20"/>
  <c r="H907" i="20"/>
  <c r="H908" i="20"/>
  <c r="H909" i="20"/>
  <c r="H910" i="20"/>
  <c r="H911" i="20"/>
  <c r="H912" i="20"/>
  <c r="H913" i="20"/>
  <c r="H914" i="20"/>
  <c r="H915" i="20"/>
  <c r="H916" i="20"/>
  <c r="H917" i="20"/>
  <c r="H918" i="20"/>
  <c r="J901" i="20"/>
  <c r="K901" i="20" s="1"/>
  <c r="J902" i="20"/>
  <c r="K902" i="20" s="1"/>
  <c r="J903" i="20"/>
  <c r="K903" i="20"/>
  <c r="H903" i="20"/>
  <c r="H902" i="20"/>
  <c r="H901" i="20"/>
  <c r="F903" i="20"/>
  <c r="F902" i="20"/>
  <c r="F901" i="20"/>
  <c r="K898" i="20"/>
  <c r="K899" i="20"/>
  <c r="K900" i="20"/>
  <c r="J900" i="20"/>
  <c r="J899" i="20"/>
  <c r="J898" i="20"/>
  <c r="H898" i="20"/>
  <c r="H899" i="20"/>
  <c r="H900" i="20"/>
  <c r="F900" i="20"/>
  <c r="F899" i="20"/>
  <c r="F898" i="20"/>
  <c r="J881" i="20"/>
  <c r="K881" i="20" s="1"/>
  <c r="J882" i="20"/>
  <c r="K882" i="20"/>
  <c r="J883" i="20"/>
  <c r="K883" i="20" s="1"/>
  <c r="J884" i="20"/>
  <c r="K884" i="20"/>
  <c r="J885" i="20"/>
  <c r="K885" i="20"/>
  <c r="J886" i="20"/>
  <c r="K886" i="20"/>
  <c r="J887" i="20"/>
  <c r="K887" i="20" s="1"/>
  <c r="J888" i="20"/>
  <c r="K888" i="20"/>
  <c r="J889" i="20"/>
  <c r="K889" i="20"/>
  <c r="J890" i="20"/>
  <c r="K890" i="20"/>
  <c r="J891" i="20"/>
  <c r="K891" i="20" s="1"/>
  <c r="J892" i="20"/>
  <c r="K892" i="20"/>
  <c r="J893" i="20"/>
  <c r="K893" i="20"/>
  <c r="J894" i="20"/>
  <c r="K894" i="20"/>
  <c r="J895" i="20"/>
  <c r="K895" i="20" s="1"/>
  <c r="J896" i="20"/>
  <c r="K896" i="20"/>
  <c r="J897" i="20"/>
  <c r="K897" i="20"/>
  <c r="H897" i="20"/>
  <c r="H896" i="20"/>
  <c r="H895" i="20"/>
  <c r="H894" i="20"/>
  <c r="H893" i="20"/>
  <c r="H892" i="20"/>
  <c r="H891" i="20"/>
  <c r="H890" i="20"/>
  <c r="H889" i="20"/>
  <c r="H888" i="20"/>
  <c r="H887" i="20"/>
  <c r="H886" i="20"/>
  <c r="H885" i="20"/>
  <c r="H884" i="20"/>
  <c r="H883" i="20"/>
  <c r="H882" i="20"/>
  <c r="H881" i="20"/>
  <c r="J880" i="20"/>
  <c r="K880" i="20"/>
  <c r="H880" i="20"/>
  <c r="J879" i="20"/>
  <c r="K879" i="20" s="1"/>
  <c r="H879" i="20"/>
  <c r="H511" i="20"/>
  <c r="J511" i="20"/>
  <c r="K511" i="20" s="1"/>
  <c r="H553" i="20"/>
  <c r="J553" i="20"/>
  <c r="K553" i="20" s="1"/>
  <c r="H554" i="20"/>
  <c r="J554" i="20"/>
  <c r="K554" i="20" s="1"/>
  <c r="H555" i="20"/>
  <c r="J555" i="20"/>
  <c r="K555" i="20" s="1"/>
  <c r="H556" i="20"/>
  <c r="J556" i="20"/>
  <c r="K556" i="20" s="1"/>
  <c r="H557" i="20"/>
  <c r="J557" i="20"/>
  <c r="K557" i="20" s="1"/>
  <c r="H560" i="20"/>
  <c r="J560" i="20"/>
  <c r="K560" i="20" s="1"/>
  <c r="H561" i="20"/>
  <c r="J561" i="20"/>
  <c r="K561" i="20" s="1"/>
  <c r="H564" i="20"/>
  <c r="J564" i="20"/>
  <c r="K564" i="20" s="1"/>
  <c r="H565" i="20"/>
  <c r="J565" i="20"/>
  <c r="K565" i="20" s="1"/>
  <c r="H543" i="20"/>
  <c r="J543" i="20"/>
  <c r="K543" i="20" s="1"/>
  <c r="H527" i="20"/>
  <c r="J527" i="20"/>
  <c r="K527" i="20" s="1"/>
  <c r="H530" i="20"/>
  <c r="J530" i="20"/>
  <c r="K530" i="20" s="1"/>
  <c r="H532" i="20"/>
  <c r="J532" i="20"/>
  <c r="K532" i="20" s="1"/>
  <c r="H533" i="20"/>
  <c r="J533" i="20"/>
  <c r="K533" i="20" s="1"/>
  <c r="H535" i="20"/>
  <c r="J535" i="20"/>
  <c r="K535" i="20" s="1"/>
  <c r="H536" i="20"/>
  <c r="J536" i="20"/>
  <c r="K536" i="20" s="1"/>
  <c r="H520" i="20"/>
  <c r="J520" i="20"/>
  <c r="K520" i="20" s="1"/>
  <c r="H524" i="20"/>
  <c r="J524" i="20"/>
  <c r="K524" i="20" s="1"/>
  <c r="H512" i="20"/>
  <c r="J512" i="20"/>
  <c r="K512" i="20" s="1"/>
  <c r="H515" i="20"/>
  <c r="J515" i="20"/>
  <c r="K515" i="20" s="1"/>
  <c r="H551" i="20"/>
  <c r="J551" i="20"/>
  <c r="K551" i="20" s="1"/>
  <c r="H552" i="20"/>
  <c r="J552" i="20"/>
  <c r="K552" i="20" s="1"/>
  <c r="H558" i="20"/>
  <c r="J558" i="20"/>
  <c r="K558" i="20" s="1"/>
  <c r="H559" i="20"/>
  <c r="J559" i="20"/>
  <c r="K559" i="20" s="1"/>
  <c r="H562" i="20"/>
  <c r="J562" i="20"/>
  <c r="K562" i="20" s="1"/>
  <c r="H563" i="20"/>
  <c r="J563" i="20"/>
  <c r="K563" i="20" s="1"/>
  <c r="H566" i="20"/>
  <c r="J566" i="20"/>
  <c r="K566" i="20" s="1"/>
  <c r="H542" i="20"/>
  <c r="J542" i="20"/>
  <c r="K542" i="20" s="1"/>
  <c r="H544" i="20"/>
  <c r="J544" i="20"/>
  <c r="K544" i="20" s="1"/>
  <c r="H545" i="20"/>
  <c r="J545" i="20"/>
  <c r="K545" i="20" s="1"/>
  <c r="H546" i="20"/>
  <c r="J546" i="20"/>
  <c r="K546" i="20" s="1"/>
  <c r="H547" i="20"/>
  <c r="J547" i="20"/>
  <c r="K547" i="20" s="1"/>
  <c r="H548" i="20"/>
  <c r="J548" i="20"/>
  <c r="K548" i="20" s="1"/>
  <c r="H549" i="20"/>
  <c r="J549" i="20"/>
  <c r="K549" i="20" s="1"/>
  <c r="H550" i="20"/>
  <c r="J550" i="20"/>
  <c r="K550" i="20" s="1"/>
  <c r="H528" i="20"/>
  <c r="J528" i="20"/>
  <c r="K528" i="20" s="1"/>
  <c r="H529" i="20"/>
  <c r="J529" i="20"/>
  <c r="K529" i="20" s="1"/>
  <c r="H531" i="20"/>
  <c r="J531" i="20"/>
  <c r="K531" i="20" s="1"/>
  <c r="H534" i="20"/>
  <c r="J534" i="20"/>
  <c r="K534" i="20" s="1"/>
  <c r="H537" i="20"/>
  <c r="J537" i="20"/>
  <c r="K537" i="20" s="1"/>
  <c r="H538" i="20"/>
  <c r="J538" i="20"/>
  <c r="K538" i="20" s="1"/>
  <c r="H539" i="20"/>
  <c r="J539" i="20"/>
  <c r="K539" i="20" s="1"/>
  <c r="H540" i="20"/>
  <c r="J540" i="20"/>
  <c r="K540" i="20" s="1"/>
  <c r="H541" i="20"/>
  <c r="J541" i="20"/>
  <c r="K541" i="20" s="1"/>
  <c r="H567" i="20"/>
  <c r="J567" i="20"/>
  <c r="K567" i="20" s="1"/>
  <c r="H568" i="20"/>
  <c r="J568" i="20"/>
  <c r="K568" i="20" s="1"/>
  <c r="H518" i="20"/>
  <c r="J518" i="20"/>
  <c r="K518" i="20" s="1"/>
  <c r="H519" i="20"/>
  <c r="J519" i="20"/>
  <c r="K519" i="20" s="1"/>
  <c r="H521" i="20"/>
  <c r="J521" i="20"/>
  <c r="K521" i="20" s="1"/>
  <c r="H522" i="20"/>
  <c r="J522" i="20"/>
  <c r="K522" i="20" s="1"/>
  <c r="H523" i="20"/>
  <c r="J523" i="20"/>
  <c r="K523" i="20" s="1"/>
  <c r="H525" i="20"/>
  <c r="J525" i="20"/>
  <c r="K525" i="20" s="1"/>
  <c r="H526" i="20"/>
  <c r="J526" i="20"/>
  <c r="K526" i="20" s="1"/>
  <c r="H509" i="20"/>
  <c r="J509" i="20"/>
  <c r="K509" i="20" s="1"/>
  <c r="H513" i="20"/>
  <c r="J513" i="20"/>
  <c r="K513" i="20" s="1"/>
  <c r="H514" i="20"/>
  <c r="J514" i="20"/>
  <c r="K514" i="20" s="1"/>
  <c r="H516" i="20"/>
  <c r="J516" i="20"/>
  <c r="K516" i="20" s="1"/>
  <c r="H517" i="20"/>
  <c r="J517" i="20"/>
  <c r="K517" i="20" s="1"/>
  <c r="H648" i="20"/>
  <c r="J648" i="20"/>
  <c r="K648" i="20" s="1"/>
  <c r="H649" i="20"/>
  <c r="J649" i="20"/>
  <c r="K649" i="20" s="1"/>
  <c r="H695" i="20"/>
  <c r="J695" i="20"/>
  <c r="K695" i="20" s="1"/>
  <c r="H696" i="20"/>
  <c r="J696" i="20"/>
  <c r="K696" i="20" s="1"/>
  <c r="H697" i="20"/>
  <c r="J697" i="20"/>
  <c r="K697" i="20" s="1"/>
  <c r="H698" i="20"/>
  <c r="J698" i="20"/>
  <c r="K698" i="20" s="1"/>
  <c r="H699" i="20"/>
  <c r="J699" i="20"/>
  <c r="K699" i="20" s="1"/>
  <c r="H700" i="20"/>
  <c r="J700" i="20"/>
  <c r="K700" i="20" s="1"/>
  <c r="H701" i="20"/>
  <c r="J701" i="20"/>
  <c r="K701" i="20" s="1"/>
  <c r="H681" i="20"/>
  <c r="J681" i="20"/>
  <c r="K681" i="20" s="1"/>
  <c r="H682" i="20"/>
  <c r="J682" i="20"/>
  <c r="K682" i="20" s="1"/>
  <c r="H683" i="20"/>
  <c r="J683" i="20"/>
  <c r="K683" i="20" s="1"/>
  <c r="H684" i="20"/>
  <c r="J684" i="20"/>
  <c r="K684" i="20" s="1"/>
  <c r="H685" i="20"/>
  <c r="J685" i="20"/>
  <c r="K685" i="20" s="1"/>
  <c r="H686" i="20"/>
  <c r="J686" i="20"/>
  <c r="K686" i="20" s="1"/>
  <c r="H687" i="20"/>
  <c r="J687" i="20"/>
  <c r="K687" i="20" s="1"/>
  <c r="H688" i="20"/>
  <c r="J688" i="20"/>
  <c r="K688" i="20" s="1"/>
  <c r="H689" i="20"/>
  <c r="J689" i="20"/>
  <c r="K689" i="20" s="1"/>
  <c r="H690" i="20"/>
  <c r="J690" i="20"/>
  <c r="K690" i="20" s="1"/>
  <c r="H691" i="20"/>
  <c r="J691" i="20"/>
  <c r="K691" i="20" s="1"/>
  <c r="H692" i="20"/>
  <c r="J692" i="20"/>
  <c r="K692" i="20" s="1"/>
  <c r="H693" i="20"/>
  <c r="J693" i="20"/>
  <c r="K693" i="20" s="1"/>
  <c r="H694" i="20"/>
  <c r="J694" i="20"/>
  <c r="K694" i="20" s="1"/>
  <c r="H667" i="20"/>
  <c r="J667" i="20"/>
  <c r="K667" i="20" s="1"/>
  <c r="H668" i="20"/>
  <c r="J668" i="20"/>
  <c r="K668" i="20" s="1"/>
  <c r="H669" i="20"/>
  <c r="J669" i="20"/>
  <c r="K669" i="20" s="1"/>
  <c r="H670" i="20"/>
  <c r="J670" i="20"/>
  <c r="K670" i="20" s="1"/>
  <c r="H671" i="20"/>
  <c r="J671" i="20"/>
  <c r="K671" i="20" s="1"/>
  <c r="H672" i="20"/>
  <c r="J672" i="20"/>
  <c r="K672" i="20" s="1"/>
  <c r="H673" i="20"/>
  <c r="J673" i="20"/>
  <c r="K673" i="20" s="1"/>
  <c r="H674" i="20"/>
  <c r="J674" i="20"/>
  <c r="K674" i="20" s="1"/>
  <c r="H675" i="20"/>
  <c r="J675" i="20"/>
  <c r="K675" i="20" s="1"/>
  <c r="H676" i="20"/>
  <c r="J676" i="20"/>
  <c r="K676" i="20" s="1"/>
  <c r="H677" i="20"/>
  <c r="J677" i="20"/>
  <c r="K677" i="20" s="1"/>
  <c r="H678" i="20"/>
  <c r="J678" i="20"/>
  <c r="K678" i="20" s="1"/>
  <c r="H679" i="20"/>
  <c r="J679" i="20"/>
  <c r="K679" i="20" s="1"/>
  <c r="H680" i="20"/>
  <c r="J680" i="20"/>
  <c r="K680" i="20" s="1"/>
  <c r="H702" i="20"/>
  <c r="J702" i="20"/>
  <c r="K702" i="20" s="1"/>
  <c r="H703" i="20"/>
  <c r="J703" i="20"/>
  <c r="K703" i="20" s="1"/>
  <c r="H704" i="20"/>
  <c r="J704" i="20"/>
  <c r="K704" i="20" s="1"/>
  <c r="H705" i="20"/>
  <c r="J705" i="20"/>
  <c r="K705" i="20" s="1"/>
  <c r="H706" i="20"/>
  <c r="J706" i="20"/>
  <c r="K706" i="20" s="1"/>
  <c r="H657" i="20"/>
  <c r="J657" i="20"/>
  <c r="K657" i="20" s="1"/>
  <c r="H658" i="20"/>
  <c r="J658" i="20"/>
  <c r="K658" i="20" s="1"/>
  <c r="H659" i="20"/>
  <c r="J659" i="20"/>
  <c r="K659" i="20" s="1"/>
  <c r="H660" i="20"/>
  <c r="J660" i="20"/>
  <c r="K660" i="20" s="1"/>
  <c r="H661" i="20"/>
  <c r="J661" i="20"/>
  <c r="K661" i="20" s="1"/>
  <c r="H662" i="20"/>
  <c r="J662" i="20"/>
  <c r="K662" i="20" s="1"/>
  <c r="H663" i="20"/>
  <c r="J663" i="20"/>
  <c r="K663" i="20" s="1"/>
  <c r="H664" i="20"/>
  <c r="J664" i="20"/>
  <c r="K664" i="20" s="1"/>
  <c r="H665" i="20"/>
  <c r="J665" i="20"/>
  <c r="K665" i="20" s="1"/>
  <c r="H666" i="20"/>
  <c r="J666" i="20"/>
  <c r="K666" i="20" s="1"/>
  <c r="H707" i="20"/>
  <c r="J707" i="20"/>
  <c r="K707" i="20" s="1"/>
  <c r="H708" i="20"/>
  <c r="J708" i="20"/>
  <c r="K708" i="20" s="1"/>
  <c r="H709" i="20"/>
  <c r="J709" i="20"/>
  <c r="K709" i="20" s="1"/>
  <c r="H710" i="20"/>
  <c r="J710" i="20"/>
  <c r="K710" i="20" s="1"/>
  <c r="H650" i="20"/>
  <c r="J650" i="20"/>
  <c r="K650" i="20" s="1"/>
  <c r="H651" i="20"/>
  <c r="J651" i="20"/>
  <c r="K651" i="20" s="1"/>
  <c r="H652" i="20"/>
  <c r="J652" i="20"/>
  <c r="K652" i="20" s="1"/>
  <c r="H653" i="20"/>
  <c r="J653" i="20"/>
  <c r="K653" i="20" s="1"/>
  <c r="H654" i="20"/>
  <c r="J654" i="20"/>
  <c r="K654" i="20" s="1"/>
  <c r="H655" i="20"/>
  <c r="J655" i="20"/>
  <c r="K655" i="20" s="1"/>
  <c r="H656" i="20"/>
  <c r="J656" i="20"/>
  <c r="K656" i="20" s="1"/>
  <c r="H399" i="20"/>
  <c r="J399" i="20"/>
  <c r="K399" i="20" s="1"/>
  <c r="H401" i="20"/>
  <c r="J401" i="20"/>
  <c r="K401" i="20" s="1"/>
  <c r="H402" i="20"/>
  <c r="J402" i="20"/>
  <c r="K402" i="20" s="1"/>
  <c r="H404" i="20"/>
  <c r="J404" i="20"/>
  <c r="K404" i="20" s="1"/>
  <c r="H338" i="20"/>
  <c r="J338" i="20"/>
  <c r="K338" i="20" s="1"/>
  <c r="H339" i="20"/>
  <c r="J339" i="20"/>
  <c r="K339" i="20" s="1"/>
  <c r="H408" i="20"/>
  <c r="J408" i="20"/>
  <c r="K408" i="20" s="1"/>
  <c r="H400" i="20"/>
  <c r="J400" i="20"/>
  <c r="K400" i="20" s="1"/>
  <c r="H403" i="20"/>
  <c r="J403" i="20"/>
  <c r="K403" i="20" s="1"/>
  <c r="H405" i="20"/>
  <c r="J405" i="20"/>
  <c r="K405" i="20" s="1"/>
  <c r="H380" i="20"/>
  <c r="J380" i="20"/>
  <c r="K380" i="20" s="1"/>
  <c r="H381" i="20"/>
  <c r="J381" i="20"/>
  <c r="K381" i="20" s="1"/>
  <c r="H382" i="20"/>
  <c r="J382" i="20"/>
  <c r="K382" i="20" s="1"/>
  <c r="H383" i="20"/>
  <c r="J383" i="20"/>
  <c r="K383" i="20" s="1"/>
  <c r="H384" i="20"/>
  <c r="J384" i="20"/>
  <c r="K384" i="20" s="1"/>
  <c r="H385" i="20"/>
  <c r="J385" i="20"/>
  <c r="K385" i="20" s="1"/>
  <c r="H386" i="20"/>
  <c r="J386" i="20"/>
  <c r="K386" i="20" s="1"/>
  <c r="H387" i="20"/>
  <c r="J387" i="20"/>
  <c r="K387" i="20" s="1"/>
  <c r="H388" i="20"/>
  <c r="J388" i="20"/>
  <c r="K388" i="20" s="1"/>
  <c r="H389" i="20"/>
  <c r="J389" i="20"/>
  <c r="K389" i="20" s="1"/>
  <c r="H390" i="20"/>
  <c r="J390" i="20"/>
  <c r="K390" i="20" s="1"/>
  <c r="H391" i="20"/>
  <c r="J391" i="20"/>
  <c r="K391" i="20" s="1"/>
  <c r="H392" i="20"/>
  <c r="J392" i="20"/>
  <c r="K392" i="20" s="1"/>
  <c r="H393" i="20"/>
  <c r="J393" i="20"/>
  <c r="K393" i="20" s="1"/>
  <c r="H394" i="20"/>
  <c r="J394" i="20"/>
  <c r="K394" i="20" s="1"/>
  <c r="H395" i="20"/>
  <c r="J395" i="20"/>
  <c r="K395" i="20" s="1"/>
  <c r="H396" i="20"/>
  <c r="J396" i="20"/>
  <c r="K396" i="20" s="1"/>
  <c r="H397" i="20"/>
  <c r="J397" i="20"/>
  <c r="K397" i="20" s="1"/>
  <c r="H398" i="20"/>
  <c r="J398" i="20"/>
  <c r="K398" i="20" s="1"/>
  <c r="H362" i="20"/>
  <c r="J362" i="20"/>
  <c r="K362" i="20" s="1"/>
  <c r="H363" i="20"/>
  <c r="J363" i="20"/>
  <c r="K363" i="20" s="1"/>
  <c r="H364" i="20"/>
  <c r="J364" i="20"/>
  <c r="K364" i="20" s="1"/>
  <c r="H365" i="20"/>
  <c r="J365" i="20"/>
  <c r="K365" i="20" s="1"/>
  <c r="H366" i="20"/>
  <c r="J366" i="20"/>
  <c r="K366" i="20" s="1"/>
  <c r="H367" i="20"/>
  <c r="J367" i="20"/>
  <c r="K367" i="20" s="1"/>
  <c r="H368" i="20"/>
  <c r="J368" i="20"/>
  <c r="K368" i="20" s="1"/>
  <c r="H369" i="20"/>
  <c r="J369" i="20"/>
  <c r="K369" i="20" s="1"/>
  <c r="H370" i="20"/>
  <c r="J370" i="20"/>
  <c r="K370" i="20" s="1"/>
  <c r="H371" i="20"/>
  <c r="J371" i="20"/>
  <c r="K371" i="20" s="1"/>
  <c r="H372" i="20"/>
  <c r="J372" i="20"/>
  <c r="K372" i="20" s="1"/>
  <c r="H373" i="20"/>
  <c r="J373" i="20"/>
  <c r="K373" i="20" s="1"/>
  <c r="H374" i="20"/>
  <c r="J374" i="20"/>
  <c r="K374" i="20" s="1"/>
  <c r="H375" i="20"/>
  <c r="J375" i="20"/>
  <c r="K375" i="20" s="1"/>
  <c r="H376" i="20"/>
  <c r="J376" i="20"/>
  <c r="K376" i="20" s="1"/>
  <c r="H377" i="20"/>
  <c r="J377" i="20"/>
  <c r="K377" i="20" s="1"/>
  <c r="H378" i="20"/>
  <c r="J378" i="20"/>
  <c r="K378" i="20" s="1"/>
  <c r="H379" i="20"/>
  <c r="J379" i="20"/>
  <c r="K379" i="20" s="1"/>
  <c r="H406" i="20"/>
  <c r="J406" i="20"/>
  <c r="K406" i="20" s="1"/>
  <c r="H407" i="20"/>
  <c r="J407" i="20"/>
  <c r="K407" i="20" s="1"/>
  <c r="H341" i="20"/>
  <c r="J341" i="20"/>
  <c r="K341" i="20" s="1"/>
  <c r="H343" i="20"/>
  <c r="J343" i="20"/>
  <c r="K343" i="20" s="1"/>
  <c r="H347" i="20"/>
  <c r="J347" i="20"/>
  <c r="K347" i="20" s="1"/>
  <c r="H348" i="20"/>
  <c r="J348" i="20"/>
  <c r="K348" i="20" s="1"/>
  <c r="H349" i="20"/>
  <c r="J349" i="20"/>
  <c r="K349" i="20" s="1"/>
  <c r="H350" i="20"/>
  <c r="J350" i="20"/>
  <c r="K350" i="20" s="1"/>
  <c r="H351" i="20"/>
  <c r="J351" i="20"/>
  <c r="K351" i="20" s="1"/>
  <c r="H352" i="20"/>
  <c r="J352" i="20"/>
  <c r="K352" i="20" s="1"/>
  <c r="H353" i="20"/>
  <c r="J353" i="20"/>
  <c r="K353" i="20" s="1"/>
  <c r="H354" i="20"/>
  <c r="J354" i="20"/>
  <c r="K354" i="20" s="1"/>
  <c r="H355" i="20"/>
  <c r="J355" i="20"/>
  <c r="K355" i="20" s="1"/>
  <c r="H356" i="20"/>
  <c r="J356" i="20"/>
  <c r="K356" i="20" s="1"/>
  <c r="H357" i="20"/>
  <c r="J357" i="20"/>
  <c r="K357" i="20" s="1"/>
  <c r="H358" i="20"/>
  <c r="J358" i="20"/>
  <c r="K358" i="20" s="1"/>
  <c r="H359" i="20"/>
  <c r="J359" i="20"/>
  <c r="K359" i="20" s="1"/>
  <c r="H360" i="20"/>
  <c r="J360" i="20"/>
  <c r="K360" i="20" s="1"/>
  <c r="H361" i="20"/>
  <c r="J361" i="20"/>
  <c r="K361" i="20" s="1"/>
  <c r="H409" i="20"/>
  <c r="J409" i="20"/>
  <c r="K409" i="20" s="1"/>
  <c r="H340" i="20"/>
  <c r="J340" i="20"/>
  <c r="K340" i="20" s="1"/>
  <c r="H342" i="20"/>
  <c r="J342" i="20"/>
  <c r="K342" i="20" s="1"/>
  <c r="H344" i="20"/>
  <c r="J344" i="20"/>
  <c r="K344" i="20" s="1"/>
  <c r="H345" i="20"/>
  <c r="J345" i="20"/>
  <c r="K345" i="20" s="1"/>
  <c r="H346" i="20"/>
  <c r="J346" i="20"/>
  <c r="K346" i="20" s="1"/>
  <c r="H472" i="20"/>
  <c r="J472" i="20"/>
  <c r="K472" i="20" s="1"/>
  <c r="H473" i="20"/>
  <c r="J473" i="20"/>
  <c r="K473" i="20" s="1"/>
  <c r="H474" i="20"/>
  <c r="J474" i="20"/>
  <c r="K474" i="20" s="1"/>
  <c r="H412" i="20"/>
  <c r="J412" i="20"/>
  <c r="K412" i="20" s="1"/>
  <c r="H414" i="20"/>
  <c r="J414" i="20"/>
  <c r="K414" i="20" s="1"/>
  <c r="H417" i="20"/>
  <c r="J417" i="20"/>
  <c r="K417" i="20" s="1"/>
  <c r="H413" i="20"/>
  <c r="J413" i="20"/>
  <c r="K413" i="20" s="1"/>
  <c r="H415" i="20"/>
  <c r="J415" i="20"/>
  <c r="K415" i="20" s="1"/>
  <c r="H416" i="20"/>
  <c r="J416" i="20"/>
  <c r="K416" i="20" s="1"/>
  <c r="H418" i="20"/>
  <c r="J418" i="20"/>
  <c r="K418" i="20" s="1"/>
  <c r="H410" i="20"/>
  <c r="J410" i="20"/>
  <c r="K410" i="20" s="1"/>
  <c r="H411" i="20"/>
  <c r="J411" i="20"/>
  <c r="K411" i="20" s="1"/>
  <c r="H468" i="20"/>
  <c r="J468" i="20"/>
  <c r="K468" i="20" s="1"/>
  <c r="H469" i="20"/>
  <c r="J469" i="20"/>
  <c r="K469" i="20" s="1"/>
  <c r="H470" i="20"/>
  <c r="J470" i="20"/>
  <c r="K470" i="20" s="1"/>
  <c r="H471" i="20"/>
  <c r="J471" i="20"/>
  <c r="K471" i="20" s="1"/>
  <c r="H447" i="20"/>
  <c r="J447" i="20"/>
  <c r="K447" i="20" s="1"/>
  <c r="H448" i="20"/>
  <c r="J448" i="20"/>
  <c r="K448" i="20" s="1"/>
  <c r="H449" i="20"/>
  <c r="J449" i="20"/>
  <c r="K449" i="20" s="1"/>
  <c r="H450" i="20"/>
  <c r="J450" i="20"/>
  <c r="K450" i="20" s="1"/>
  <c r="H451" i="20"/>
  <c r="J451" i="20"/>
  <c r="K451" i="20" s="1"/>
  <c r="H452" i="20"/>
  <c r="J452" i="20"/>
  <c r="K452" i="20" s="1"/>
  <c r="H453" i="20"/>
  <c r="J453" i="20"/>
  <c r="K453" i="20" s="1"/>
  <c r="H454" i="20"/>
  <c r="J454" i="20"/>
  <c r="K454" i="20" s="1"/>
  <c r="H455" i="20"/>
  <c r="J455" i="20"/>
  <c r="K455" i="20" s="1"/>
  <c r="H456" i="20"/>
  <c r="J456" i="20"/>
  <c r="K456" i="20" s="1"/>
  <c r="H457" i="20"/>
  <c r="J457" i="20"/>
  <c r="K457" i="20" s="1"/>
  <c r="H458" i="20"/>
  <c r="J458" i="20"/>
  <c r="K458" i="20" s="1"/>
  <c r="H459" i="20"/>
  <c r="J459" i="20"/>
  <c r="K459" i="20" s="1"/>
  <c r="H460" i="20"/>
  <c r="J460" i="20"/>
  <c r="K460" i="20" s="1"/>
  <c r="H461" i="20"/>
  <c r="J461" i="20"/>
  <c r="K461" i="20" s="1"/>
  <c r="H462" i="20"/>
  <c r="J462" i="20"/>
  <c r="K462" i="20" s="1"/>
  <c r="H463" i="20"/>
  <c r="J463" i="20"/>
  <c r="K463" i="20" s="1"/>
  <c r="H464" i="20"/>
  <c r="J464" i="20"/>
  <c r="K464" i="20" s="1"/>
  <c r="H465" i="20"/>
  <c r="J465" i="20"/>
  <c r="K465" i="20" s="1"/>
  <c r="H466" i="20"/>
  <c r="J466" i="20"/>
  <c r="K466" i="20" s="1"/>
  <c r="H467" i="20"/>
  <c r="J467" i="20"/>
  <c r="K467" i="20" s="1"/>
  <c r="H431" i="20"/>
  <c r="J431" i="20"/>
  <c r="K431" i="20" s="1"/>
  <c r="H432" i="20"/>
  <c r="J432" i="20"/>
  <c r="K432" i="20" s="1"/>
  <c r="H433" i="20"/>
  <c r="J433" i="20"/>
  <c r="K433" i="20" s="1"/>
  <c r="H434" i="20"/>
  <c r="J434" i="20"/>
  <c r="K434" i="20" s="1"/>
  <c r="H435" i="20"/>
  <c r="J435" i="20"/>
  <c r="K435" i="20" s="1"/>
  <c r="H436" i="20"/>
  <c r="J436" i="20"/>
  <c r="K436" i="20" s="1"/>
  <c r="H437" i="20"/>
  <c r="J437" i="20"/>
  <c r="K437" i="20" s="1"/>
  <c r="H438" i="20"/>
  <c r="J438" i="20"/>
  <c r="K438" i="20" s="1"/>
  <c r="H439" i="20"/>
  <c r="J439" i="20"/>
  <c r="K439" i="20" s="1"/>
  <c r="H440" i="20"/>
  <c r="J440" i="20"/>
  <c r="K440" i="20" s="1"/>
  <c r="H441" i="20"/>
  <c r="J441" i="20"/>
  <c r="K441" i="20" s="1"/>
  <c r="H442" i="20"/>
  <c r="J442" i="20"/>
  <c r="K442" i="20" s="1"/>
  <c r="H443" i="20"/>
  <c r="J443" i="20"/>
  <c r="K443" i="20" s="1"/>
  <c r="H444" i="20"/>
  <c r="J444" i="20"/>
  <c r="K444" i="20" s="1"/>
  <c r="H445" i="20"/>
  <c r="J445" i="20"/>
  <c r="K445" i="20" s="1"/>
  <c r="H446" i="20"/>
  <c r="J446" i="20"/>
  <c r="K446" i="20" s="1"/>
  <c r="H419" i="20"/>
  <c r="J419" i="20"/>
  <c r="K419" i="20" s="1"/>
  <c r="H420" i="20"/>
  <c r="J420" i="20"/>
  <c r="K420" i="20" s="1"/>
  <c r="H421" i="20"/>
  <c r="J421" i="20"/>
  <c r="K421" i="20" s="1"/>
  <c r="H422" i="20"/>
  <c r="J422" i="20"/>
  <c r="K422" i="20" s="1"/>
  <c r="H423" i="20"/>
  <c r="J423" i="20"/>
  <c r="K423" i="20" s="1"/>
  <c r="H424" i="20"/>
  <c r="J424" i="20"/>
  <c r="K424" i="20" s="1"/>
  <c r="H425" i="20"/>
  <c r="J425" i="20"/>
  <c r="K425" i="20" s="1"/>
  <c r="H426" i="20"/>
  <c r="J426" i="20"/>
  <c r="K426" i="20" s="1"/>
  <c r="H427" i="20"/>
  <c r="J427" i="20"/>
  <c r="K427" i="20" s="1"/>
  <c r="H428" i="20"/>
  <c r="J428" i="20"/>
  <c r="K428" i="20" s="1"/>
  <c r="H429" i="20"/>
  <c r="J429" i="20"/>
  <c r="K429" i="20" s="1"/>
  <c r="H430" i="20"/>
  <c r="J430" i="20"/>
  <c r="K430" i="20" s="1"/>
  <c r="H826" i="20"/>
  <c r="J826" i="20"/>
  <c r="K826" i="20" s="1"/>
  <c r="H827" i="20"/>
  <c r="J827" i="20"/>
  <c r="K827" i="20" s="1"/>
  <c r="H864" i="20"/>
  <c r="J864" i="20"/>
  <c r="K864" i="20" s="1"/>
  <c r="H865" i="20"/>
  <c r="J865" i="20"/>
  <c r="K865" i="20" s="1"/>
  <c r="H866" i="20"/>
  <c r="J866" i="20"/>
  <c r="K866" i="20" s="1"/>
  <c r="H867" i="20"/>
  <c r="J867" i="20"/>
  <c r="K867" i="20" s="1"/>
  <c r="H868" i="20"/>
  <c r="J868" i="20"/>
  <c r="K868" i="20" s="1"/>
  <c r="H869" i="20"/>
  <c r="J869" i="20"/>
  <c r="K869" i="20" s="1"/>
  <c r="H870" i="20"/>
  <c r="J870" i="20"/>
  <c r="K870" i="20" s="1"/>
  <c r="H871" i="20"/>
  <c r="J871" i="20"/>
  <c r="K871" i="20" s="1"/>
  <c r="H852" i="20"/>
  <c r="J852" i="20"/>
  <c r="K852" i="20" s="1"/>
  <c r="H853" i="20"/>
  <c r="J853" i="20"/>
  <c r="K853" i="20" s="1"/>
  <c r="H854" i="20"/>
  <c r="J854" i="20"/>
  <c r="K854" i="20" s="1"/>
  <c r="H855" i="20"/>
  <c r="J855" i="20"/>
  <c r="K855" i="20" s="1"/>
  <c r="H856" i="20"/>
  <c r="J856" i="20"/>
  <c r="K856" i="20" s="1"/>
  <c r="H857" i="20"/>
  <c r="J857" i="20"/>
  <c r="K857" i="20" s="1"/>
  <c r="H858" i="20"/>
  <c r="J858" i="20"/>
  <c r="K858" i="20" s="1"/>
  <c r="H859" i="20"/>
  <c r="J859" i="20"/>
  <c r="K859" i="20" s="1"/>
  <c r="H860" i="20"/>
  <c r="J860" i="20"/>
  <c r="K860" i="20" s="1"/>
  <c r="H861" i="20"/>
  <c r="J861" i="20"/>
  <c r="K861" i="20" s="1"/>
  <c r="H862" i="20"/>
  <c r="J862" i="20"/>
  <c r="K862" i="20" s="1"/>
  <c r="H863" i="20"/>
  <c r="J863" i="20"/>
  <c r="K863" i="20" s="1"/>
  <c r="H840" i="20"/>
  <c r="J840" i="20"/>
  <c r="K840" i="20" s="1"/>
  <c r="H841" i="20"/>
  <c r="J841" i="20"/>
  <c r="K841" i="20" s="1"/>
  <c r="H842" i="20"/>
  <c r="J842" i="20"/>
  <c r="K842" i="20" s="1"/>
  <c r="H843" i="20"/>
  <c r="J843" i="20"/>
  <c r="K843" i="20" s="1"/>
  <c r="H844" i="20"/>
  <c r="J844" i="20"/>
  <c r="K844" i="20" s="1"/>
  <c r="H845" i="20"/>
  <c r="J845" i="20"/>
  <c r="K845" i="20" s="1"/>
  <c r="H846" i="20"/>
  <c r="J846" i="20"/>
  <c r="K846" i="20" s="1"/>
  <c r="H847" i="20"/>
  <c r="J847" i="20"/>
  <c r="K847" i="20" s="1"/>
  <c r="H848" i="20"/>
  <c r="J848" i="20"/>
  <c r="K848" i="20" s="1"/>
  <c r="H849" i="20"/>
  <c r="J849" i="20"/>
  <c r="K849" i="20" s="1"/>
  <c r="H850" i="20"/>
  <c r="J850" i="20"/>
  <c r="K850" i="20" s="1"/>
  <c r="H851" i="20"/>
  <c r="J851" i="20"/>
  <c r="K851" i="20" s="1"/>
  <c r="H872" i="20"/>
  <c r="J872" i="20"/>
  <c r="K872" i="20" s="1"/>
  <c r="H873" i="20"/>
  <c r="J873" i="20"/>
  <c r="K873" i="20" s="1"/>
  <c r="H874" i="20"/>
  <c r="J874" i="20"/>
  <c r="K874" i="20" s="1"/>
  <c r="H875" i="20"/>
  <c r="J875" i="20"/>
  <c r="K875" i="20" s="1"/>
  <c r="H876" i="20"/>
  <c r="J876" i="20"/>
  <c r="K876" i="20" s="1"/>
  <c r="H877" i="20"/>
  <c r="J877" i="20"/>
  <c r="K877" i="20" s="1"/>
  <c r="H833" i="20"/>
  <c r="J833" i="20"/>
  <c r="K833" i="20" s="1"/>
  <c r="H834" i="20"/>
  <c r="J834" i="20"/>
  <c r="K834" i="20" s="1"/>
  <c r="H835" i="20"/>
  <c r="J835" i="20"/>
  <c r="K835" i="20" s="1"/>
  <c r="H836" i="20"/>
  <c r="J836" i="20"/>
  <c r="K836" i="20" s="1"/>
  <c r="H837" i="20"/>
  <c r="J837" i="20"/>
  <c r="K837" i="20" s="1"/>
  <c r="H838" i="20"/>
  <c r="J838" i="20"/>
  <c r="K838" i="20" s="1"/>
  <c r="H839" i="20"/>
  <c r="J839" i="20"/>
  <c r="K839" i="20" s="1"/>
  <c r="H878" i="20"/>
  <c r="J878" i="20"/>
  <c r="K878" i="20" s="1"/>
  <c r="H828" i="20"/>
  <c r="J828" i="20"/>
  <c r="K828" i="20" s="1"/>
  <c r="H829" i="20"/>
  <c r="J829" i="20"/>
  <c r="K829" i="20" s="1"/>
  <c r="H830" i="20"/>
  <c r="J830" i="20"/>
  <c r="K830" i="20" s="1"/>
  <c r="H831" i="20"/>
  <c r="J831" i="20"/>
  <c r="K831" i="20" s="1"/>
  <c r="H832" i="20"/>
  <c r="J832" i="20"/>
  <c r="K832" i="20" s="1"/>
  <c r="H716" i="20"/>
  <c r="J716" i="20"/>
  <c r="K716" i="20" s="1"/>
  <c r="H717" i="20"/>
  <c r="J717" i="20"/>
  <c r="K717" i="20" s="1"/>
  <c r="H711" i="20"/>
  <c r="J711" i="20"/>
  <c r="K711" i="20" s="1"/>
  <c r="H712" i="20"/>
  <c r="J712" i="20"/>
  <c r="K712" i="20" s="1"/>
  <c r="H713" i="20"/>
  <c r="J713" i="20"/>
  <c r="K713" i="20" s="1"/>
  <c r="H757" i="20"/>
  <c r="J757" i="20"/>
  <c r="K757" i="20" s="1"/>
  <c r="H761" i="20"/>
  <c r="J761" i="20"/>
  <c r="K761" i="20" s="1"/>
  <c r="H765" i="20"/>
  <c r="J765" i="20"/>
  <c r="K765" i="20" s="1"/>
  <c r="H728" i="20"/>
  <c r="J728" i="20"/>
  <c r="K728" i="20" s="1"/>
  <c r="H729" i="20"/>
  <c r="J729" i="20"/>
  <c r="K729" i="20" s="1"/>
  <c r="H731" i="20"/>
  <c r="J731" i="20"/>
  <c r="K731" i="20" s="1"/>
  <c r="H733" i="20"/>
  <c r="J733" i="20"/>
  <c r="K733" i="20" s="1"/>
  <c r="H735" i="20"/>
  <c r="J735" i="20"/>
  <c r="K735" i="20" s="1"/>
  <c r="H736" i="20"/>
  <c r="J736" i="20"/>
  <c r="K736" i="20" s="1"/>
  <c r="H737" i="20"/>
  <c r="J737" i="20"/>
  <c r="K737" i="20" s="1"/>
  <c r="H738" i="20"/>
  <c r="J738" i="20"/>
  <c r="K738" i="20" s="1"/>
  <c r="H739" i="20"/>
  <c r="J739" i="20"/>
  <c r="K739" i="20" s="1"/>
  <c r="H740" i="20"/>
  <c r="J740" i="20"/>
  <c r="K740" i="20" s="1"/>
  <c r="H742" i="20"/>
  <c r="J742" i="20"/>
  <c r="K742" i="20" s="1"/>
  <c r="H743" i="20"/>
  <c r="J743" i="20"/>
  <c r="K743" i="20" s="1"/>
  <c r="H745" i="20"/>
  <c r="J745" i="20"/>
  <c r="K745" i="20" s="1"/>
  <c r="H746" i="20"/>
  <c r="J746" i="20"/>
  <c r="K746" i="20" s="1"/>
  <c r="H747" i="20"/>
  <c r="J747" i="20"/>
  <c r="K747" i="20" s="1"/>
  <c r="H748" i="20"/>
  <c r="J748" i="20"/>
  <c r="K748" i="20" s="1"/>
  <c r="H750" i="20"/>
  <c r="J750" i="20"/>
  <c r="K750" i="20" s="1"/>
  <c r="H714" i="20"/>
  <c r="J714" i="20"/>
  <c r="K714" i="20" s="1"/>
  <c r="H715" i="20"/>
  <c r="J715" i="20"/>
  <c r="K715" i="20" s="1"/>
  <c r="H718" i="20"/>
  <c r="J718" i="20"/>
  <c r="K718" i="20" s="1"/>
  <c r="H719" i="20"/>
  <c r="J719" i="20"/>
  <c r="K719" i="20" s="1"/>
  <c r="H720" i="20"/>
  <c r="J720" i="20"/>
  <c r="K720" i="20" s="1"/>
  <c r="H721" i="20"/>
  <c r="J721" i="20"/>
  <c r="K721" i="20" s="1"/>
  <c r="H722" i="20"/>
  <c r="J722" i="20"/>
  <c r="K722" i="20" s="1"/>
  <c r="H723" i="20"/>
  <c r="J723" i="20"/>
  <c r="K723" i="20" s="1"/>
  <c r="H724" i="20"/>
  <c r="J724" i="20"/>
  <c r="K724" i="20" s="1"/>
  <c r="H725" i="20"/>
  <c r="J725" i="20"/>
  <c r="K725" i="20" s="1"/>
  <c r="H798" i="20"/>
  <c r="J798" i="20"/>
  <c r="K798" i="20" s="1"/>
  <c r="H799" i="20"/>
  <c r="J799" i="20"/>
  <c r="K799" i="20" s="1"/>
  <c r="H800" i="20"/>
  <c r="J800" i="20"/>
  <c r="K800" i="20" s="1"/>
  <c r="H801" i="20"/>
  <c r="J801" i="20"/>
  <c r="K801" i="20" s="1"/>
  <c r="H802" i="20"/>
  <c r="J802" i="20"/>
  <c r="K802" i="20" s="1"/>
  <c r="H803" i="20"/>
  <c r="J803" i="20"/>
  <c r="K803" i="20" s="1"/>
  <c r="H804" i="20"/>
  <c r="J804" i="20"/>
  <c r="K804" i="20" s="1"/>
  <c r="H805" i="20"/>
  <c r="J805" i="20"/>
  <c r="K805" i="20" s="1"/>
  <c r="H806" i="20"/>
  <c r="J806" i="20"/>
  <c r="K806" i="20" s="1"/>
  <c r="H807" i="20"/>
  <c r="J807" i="20"/>
  <c r="K807" i="20" s="1"/>
  <c r="H808" i="20"/>
  <c r="J808" i="20"/>
  <c r="K808" i="20" s="1"/>
  <c r="H809" i="20"/>
  <c r="J809" i="20"/>
  <c r="K809" i="20" s="1"/>
  <c r="H810" i="20"/>
  <c r="J810" i="20"/>
  <c r="K810" i="20" s="1"/>
  <c r="H811" i="20"/>
  <c r="J811" i="20"/>
  <c r="K811" i="20" s="1"/>
  <c r="H812" i="20"/>
  <c r="J812" i="20"/>
  <c r="K812" i="20" s="1"/>
  <c r="H813" i="20"/>
  <c r="J813" i="20"/>
  <c r="K813" i="20" s="1"/>
  <c r="H814" i="20"/>
  <c r="J814" i="20"/>
  <c r="K814" i="20" s="1"/>
  <c r="H815" i="20"/>
  <c r="J815" i="20"/>
  <c r="K815" i="20" s="1"/>
  <c r="H816" i="20"/>
  <c r="J816" i="20"/>
  <c r="K816" i="20" s="1"/>
  <c r="H817" i="20"/>
  <c r="J817" i="20"/>
  <c r="K817" i="20" s="1"/>
  <c r="H818" i="20"/>
  <c r="J818" i="20"/>
  <c r="K818" i="20" s="1"/>
  <c r="H779" i="20"/>
  <c r="J779" i="20"/>
  <c r="K779" i="20" s="1"/>
  <c r="H780" i="20"/>
  <c r="J780" i="20"/>
  <c r="K780" i="20" s="1"/>
  <c r="H781" i="20"/>
  <c r="J781" i="20"/>
  <c r="K781" i="20" s="1"/>
  <c r="H782" i="20"/>
  <c r="J782" i="20"/>
  <c r="K782" i="20" s="1"/>
  <c r="H783" i="20"/>
  <c r="J783" i="20"/>
  <c r="K783" i="20" s="1"/>
  <c r="H784" i="20"/>
  <c r="J784" i="20"/>
  <c r="K784" i="20" s="1"/>
  <c r="H785" i="20"/>
  <c r="J785" i="20"/>
  <c r="K785" i="20" s="1"/>
  <c r="H786" i="20"/>
  <c r="J786" i="20"/>
  <c r="K786" i="20" s="1"/>
  <c r="H787" i="20"/>
  <c r="J787" i="20"/>
  <c r="K787" i="20" s="1"/>
  <c r="H788" i="20"/>
  <c r="J788" i="20"/>
  <c r="K788" i="20" s="1"/>
  <c r="H789" i="20"/>
  <c r="J789" i="20"/>
  <c r="K789" i="20" s="1"/>
  <c r="H790" i="20"/>
  <c r="J790" i="20"/>
  <c r="K790" i="20" s="1"/>
  <c r="H791" i="20"/>
  <c r="J791" i="20"/>
  <c r="K791" i="20" s="1"/>
  <c r="H792" i="20"/>
  <c r="J792" i="20"/>
  <c r="K792" i="20" s="1"/>
  <c r="H793" i="20"/>
  <c r="J793" i="20"/>
  <c r="K793" i="20" s="1"/>
  <c r="H794" i="20"/>
  <c r="J794" i="20"/>
  <c r="K794" i="20" s="1"/>
  <c r="H795" i="20"/>
  <c r="J795" i="20"/>
  <c r="K795" i="20" s="1"/>
  <c r="H796" i="20"/>
  <c r="J796" i="20"/>
  <c r="K796" i="20" s="1"/>
  <c r="H797" i="20"/>
  <c r="J797" i="20"/>
  <c r="K797" i="20" s="1"/>
  <c r="H754" i="20"/>
  <c r="J754" i="20"/>
  <c r="K754" i="20" s="1"/>
  <c r="H755" i="20"/>
  <c r="J755" i="20"/>
  <c r="K755" i="20" s="1"/>
  <c r="H756" i="20"/>
  <c r="J756" i="20"/>
  <c r="K756" i="20" s="1"/>
  <c r="H758" i="20"/>
  <c r="J758" i="20"/>
  <c r="K758" i="20" s="1"/>
  <c r="H759" i="20"/>
  <c r="J759" i="20"/>
  <c r="K759" i="20" s="1"/>
  <c r="H760" i="20"/>
  <c r="J760" i="20"/>
  <c r="K760" i="20" s="1"/>
  <c r="H762" i="20"/>
  <c r="J762" i="20"/>
  <c r="K762" i="20" s="1"/>
  <c r="H763" i="20"/>
  <c r="J763" i="20"/>
  <c r="K763" i="20" s="1"/>
  <c r="H764" i="20"/>
  <c r="J764" i="20"/>
  <c r="K764" i="20" s="1"/>
  <c r="H766" i="20"/>
  <c r="J766" i="20"/>
  <c r="K766" i="20" s="1"/>
  <c r="H767" i="20"/>
  <c r="J767" i="20"/>
  <c r="K767" i="20" s="1"/>
  <c r="H768" i="20"/>
  <c r="J768" i="20"/>
  <c r="K768" i="20" s="1"/>
  <c r="H769" i="20"/>
  <c r="J769" i="20"/>
  <c r="K769" i="20" s="1"/>
  <c r="H770" i="20"/>
  <c r="J770" i="20"/>
  <c r="K770" i="20" s="1"/>
  <c r="H771" i="20"/>
  <c r="J771" i="20"/>
  <c r="K771" i="20" s="1"/>
  <c r="H772" i="20"/>
  <c r="J772" i="20"/>
  <c r="K772" i="20" s="1"/>
  <c r="H773" i="20"/>
  <c r="J773" i="20"/>
  <c r="K773" i="20" s="1"/>
  <c r="H774" i="20"/>
  <c r="J774" i="20"/>
  <c r="K774" i="20" s="1"/>
  <c r="H775" i="20"/>
  <c r="J775" i="20"/>
  <c r="K775" i="20" s="1"/>
  <c r="H776" i="20"/>
  <c r="J776" i="20"/>
  <c r="K776" i="20" s="1"/>
  <c r="H777" i="20"/>
  <c r="J777" i="20"/>
  <c r="K777" i="20" s="1"/>
  <c r="H778" i="20"/>
  <c r="J778" i="20"/>
  <c r="K778" i="20" s="1"/>
  <c r="H819" i="20"/>
  <c r="J819" i="20"/>
  <c r="K819" i="20" s="1"/>
  <c r="H820" i="20"/>
  <c r="J820" i="20"/>
  <c r="K820" i="20" s="1"/>
  <c r="H821" i="20"/>
  <c r="J821" i="20"/>
  <c r="K821" i="20" s="1"/>
  <c r="H822" i="20"/>
  <c r="J822" i="20"/>
  <c r="K822" i="20" s="1"/>
  <c r="H730" i="20"/>
  <c r="J730" i="20"/>
  <c r="K730" i="20" s="1"/>
  <c r="H732" i="20"/>
  <c r="J732" i="20"/>
  <c r="K732" i="20" s="1"/>
  <c r="H734" i="20"/>
  <c r="J734" i="20"/>
  <c r="K734" i="20" s="1"/>
  <c r="H741" i="20"/>
  <c r="J741" i="20"/>
  <c r="K741" i="20" s="1"/>
  <c r="H744" i="20"/>
  <c r="J744" i="20"/>
  <c r="K744" i="20" s="1"/>
  <c r="H749" i="20"/>
  <c r="J749" i="20"/>
  <c r="K749" i="20" s="1"/>
  <c r="H751" i="20"/>
  <c r="J751" i="20"/>
  <c r="K751" i="20" s="1"/>
  <c r="H752" i="20"/>
  <c r="J752" i="20"/>
  <c r="K752" i="20" s="1"/>
  <c r="H753" i="20"/>
  <c r="J753" i="20"/>
  <c r="K753" i="20" s="1"/>
  <c r="H823" i="20"/>
  <c r="J823" i="20"/>
  <c r="K823" i="20" s="1"/>
  <c r="H824" i="20"/>
  <c r="J824" i="20"/>
  <c r="K824" i="20" s="1"/>
  <c r="H825" i="20"/>
  <c r="J825" i="20"/>
  <c r="K825" i="20" s="1"/>
  <c r="H726" i="20"/>
  <c r="J726" i="20"/>
  <c r="K726" i="20" s="1"/>
  <c r="H727" i="20"/>
  <c r="J727" i="20"/>
  <c r="K727" i="20" s="1"/>
  <c r="H475" i="20"/>
  <c r="J475" i="20"/>
  <c r="K475" i="20" s="1"/>
  <c r="H476" i="20"/>
  <c r="J476" i="20"/>
  <c r="K476" i="20" s="1"/>
  <c r="H477" i="20"/>
  <c r="J477" i="20"/>
  <c r="K477" i="20" s="1"/>
  <c r="H478" i="20"/>
  <c r="J478" i="20"/>
  <c r="K478" i="20" s="1"/>
  <c r="H501" i="20"/>
  <c r="J501" i="20"/>
  <c r="K501" i="20" s="1"/>
  <c r="H502" i="20"/>
  <c r="J502" i="20"/>
  <c r="K502" i="20" s="1"/>
  <c r="H503" i="20"/>
  <c r="J503" i="20"/>
  <c r="K503" i="20" s="1"/>
  <c r="H504" i="20"/>
  <c r="J504" i="20"/>
  <c r="K504" i="20" s="1"/>
  <c r="H505" i="20"/>
  <c r="J505" i="20"/>
  <c r="K505" i="20" s="1"/>
  <c r="H490" i="20"/>
  <c r="J490" i="20"/>
  <c r="K490" i="20" s="1"/>
  <c r="H491" i="20"/>
  <c r="J491" i="20"/>
  <c r="K491" i="20" s="1"/>
  <c r="H492" i="20"/>
  <c r="J492" i="20"/>
  <c r="K492" i="20" s="1"/>
  <c r="H493" i="20"/>
  <c r="J493" i="20"/>
  <c r="K493" i="20" s="1"/>
  <c r="H494" i="20"/>
  <c r="J494" i="20"/>
  <c r="K494" i="20" s="1"/>
  <c r="H495" i="20"/>
  <c r="J495" i="20"/>
  <c r="K495" i="20" s="1"/>
  <c r="H496" i="20"/>
  <c r="J496" i="20"/>
  <c r="K496" i="20" s="1"/>
  <c r="H497" i="20"/>
  <c r="J497" i="20"/>
  <c r="K497" i="20" s="1"/>
  <c r="H498" i="20"/>
  <c r="J498" i="20"/>
  <c r="K498" i="20" s="1"/>
  <c r="H499" i="20"/>
  <c r="J499" i="20"/>
  <c r="K499" i="20" s="1"/>
  <c r="H500" i="20"/>
  <c r="J500" i="20"/>
  <c r="K500" i="20" s="1"/>
  <c r="H506" i="20"/>
  <c r="J506" i="20"/>
  <c r="K506" i="20" s="1"/>
  <c r="H481" i="20"/>
  <c r="J481" i="20"/>
  <c r="K481" i="20" s="1"/>
  <c r="H483" i="20"/>
  <c r="J483" i="20"/>
  <c r="K483" i="20" s="1"/>
  <c r="H484" i="20"/>
  <c r="J484" i="20"/>
  <c r="K484" i="20" s="1"/>
  <c r="H485" i="20"/>
  <c r="J485" i="20"/>
  <c r="K485" i="20" s="1"/>
  <c r="H486" i="20"/>
  <c r="J486" i="20"/>
  <c r="K486" i="20" s="1"/>
  <c r="H487" i="20"/>
  <c r="J487" i="20"/>
  <c r="K487" i="20" s="1"/>
  <c r="H488" i="20"/>
  <c r="J488" i="20"/>
  <c r="K488" i="20" s="1"/>
  <c r="H489" i="20"/>
  <c r="J489" i="20"/>
  <c r="K489" i="20" s="1"/>
  <c r="H507" i="20"/>
  <c r="J507" i="20"/>
  <c r="K507" i="20" s="1"/>
  <c r="H508" i="20"/>
  <c r="J508" i="20"/>
  <c r="K508" i="20" s="1"/>
  <c r="H479" i="20"/>
  <c r="J479" i="20"/>
  <c r="K479" i="20" s="1"/>
  <c r="H480" i="20"/>
  <c r="J480" i="20"/>
  <c r="K480" i="20" s="1"/>
  <c r="H482" i="20"/>
  <c r="J482" i="20"/>
  <c r="K482" i="20" s="1"/>
  <c r="H327" i="20"/>
  <c r="J327" i="20"/>
  <c r="K327" i="20" s="1"/>
  <c r="H335" i="20"/>
  <c r="J335" i="20"/>
  <c r="K335" i="20" s="1"/>
  <c r="H273" i="20"/>
  <c r="J273" i="20"/>
  <c r="K273" i="20" s="1"/>
  <c r="H274" i="20"/>
  <c r="J274" i="20"/>
  <c r="K274" i="20" s="1"/>
  <c r="H275" i="20"/>
  <c r="J275" i="20"/>
  <c r="K275" i="20" s="1"/>
  <c r="H276" i="20"/>
  <c r="J276" i="20"/>
  <c r="K276" i="20" s="1"/>
  <c r="H317" i="20"/>
  <c r="J317" i="20"/>
  <c r="K317" i="20" s="1"/>
  <c r="H318" i="20"/>
  <c r="J318" i="20"/>
  <c r="K318" i="20" s="1"/>
  <c r="H322" i="20"/>
  <c r="J322" i="20"/>
  <c r="K322" i="20" s="1"/>
  <c r="H326" i="20"/>
  <c r="J326" i="20"/>
  <c r="K326" i="20" s="1"/>
  <c r="H328" i="20"/>
  <c r="J328" i="20"/>
  <c r="K328" i="20" s="1"/>
  <c r="H329" i="20"/>
  <c r="J329" i="20"/>
  <c r="K329" i="20" s="1"/>
  <c r="H304" i="20"/>
  <c r="J304" i="20"/>
  <c r="K304" i="20" s="1"/>
  <c r="H307" i="20"/>
  <c r="J307" i="20"/>
  <c r="K307" i="20" s="1"/>
  <c r="H309" i="20"/>
  <c r="J309" i="20"/>
  <c r="K309" i="20" s="1"/>
  <c r="H310" i="20"/>
  <c r="J310" i="20"/>
  <c r="K310" i="20" s="1"/>
  <c r="H313" i="20"/>
  <c r="J313" i="20"/>
  <c r="K313" i="20" s="1"/>
  <c r="H316" i="20"/>
  <c r="J316" i="20"/>
  <c r="K316" i="20" s="1"/>
  <c r="H302" i="20"/>
  <c r="J302" i="20"/>
  <c r="K302" i="20" s="1"/>
  <c r="H332" i="20"/>
  <c r="J332" i="20"/>
  <c r="K332" i="20" s="1"/>
  <c r="H333" i="20"/>
  <c r="J333" i="20"/>
  <c r="K333" i="20" s="1"/>
  <c r="H288" i="20"/>
  <c r="J288" i="20"/>
  <c r="K288" i="20" s="1"/>
  <c r="H289" i="20"/>
  <c r="J289" i="20"/>
  <c r="K289" i="20" s="1"/>
  <c r="H293" i="20"/>
  <c r="J293" i="20"/>
  <c r="K293" i="20" s="1"/>
  <c r="H294" i="20"/>
  <c r="J294" i="20"/>
  <c r="K294" i="20" s="1"/>
  <c r="H297" i="20"/>
  <c r="J297" i="20"/>
  <c r="K297" i="20" s="1"/>
  <c r="H299" i="20"/>
  <c r="J299" i="20"/>
  <c r="K299" i="20" s="1"/>
  <c r="H336" i="20"/>
  <c r="J336" i="20"/>
  <c r="K336" i="20" s="1"/>
  <c r="H278" i="20"/>
  <c r="J278" i="20"/>
  <c r="K278" i="20" s="1"/>
  <c r="H281" i="20"/>
  <c r="J281" i="20"/>
  <c r="K281" i="20" s="1"/>
  <c r="H282" i="20"/>
  <c r="J282" i="20"/>
  <c r="K282" i="20" s="1"/>
  <c r="H284" i="20"/>
  <c r="J284" i="20"/>
  <c r="K284" i="20" s="1"/>
  <c r="H286" i="20"/>
  <c r="J286" i="20"/>
  <c r="K286" i="20" s="1"/>
  <c r="H319" i="20"/>
  <c r="J319" i="20"/>
  <c r="K319" i="20" s="1"/>
  <c r="H320" i="20"/>
  <c r="J320" i="20"/>
  <c r="K320" i="20" s="1"/>
  <c r="H321" i="20"/>
  <c r="J321" i="20"/>
  <c r="K321" i="20" s="1"/>
  <c r="H323" i="20"/>
  <c r="J323" i="20"/>
  <c r="K323" i="20" s="1"/>
  <c r="H324" i="20"/>
  <c r="J324" i="20"/>
  <c r="K324" i="20" s="1"/>
  <c r="H325" i="20"/>
  <c r="J325" i="20"/>
  <c r="K325" i="20" s="1"/>
  <c r="H330" i="20"/>
  <c r="J330" i="20"/>
  <c r="K330" i="20" s="1"/>
  <c r="H305" i="20"/>
  <c r="J305" i="20"/>
  <c r="K305" i="20" s="1"/>
  <c r="H306" i="20"/>
  <c r="J306" i="20"/>
  <c r="K306" i="20" s="1"/>
  <c r="H308" i="20"/>
  <c r="J308" i="20"/>
  <c r="K308" i="20" s="1"/>
  <c r="H311" i="20"/>
  <c r="J311" i="20"/>
  <c r="K311" i="20" s="1"/>
  <c r="H312" i="20"/>
  <c r="J312" i="20"/>
  <c r="K312" i="20" s="1"/>
  <c r="H314" i="20"/>
  <c r="J314" i="20"/>
  <c r="K314" i="20" s="1"/>
  <c r="H315" i="20"/>
  <c r="J315" i="20"/>
  <c r="K315" i="20" s="1"/>
  <c r="H303" i="20"/>
  <c r="J303" i="20"/>
  <c r="K303" i="20" s="1"/>
  <c r="H331" i="20"/>
  <c r="J331" i="20"/>
  <c r="K331" i="20" s="1"/>
  <c r="H334" i="20"/>
  <c r="J334" i="20"/>
  <c r="K334" i="20" s="1"/>
  <c r="H290" i="20"/>
  <c r="J290" i="20"/>
  <c r="K290" i="20" s="1"/>
  <c r="H291" i="20"/>
  <c r="J291" i="20"/>
  <c r="K291" i="20" s="1"/>
  <c r="H292" i="20"/>
  <c r="J292" i="20"/>
  <c r="K292" i="20" s="1"/>
  <c r="H295" i="20"/>
  <c r="J295" i="20"/>
  <c r="K295" i="20" s="1"/>
  <c r="H296" i="20"/>
  <c r="J296" i="20"/>
  <c r="K296" i="20" s="1"/>
  <c r="H298" i="20"/>
  <c r="J298" i="20"/>
  <c r="K298" i="20" s="1"/>
  <c r="H300" i="20"/>
  <c r="J300" i="20"/>
  <c r="K300" i="20" s="1"/>
  <c r="H301" i="20"/>
  <c r="J301" i="20"/>
  <c r="K301" i="20" s="1"/>
  <c r="H337" i="20"/>
  <c r="J337" i="20"/>
  <c r="K337" i="20" s="1"/>
  <c r="H277" i="20"/>
  <c r="J277" i="20"/>
  <c r="K277" i="20" s="1"/>
  <c r="H279" i="20"/>
  <c r="J279" i="20"/>
  <c r="K279" i="20" s="1"/>
  <c r="H280" i="20"/>
  <c r="J280" i="20"/>
  <c r="K280" i="20" s="1"/>
  <c r="H283" i="20"/>
  <c r="J283" i="20"/>
  <c r="K283" i="20" s="1"/>
  <c r="H285" i="20"/>
  <c r="J285" i="20"/>
  <c r="K285" i="20" s="1"/>
  <c r="H287" i="20"/>
  <c r="J287" i="20"/>
  <c r="K287" i="20" s="1"/>
  <c r="H578" i="20"/>
  <c r="J578" i="20"/>
  <c r="K578" i="20" s="1"/>
  <c r="H579" i="20"/>
  <c r="J579" i="20"/>
  <c r="K579" i="20" s="1"/>
  <c r="H580" i="20"/>
  <c r="J580" i="20"/>
  <c r="K580" i="20" s="1"/>
  <c r="H569" i="20"/>
  <c r="J569" i="20"/>
  <c r="K569" i="20" s="1"/>
  <c r="H570" i="20"/>
  <c r="J570" i="20"/>
  <c r="K570" i="20" s="1"/>
  <c r="H573" i="20"/>
  <c r="J573" i="20"/>
  <c r="K573" i="20" s="1"/>
  <c r="H571" i="20"/>
  <c r="J571" i="20"/>
  <c r="K571" i="20" s="1"/>
  <c r="H572" i="20"/>
  <c r="J572" i="20"/>
  <c r="K572" i="20" s="1"/>
  <c r="H574" i="20"/>
  <c r="J574" i="20"/>
  <c r="K574" i="20" s="1"/>
  <c r="H630" i="20"/>
  <c r="J630" i="20"/>
  <c r="K630" i="20" s="1"/>
  <c r="H631" i="20"/>
  <c r="J631" i="20"/>
  <c r="K631" i="20" s="1"/>
  <c r="H634" i="20"/>
  <c r="J634" i="20"/>
  <c r="K634" i="20" s="1"/>
  <c r="H635" i="20"/>
  <c r="J635" i="20"/>
  <c r="K635" i="20" s="1"/>
  <c r="H636" i="20"/>
  <c r="J636" i="20"/>
  <c r="K636" i="20" s="1"/>
  <c r="H637" i="20"/>
  <c r="J637" i="20"/>
  <c r="K637" i="20" s="1"/>
  <c r="H638" i="20"/>
  <c r="J638" i="20"/>
  <c r="K638" i="20" s="1"/>
  <c r="H639" i="20"/>
  <c r="J639" i="20"/>
  <c r="K639" i="20" s="1"/>
  <c r="H640" i="20"/>
  <c r="J640" i="20"/>
  <c r="K640" i="20" s="1"/>
  <c r="H641" i="20"/>
  <c r="J641" i="20"/>
  <c r="K641" i="20" s="1"/>
  <c r="H642" i="20"/>
  <c r="J642" i="20"/>
  <c r="K642" i="20" s="1"/>
  <c r="H617" i="20"/>
  <c r="J617" i="20"/>
  <c r="K617" i="20" s="1"/>
  <c r="H618" i="20"/>
  <c r="J618" i="20"/>
  <c r="K618" i="20" s="1"/>
  <c r="H619" i="20"/>
  <c r="J619" i="20"/>
  <c r="K619" i="20" s="1"/>
  <c r="H620" i="20"/>
  <c r="J620" i="20"/>
  <c r="K620" i="20" s="1"/>
  <c r="H621" i="20"/>
  <c r="J621" i="20"/>
  <c r="K621" i="20" s="1"/>
  <c r="H622" i="20"/>
  <c r="J622" i="20"/>
  <c r="K622" i="20" s="1"/>
  <c r="H623" i="20"/>
  <c r="J623" i="20"/>
  <c r="K623" i="20" s="1"/>
  <c r="H624" i="20"/>
  <c r="J624" i="20"/>
  <c r="K624" i="20" s="1"/>
  <c r="H625" i="20"/>
  <c r="J625" i="20"/>
  <c r="K625" i="20" s="1"/>
  <c r="H626" i="20"/>
  <c r="J626" i="20"/>
  <c r="K626" i="20" s="1"/>
  <c r="H627" i="20"/>
  <c r="J627" i="20"/>
  <c r="K627" i="20" s="1"/>
  <c r="H628" i="20"/>
  <c r="J628" i="20"/>
  <c r="K628" i="20" s="1"/>
  <c r="H629" i="20"/>
  <c r="J629" i="20"/>
  <c r="K629" i="20" s="1"/>
  <c r="H632" i="20"/>
  <c r="J632" i="20"/>
  <c r="K632" i="20" s="1"/>
  <c r="H633" i="20"/>
  <c r="J633" i="20"/>
  <c r="K633" i="20" s="1"/>
  <c r="H585" i="20"/>
  <c r="J585" i="20"/>
  <c r="K585" i="20" s="1"/>
  <c r="H596" i="20"/>
  <c r="J596" i="20"/>
  <c r="K596" i="20" s="1"/>
  <c r="H597" i="20"/>
  <c r="J597" i="20"/>
  <c r="K597" i="20" s="1"/>
  <c r="H598" i="20"/>
  <c r="J598" i="20"/>
  <c r="K598" i="20" s="1"/>
  <c r="H599" i="20"/>
  <c r="J599" i="20"/>
  <c r="K599" i="20" s="1"/>
  <c r="H600" i="20"/>
  <c r="J600" i="20"/>
  <c r="K600" i="20" s="1"/>
  <c r="H601" i="20"/>
  <c r="J601" i="20"/>
  <c r="K601" i="20" s="1"/>
  <c r="H602" i="20"/>
  <c r="J602" i="20"/>
  <c r="K602" i="20" s="1"/>
  <c r="H603" i="20"/>
  <c r="J603" i="20"/>
  <c r="K603" i="20" s="1"/>
  <c r="H604" i="20"/>
  <c r="J604" i="20"/>
  <c r="K604" i="20" s="1"/>
  <c r="H605" i="20"/>
  <c r="J605" i="20"/>
  <c r="K605" i="20" s="1"/>
  <c r="H606" i="20"/>
  <c r="J606" i="20"/>
  <c r="K606" i="20" s="1"/>
  <c r="H607" i="20"/>
  <c r="J607" i="20"/>
  <c r="K607" i="20" s="1"/>
  <c r="H608" i="20"/>
  <c r="J608" i="20"/>
  <c r="K608" i="20" s="1"/>
  <c r="H609" i="20"/>
  <c r="J609" i="20"/>
  <c r="K609" i="20" s="1"/>
  <c r="H610" i="20"/>
  <c r="J610" i="20"/>
  <c r="K610" i="20" s="1"/>
  <c r="H611" i="20"/>
  <c r="J611" i="20"/>
  <c r="K611" i="20" s="1"/>
  <c r="H612" i="20"/>
  <c r="J612" i="20"/>
  <c r="K612" i="20" s="1"/>
  <c r="H613" i="20"/>
  <c r="J613" i="20"/>
  <c r="K613" i="20" s="1"/>
  <c r="H614" i="20"/>
  <c r="J614" i="20"/>
  <c r="K614" i="20" s="1"/>
  <c r="H615" i="20"/>
  <c r="J615" i="20"/>
  <c r="K615" i="20" s="1"/>
  <c r="H616" i="20"/>
  <c r="J616" i="20"/>
  <c r="K616" i="20" s="1"/>
  <c r="H643" i="20"/>
  <c r="J643" i="20"/>
  <c r="K643" i="20" s="1"/>
  <c r="H644" i="20"/>
  <c r="J644" i="20"/>
  <c r="K644" i="20" s="1"/>
  <c r="H645" i="20"/>
  <c r="J645" i="20"/>
  <c r="K645" i="20" s="1"/>
  <c r="H646" i="20"/>
  <c r="J646" i="20"/>
  <c r="K646" i="20" s="1"/>
  <c r="H647" i="20"/>
  <c r="J647" i="20"/>
  <c r="K647" i="20" s="1"/>
  <c r="H582" i="20"/>
  <c r="J582" i="20"/>
  <c r="K582" i="20" s="1"/>
  <c r="H583" i="20"/>
  <c r="J583" i="20"/>
  <c r="K583" i="20" s="1"/>
  <c r="H584" i="20"/>
  <c r="J584" i="20"/>
  <c r="K584" i="20" s="1"/>
  <c r="H586" i="20"/>
  <c r="J586" i="20"/>
  <c r="K586" i="20" s="1"/>
  <c r="H587" i="20"/>
  <c r="J587" i="20"/>
  <c r="K587" i="20" s="1"/>
  <c r="H588" i="20"/>
  <c r="J588" i="20"/>
  <c r="K588" i="20" s="1"/>
  <c r="H589" i="20"/>
  <c r="J589" i="20"/>
  <c r="K589" i="20" s="1"/>
  <c r="H590" i="20"/>
  <c r="J590" i="20"/>
  <c r="K590" i="20" s="1"/>
  <c r="H591" i="20"/>
  <c r="J591" i="20"/>
  <c r="K591" i="20" s="1"/>
  <c r="H592" i="20"/>
  <c r="J592" i="20"/>
  <c r="K592" i="20" s="1"/>
  <c r="H593" i="20"/>
  <c r="J593" i="20"/>
  <c r="K593" i="20" s="1"/>
  <c r="H594" i="20"/>
  <c r="J594" i="20"/>
  <c r="K594" i="20" s="1"/>
  <c r="H595" i="20"/>
  <c r="J595" i="20"/>
  <c r="K595" i="20" s="1"/>
  <c r="H575" i="20"/>
  <c r="J575" i="20"/>
  <c r="K575" i="20" s="1"/>
  <c r="H576" i="20"/>
  <c r="J576" i="20"/>
  <c r="K576" i="20" s="1"/>
  <c r="H577" i="20"/>
  <c r="J577" i="20"/>
  <c r="K577" i="20" s="1"/>
  <c r="H581" i="20"/>
  <c r="J581" i="20"/>
  <c r="K581" i="20" s="1"/>
  <c r="J510" i="20"/>
  <c r="K510" i="20" s="1"/>
  <c r="H510" i="20"/>
  <c r="J272" i="20" l="1"/>
  <c r="K272" i="20" s="1"/>
  <c r="J271" i="20"/>
  <c r="K271" i="20" s="1"/>
  <c r="J270" i="20"/>
  <c r="K270" i="20" s="1"/>
  <c r="J269" i="20"/>
  <c r="K269" i="20" s="1"/>
  <c r="J268" i="20"/>
  <c r="K268" i="20" s="1"/>
  <c r="J267" i="20"/>
  <c r="K267" i="20" s="1"/>
  <c r="J266" i="20"/>
  <c r="K266" i="20" s="1"/>
  <c r="J265" i="20"/>
  <c r="K265" i="20" s="1"/>
  <c r="H272" i="20"/>
  <c r="H271" i="20"/>
  <c r="H270" i="20"/>
  <c r="H269" i="20"/>
  <c r="H268" i="20"/>
  <c r="H267" i="20"/>
  <c r="H266" i="20"/>
  <c r="H265" i="20"/>
  <c r="J264" i="20"/>
  <c r="K264" i="20" s="1"/>
  <c r="J263" i="20"/>
  <c r="K263" i="20" s="1"/>
  <c r="J262" i="20"/>
  <c r="K262" i="20" s="1"/>
  <c r="J261" i="20"/>
  <c r="K261" i="20" s="1"/>
  <c r="J260" i="20"/>
  <c r="K260" i="20" s="1"/>
  <c r="J259" i="20"/>
  <c r="K259" i="20" s="1"/>
  <c r="J258" i="20"/>
  <c r="K258" i="20" s="1"/>
  <c r="H264" i="20"/>
  <c r="H263" i="20"/>
  <c r="H262" i="20"/>
  <c r="H261" i="20"/>
  <c r="H260" i="20"/>
  <c r="H259" i="20"/>
  <c r="H258" i="20"/>
  <c r="J257" i="20"/>
  <c r="K257" i="20" s="1"/>
  <c r="H257" i="20"/>
  <c r="J256" i="20"/>
  <c r="K256" i="20" s="1"/>
  <c r="H256" i="20"/>
  <c r="H46" i="20"/>
  <c r="J46" i="20"/>
  <c r="K46" i="20" s="1"/>
  <c r="H47" i="20"/>
  <c r="J47" i="20"/>
  <c r="K47" i="20" s="1"/>
  <c r="H48" i="20"/>
  <c r="J48" i="20"/>
  <c r="K48" i="20" s="1"/>
  <c r="H49" i="20"/>
  <c r="J49" i="20"/>
  <c r="K49" i="20" s="1"/>
  <c r="H50" i="20"/>
  <c r="J50" i="20"/>
  <c r="K50" i="20" s="1"/>
  <c r="H51" i="20"/>
  <c r="J51" i="20"/>
  <c r="K51" i="20" s="1"/>
  <c r="H52" i="20"/>
  <c r="J52" i="20"/>
  <c r="K52" i="20" s="1"/>
  <c r="H53" i="20"/>
  <c r="J53" i="20"/>
  <c r="K53" i="20" s="1"/>
  <c r="H54" i="20"/>
  <c r="J54" i="20"/>
  <c r="K54" i="20" s="1"/>
  <c r="H55" i="20"/>
  <c r="J55" i="20"/>
  <c r="K55" i="20" s="1"/>
  <c r="H56" i="20"/>
  <c r="J56" i="20"/>
  <c r="K56" i="20" s="1"/>
  <c r="H57" i="20"/>
  <c r="J57" i="20"/>
  <c r="K57" i="20" s="1"/>
  <c r="H58" i="20"/>
  <c r="J58" i="20"/>
  <c r="K58" i="20" s="1"/>
  <c r="H59" i="20"/>
  <c r="J59" i="20"/>
  <c r="K59" i="20" s="1"/>
  <c r="H60" i="20"/>
  <c r="J60" i="20"/>
  <c r="K60" i="20" s="1"/>
  <c r="H61" i="20"/>
  <c r="J61" i="20"/>
  <c r="K61" i="20" s="1"/>
  <c r="H62" i="20"/>
  <c r="J62" i="20"/>
  <c r="K62" i="20" s="1"/>
  <c r="H63" i="20"/>
  <c r="J63" i="20"/>
  <c r="K63" i="20" s="1"/>
  <c r="H64" i="20"/>
  <c r="J64" i="20"/>
  <c r="K64" i="20" s="1"/>
  <c r="H65" i="20"/>
  <c r="J65" i="20"/>
  <c r="K65" i="20" s="1"/>
  <c r="H66" i="20"/>
  <c r="J66" i="20"/>
  <c r="K66" i="20" s="1"/>
  <c r="H67" i="20"/>
  <c r="J67" i="20"/>
  <c r="K67" i="20" s="1"/>
  <c r="H68" i="20"/>
  <c r="J68" i="20"/>
  <c r="K68" i="20" s="1"/>
  <c r="H69" i="20"/>
  <c r="J69" i="20"/>
  <c r="K69" i="20" s="1"/>
  <c r="H70" i="20"/>
  <c r="J70" i="20"/>
  <c r="K70" i="20" s="1"/>
  <c r="H71" i="20"/>
  <c r="J71" i="20"/>
  <c r="K71" i="20" s="1"/>
  <c r="H72" i="20"/>
  <c r="J72" i="20"/>
  <c r="K72" i="20" s="1"/>
  <c r="H73" i="20"/>
  <c r="J73" i="20"/>
  <c r="K73" i="20" s="1"/>
  <c r="H74" i="20"/>
  <c r="J74" i="20"/>
  <c r="K74" i="20" s="1"/>
  <c r="H75" i="20"/>
  <c r="J75" i="20"/>
  <c r="K75" i="20" s="1"/>
  <c r="H76" i="20"/>
  <c r="J76" i="20"/>
  <c r="K76" i="20" s="1"/>
  <c r="H77" i="20"/>
  <c r="J77" i="20"/>
  <c r="K77" i="20" s="1"/>
  <c r="H78" i="20"/>
  <c r="J78" i="20"/>
  <c r="K78" i="20" s="1"/>
  <c r="H79" i="20"/>
  <c r="J79" i="20"/>
  <c r="K79" i="20" s="1"/>
  <c r="H80" i="20"/>
  <c r="J80" i="20"/>
  <c r="K80" i="20" s="1"/>
  <c r="H81" i="20"/>
  <c r="J81" i="20"/>
  <c r="K81" i="20" s="1"/>
  <c r="H82" i="20"/>
  <c r="J82" i="20"/>
  <c r="K82" i="20" s="1"/>
  <c r="H83" i="20"/>
  <c r="J83" i="20"/>
  <c r="K83" i="20" s="1"/>
  <c r="H84" i="20"/>
  <c r="J84" i="20"/>
  <c r="K84" i="20" s="1"/>
  <c r="H85" i="20"/>
  <c r="J85" i="20"/>
  <c r="K85" i="20" s="1"/>
  <c r="H86" i="20"/>
  <c r="J86" i="20"/>
  <c r="K86" i="20" s="1"/>
  <c r="H87" i="20"/>
  <c r="J87" i="20"/>
  <c r="K87" i="20" s="1"/>
  <c r="H88" i="20"/>
  <c r="J88" i="20"/>
  <c r="K88" i="20" s="1"/>
  <c r="H89" i="20"/>
  <c r="J89" i="20"/>
  <c r="K89" i="20" s="1"/>
  <c r="H90" i="20"/>
  <c r="J90" i="20"/>
  <c r="K90" i="20" s="1"/>
  <c r="H91" i="20"/>
  <c r="J91" i="20"/>
  <c r="K91" i="20" s="1"/>
  <c r="H92" i="20"/>
  <c r="J92" i="20"/>
  <c r="K92" i="20" s="1"/>
  <c r="J93" i="20"/>
  <c r="K93" i="20" s="1"/>
  <c r="J94" i="20"/>
  <c r="K94" i="20" s="1"/>
  <c r="J95" i="20"/>
  <c r="K95" i="20" s="1"/>
  <c r="J96" i="20"/>
  <c r="K96" i="20" s="1"/>
  <c r="J97" i="20"/>
  <c r="K97" i="20" s="1"/>
  <c r="J98" i="20"/>
  <c r="K98" i="20" s="1"/>
  <c r="J99" i="20"/>
  <c r="K99" i="20" s="1"/>
  <c r="J100" i="20"/>
  <c r="K100" i="20" s="1"/>
  <c r="J101" i="20"/>
  <c r="K101" i="20" s="1"/>
  <c r="J102" i="20"/>
  <c r="K102" i="20" s="1"/>
  <c r="J103" i="20"/>
  <c r="K103" i="20" s="1"/>
  <c r="J104" i="20"/>
  <c r="K104" i="20" s="1"/>
  <c r="J105" i="20"/>
  <c r="K105" i="20" s="1"/>
  <c r="J106" i="20"/>
  <c r="K106" i="20" s="1"/>
  <c r="J107" i="20"/>
  <c r="K107" i="20" s="1"/>
  <c r="J108" i="20"/>
  <c r="K108" i="20" s="1"/>
  <c r="J109" i="20"/>
  <c r="K109" i="20" s="1"/>
  <c r="J110" i="20"/>
  <c r="K110" i="20" s="1"/>
  <c r="J111" i="20"/>
  <c r="K111" i="20" s="1"/>
  <c r="J112" i="20"/>
  <c r="K112" i="20" s="1"/>
  <c r="J113" i="20"/>
  <c r="K113" i="20" s="1"/>
  <c r="J114" i="20"/>
  <c r="K114" i="20" s="1"/>
  <c r="J115" i="20"/>
  <c r="K115" i="20" s="1"/>
  <c r="J116" i="20"/>
  <c r="K116" i="20" s="1"/>
  <c r="J117" i="20"/>
  <c r="K117" i="20" s="1"/>
  <c r="J118" i="20"/>
  <c r="K118" i="20" s="1"/>
  <c r="J119" i="20"/>
  <c r="K119" i="20" s="1"/>
  <c r="J120" i="20"/>
  <c r="K120" i="20" s="1"/>
  <c r="J121" i="20"/>
  <c r="K121" i="20" s="1"/>
  <c r="J122" i="20"/>
  <c r="K122" i="20" s="1"/>
  <c r="J123" i="20"/>
  <c r="K123" i="20" s="1"/>
  <c r="J124" i="20"/>
  <c r="K124" i="20" s="1"/>
  <c r="J125" i="20"/>
  <c r="K125" i="20" s="1"/>
  <c r="J126" i="20"/>
  <c r="K126" i="20" s="1"/>
  <c r="J127" i="20"/>
  <c r="K127" i="20" s="1"/>
  <c r="J128" i="20"/>
  <c r="K128" i="20" s="1"/>
  <c r="J129" i="20"/>
  <c r="K129" i="20" s="1"/>
  <c r="H127" i="20"/>
  <c r="H128" i="20"/>
  <c r="H129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94" i="20"/>
  <c r="H93" i="20"/>
  <c r="J24" i="20"/>
  <c r="K24" i="20" s="1"/>
  <c r="J25" i="20"/>
  <c r="K25" i="20" s="1"/>
  <c r="J26" i="20"/>
  <c r="K26" i="20" s="1"/>
  <c r="J27" i="20"/>
  <c r="K27" i="20" s="1"/>
  <c r="J28" i="20"/>
  <c r="K28" i="20" s="1"/>
  <c r="J29" i="20"/>
  <c r="K29" i="20" s="1"/>
  <c r="J30" i="20"/>
  <c r="K30" i="20" s="1"/>
  <c r="J31" i="20"/>
  <c r="K31" i="20" s="1"/>
  <c r="J32" i="20"/>
  <c r="K32" i="20" s="1"/>
  <c r="J33" i="20"/>
  <c r="K33" i="20" s="1"/>
  <c r="J34" i="20"/>
  <c r="K34" i="20" s="1"/>
  <c r="J35" i="20"/>
  <c r="K35" i="20" s="1"/>
  <c r="J36" i="20"/>
  <c r="K36" i="20" s="1"/>
  <c r="J37" i="20"/>
  <c r="K37" i="20" s="1"/>
  <c r="J38" i="20"/>
  <c r="K38" i="20" s="1"/>
  <c r="J39" i="20"/>
  <c r="K39" i="20" s="1"/>
  <c r="J40" i="20"/>
  <c r="K40" i="20" s="1"/>
  <c r="J41" i="20"/>
  <c r="K41" i="20" s="1"/>
  <c r="J42" i="20"/>
  <c r="K42" i="20" s="1"/>
  <c r="J43" i="20"/>
  <c r="K43" i="20" s="1"/>
  <c r="J44" i="20"/>
  <c r="K44" i="20" s="1"/>
  <c r="J45" i="20"/>
  <c r="K45" i="20" s="1"/>
  <c r="J19" i="20"/>
  <c r="K19" i="20" s="1"/>
  <c r="J20" i="20"/>
  <c r="K20" i="20" s="1"/>
  <c r="J21" i="20"/>
  <c r="K21" i="20" s="1"/>
  <c r="J22" i="20"/>
  <c r="K22" i="20" s="1"/>
  <c r="J23" i="20"/>
  <c r="K23" i="20" s="1"/>
  <c r="J255" i="20"/>
  <c r="K255" i="20" s="1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21" i="20"/>
  <c r="H20" i="20"/>
  <c r="H19" i="20"/>
  <c r="S50" i="33"/>
  <c r="S35" i="33"/>
  <c r="S37" i="33"/>
  <c r="S38" i="33"/>
  <c r="S39" i="33"/>
  <c r="S40" i="33"/>
  <c r="S41" i="33"/>
  <c r="S42" i="33"/>
  <c r="S45" i="33"/>
  <c r="S46" i="33"/>
  <c r="S47" i="33"/>
  <c r="S48" i="33"/>
  <c r="S25" i="33"/>
  <c r="S28" i="33"/>
  <c r="S29" i="33"/>
  <c r="S30" i="33"/>
  <c r="S31" i="33"/>
  <c r="S32" i="33"/>
  <c r="S6" i="33"/>
  <c r="S7" i="33"/>
  <c r="S8" i="33"/>
  <c r="S12" i="33"/>
  <c r="S14" i="33"/>
  <c r="S15" i="33"/>
  <c r="S19" i="33"/>
  <c r="S22" i="33"/>
  <c r="S23" i="33"/>
  <c r="S49" i="33" l="1"/>
  <c r="S44" i="33"/>
  <c r="S5" i="33"/>
  <c r="S4" i="33"/>
  <c r="S9" i="33"/>
  <c r="S43" i="33"/>
  <c r="S36" i="33"/>
  <c r="S34" i="33"/>
  <c r="S33" i="33"/>
  <c r="S27" i="33"/>
  <c r="S26" i="33"/>
  <c r="S24" i="33"/>
  <c r="S21" i="33"/>
  <c r="S18" i="33"/>
  <c r="S20" i="33"/>
  <c r="S17" i="33"/>
  <c r="S16" i="33"/>
  <c r="S13" i="33"/>
  <c r="S11" i="33"/>
  <c r="S10" i="33"/>
  <c r="J4" i="13"/>
  <c r="D4" i="14"/>
  <c r="G74" i="33"/>
  <c r="G73" i="33"/>
  <c r="G72" i="33"/>
  <c r="G71" i="33"/>
  <c r="G70" i="33"/>
  <c r="G69" i="33"/>
  <c r="G68" i="33"/>
  <c r="O14" i="13"/>
  <c r="M14" i="13"/>
  <c r="M9" i="13"/>
  <c r="M8" i="13"/>
  <c r="O7" i="13"/>
  <c r="T19" i="33"/>
  <c r="J21" i="13"/>
  <c r="G67" i="33"/>
  <c r="G66" i="33"/>
  <c r="G65" i="33"/>
  <c r="G64" i="33"/>
  <c r="G63" i="33"/>
  <c r="G62" i="33"/>
  <c r="G61" i="33"/>
  <c r="G60" i="33"/>
  <c r="G58" i="33"/>
  <c r="G57" i="33"/>
  <c r="G56" i="33"/>
  <c r="G55" i="33"/>
  <c r="J163" i="20"/>
  <c r="K163" i="20" s="1"/>
  <c r="J165" i="20"/>
  <c r="K165" i="20" s="1"/>
  <c r="J171" i="20"/>
  <c r="K171" i="20" s="1"/>
  <c r="J177" i="20"/>
  <c r="K177" i="20" s="1"/>
  <c r="J172" i="20"/>
  <c r="K172" i="20" s="1"/>
  <c r="J174" i="20"/>
  <c r="K174" i="20" s="1"/>
  <c r="J178" i="20"/>
  <c r="K178" i="20" s="1"/>
  <c r="J179" i="20"/>
  <c r="K179" i="20" s="1"/>
  <c r="J180" i="20"/>
  <c r="K180" i="20" s="1"/>
  <c r="J164" i="20"/>
  <c r="K164" i="20" s="1"/>
  <c r="J166" i="20"/>
  <c r="K166" i="20" s="1"/>
  <c r="J170" i="20"/>
  <c r="K170" i="20" s="1"/>
  <c r="J176" i="20"/>
  <c r="K176" i="20" s="1"/>
  <c r="J167" i="20"/>
  <c r="K167" i="20" s="1"/>
  <c r="J168" i="20"/>
  <c r="K168" i="20" s="1"/>
  <c r="J169" i="20"/>
  <c r="K169" i="20" s="1"/>
  <c r="J173" i="20"/>
  <c r="K173" i="20" s="1"/>
  <c r="J175" i="20"/>
  <c r="K175" i="20" s="1"/>
  <c r="J154" i="20"/>
  <c r="K154" i="20" s="1"/>
  <c r="J155" i="20"/>
  <c r="K155" i="20" s="1"/>
  <c r="J159" i="20"/>
  <c r="K159" i="20" s="1"/>
  <c r="J160" i="20"/>
  <c r="K160" i="20" s="1"/>
  <c r="J156" i="20"/>
  <c r="K156" i="20" s="1"/>
  <c r="J157" i="20"/>
  <c r="K157" i="20" s="1"/>
  <c r="J158" i="20"/>
  <c r="K158" i="20" s="1"/>
  <c r="J161" i="20"/>
  <c r="K161" i="20" s="1"/>
  <c r="J162" i="20"/>
  <c r="K162" i="20" s="1"/>
  <c r="J181" i="20"/>
  <c r="K181" i="20" s="1"/>
  <c r="J183" i="20"/>
  <c r="K183" i="20" s="1"/>
  <c r="J185" i="20"/>
  <c r="K185" i="20" s="1"/>
  <c r="J191" i="20"/>
  <c r="K191" i="20" s="1"/>
  <c r="J186" i="20"/>
  <c r="K186" i="20" s="1"/>
  <c r="J188" i="20"/>
  <c r="K188" i="20" s="1"/>
  <c r="J192" i="20"/>
  <c r="K192" i="20" s="1"/>
  <c r="J193" i="20"/>
  <c r="K193" i="20" s="1"/>
  <c r="J194" i="20"/>
  <c r="K194" i="20" s="1"/>
  <c r="J195" i="20"/>
  <c r="K195" i="20" s="1"/>
  <c r="J182" i="20"/>
  <c r="K182" i="20" s="1"/>
  <c r="J184" i="20"/>
  <c r="K184" i="20" s="1"/>
  <c r="J187" i="20"/>
  <c r="K187" i="20" s="1"/>
  <c r="J190" i="20"/>
  <c r="K190" i="20" s="1"/>
  <c r="J189" i="20"/>
  <c r="K189" i="20" s="1"/>
  <c r="J214" i="20"/>
  <c r="K214" i="20" s="1"/>
  <c r="J212" i="20"/>
  <c r="K212" i="20" s="1"/>
  <c r="J226" i="20"/>
  <c r="K226" i="20" s="1"/>
  <c r="J219" i="20"/>
  <c r="K219" i="20" s="1"/>
  <c r="J221" i="20"/>
  <c r="K221" i="20" s="1"/>
  <c r="J223" i="20"/>
  <c r="K223" i="20" s="1"/>
  <c r="J228" i="20"/>
  <c r="K228" i="20" s="1"/>
  <c r="J229" i="20"/>
  <c r="K229" i="20" s="1"/>
  <c r="J231" i="20"/>
  <c r="K231" i="20" s="1"/>
  <c r="J230" i="20"/>
  <c r="K230" i="20" s="1"/>
  <c r="J215" i="20"/>
  <c r="K215" i="20" s="1"/>
  <c r="J213" i="20"/>
  <c r="K213" i="20" s="1"/>
  <c r="J227" i="20"/>
  <c r="K227" i="20" s="1"/>
  <c r="J220" i="20"/>
  <c r="K220" i="20" s="1"/>
  <c r="J216" i="20"/>
  <c r="K216" i="20" s="1"/>
  <c r="J217" i="20"/>
  <c r="K217" i="20" s="1"/>
  <c r="J218" i="20"/>
  <c r="K218" i="20" s="1"/>
  <c r="J222" i="20"/>
  <c r="K222" i="20" s="1"/>
  <c r="J225" i="20"/>
  <c r="K225" i="20" s="1"/>
  <c r="J224" i="20"/>
  <c r="K224" i="20" s="1"/>
  <c r="J130" i="20"/>
  <c r="K130" i="20" s="1"/>
  <c r="J132" i="20"/>
  <c r="K132" i="20" s="1"/>
  <c r="J137" i="20"/>
  <c r="K137" i="20" s="1"/>
  <c r="J144" i="20"/>
  <c r="K144" i="20" s="1"/>
  <c r="J135" i="20"/>
  <c r="K135" i="20" s="1"/>
  <c r="J139" i="20"/>
  <c r="K139" i="20" s="1"/>
  <c r="J141" i="20"/>
  <c r="K141" i="20" s="1"/>
  <c r="J143" i="20"/>
  <c r="K143" i="20" s="1"/>
  <c r="J147" i="20"/>
  <c r="K147" i="20" s="1"/>
  <c r="J149" i="20"/>
  <c r="K149" i="20" s="1"/>
  <c r="J151" i="20"/>
  <c r="K151" i="20" s="1"/>
  <c r="J152" i="20"/>
  <c r="K152" i="20" s="1"/>
  <c r="J131" i="20"/>
  <c r="K131" i="20" s="1"/>
  <c r="J133" i="20"/>
  <c r="K133" i="20" s="1"/>
  <c r="J138" i="20"/>
  <c r="K138" i="20" s="1"/>
  <c r="J145" i="20"/>
  <c r="K145" i="20" s="1"/>
  <c r="J134" i="20"/>
  <c r="K134" i="20" s="1"/>
  <c r="J136" i="20"/>
  <c r="K136" i="20" s="1"/>
  <c r="J140" i="20"/>
  <c r="K140" i="20" s="1"/>
  <c r="J142" i="20"/>
  <c r="K142" i="20" s="1"/>
  <c r="J146" i="20"/>
  <c r="K146" i="20" s="1"/>
  <c r="J148" i="20"/>
  <c r="K148" i="20" s="1"/>
  <c r="J150" i="20"/>
  <c r="K150" i="20" s="1"/>
  <c r="J153" i="20"/>
  <c r="K153" i="20" s="1"/>
  <c r="J196" i="20"/>
  <c r="K196" i="20" s="1"/>
  <c r="J198" i="20"/>
  <c r="K198" i="20" s="1"/>
  <c r="J201" i="20"/>
  <c r="K201" i="20" s="1"/>
  <c r="J205" i="20"/>
  <c r="K205" i="20" s="1"/>
  <c r="J203" i="20"/>
  <c r="K203" i="20" s="1"/>
  <c r="J204" i="20"/>
  <c r="K204" i="20" s="1"/>
  <c r="J207" i="20"/>
  <c r="K207" i="20" s="1"/>
  <c r="J208" i="20"/>
  <c r="K208" i="20" s="1"/>
  <c r="J210" i="20"/>
  <c r="K210" i="20" s="1"/>
  <c r="J209" i="20"/>
  <c r="K209" i="20" s="1"/>
  <c r="J211" i="20"/>
  <c r="K211" i="20" s="1"/>
  <c r="J197" i="20"/>
  <c r="K197" i="20" s="1"/>
  <c r="J199" i="20"/>
  <c r="K199" i="20" s="1"/>
  <c r="J200" i="20"/>
  <c r="K200" i="20" s="1"/>
  <c r="J202" i="20"/>
  <c r="K202" i="20" s="1"/>
  <c r="J206" i="20"/>
  <c r="K206" i="20" s="1"/>
  <c r="J232" i="20"/>
  <c r="K232" i="20" s="1"/>
  <c r="J234" i="20"/>
  <c r="K234" i="20" s="1"/>
  <c r="J236" i="20"/>
  <c r="K236" i="20" s="1"/>
  <c r="J238" i="20"/>
  <c r="K238" i="20" s="1"/>
  <c r="J241" i="20"/>
  <c r="K241" i="20" s="1"/>
  <c r="J243" i="20"/>
  <c r="K243" i="20" s="1"/>
  <c r="J245" i="20"/>
  <c r="K245" i="20" s="1"/>
  <c r="J247" i="20"/>
  <c r="K247" i="20" s="1"/>
  <c r="J249" i="20"/>
  <c r="K249" i="20" s="1"/>
  <c r="J251" i="20"/>
  <c r="K251" i="20" s="1"/>
  <c r="J253" i="20"/>
  <c r="K253" i="20" s="1"/>
  <c r="J233" i="20"/>
  <c r="K233" i="20" s="1"/>
  <c r="J235" i="20"/>
  <c r="K235" i="20" s="1"/>
  <c r="J237" i="20"/>
  <c r="K237" i="20" s="1"/>
  <c r="J239" i="20"/>
  <c r="K239" i="20" s="1"/>
  <c r="J240" i="20"/>
  <c r="K240" i="20" s="1"/>
  <c r="J242" i="20"/>
  <c r="K242" i="20" s="1"/>
  <c r="J244" i="20"/>
  <c r="K244" i="20" s="1"/>
  <c r="J246" i="20"/>
  <c r="K246" i="20" s="1"/>
  <c r="J248" i="20"/>
  <c r="K248" i="20" s="1"/>
  <c r="J250" i="20"/>
  <c r="K250" i="20" s="1"/>
  <c r="J252" i="20"/>
  <c r="K252" i="20" s="1"/>
  <c r="J254" i="20"/>
  <c r="K254" i="20" s="1"/>
  <c r="J4" i="20"/>
  <c r="K4" i="20" s="1"/>
  <c r="J5" i="20"/>
  <c r="K5" i="20" s="1"/>
  <c r="J11" i="20"/>
  <c r="K11" i="20" s="1"/>
  <c r="J14" i="20"/>
  <c r="K14" i="20" s="1"/>
  <c r="J15" i="20"/>
  <c r="K15" i="20" s="1"/>
  <c r="J16" i="20"/>
  <c r="K16" i="20" s="1"/>
  <c r="J2" i="20"/>
  <c r="K2" i="20" s="1"/>
  <c r="J3" i="20"/>
  <c r="K3" i="20" s="1"/>
  <c r="J6" i="20"/>
  <c r="K6" i="20" s="1"/>
  <c r="J10" i="20"/>
  <c r="K10" i="20" s="1"/>
  <c r="J12" i="20"/>
  <c r="K12" i="20" s="1"/>
  <c r="J13" i="20"/>
  <c r="K13" i="20" s="1"/>
  <c r="J7" i="20"/>
  <c r="K7" i="20" s="1"/>
  <c r="J9" i="20"/>
  <c r="K9" i="20" s="1"/>
  <c r="J8" i="20"/>
  <c r="K8" i="20" s="1"/>
  <c r="J18" i="20"/>
  <c r="K18" i="20" s="1"/>
  <c r="J17" i="20"/>
  <c r="K17" i="20" s="1"/>
  <c r="H17" i="20"/>
  <c r="H18" i="20"/>
  <c r="H8" i="20"/>
  <c r="H9" i="20"/>
  <c r="H7" i="20"/>
  <c r="H163" i="20"/>
  <c r="H165" i="20"/>
  <c r="H171" i="20"/>
  <c r="H177" i="20"/>
  <c r="H172" i="20"/>
  <c r="H174" i="20"/>
  <c r="H178" i="20"/>
  <c r="H179" i="20"/>
  <c r="H180" i="20"/>
  <c r="H164" i="20"/>
  <c r="H166" i="20"/>
  <c r="H170" i="20"/>
  <c r="H176" i="20"/>
  <c r="H167" i="20"/>
  <c r="H168" i="20"/>
  <c r="H169" i="20"/>
  <c r="H173" i="20"/>
  <c r="H175" i="20"/>
  <c r="H154" i="20"/>
  <c r="H155" i="20"/>
  <c r="H159" i="20"/>
  <c r="H160" i="20"/>
  <c r="H156" i="20"/>
  <c r="H157" i="20"/>
  <c r="H158" i="20"/>
  <c r="H161" i="20"/>
  <c r="H162" i="20"/>
  <c r="H181" i="20"/>
  <c r="H183" i="20"/>
  <c r="H185" i="20"/>
  <c r="H191" i="20"/>
  <c r="H186" i="20"/>
  <c r="H188" i="20"/>
  <c r="H192" i="20"/>
  <c r="H193" i="20"/>
  <c r="H194" i="20"/>
  <c r="H195" i="20"/>
  <c r="H182" i="20"/>
  <c r="H184" i="20"/>
  <c r="H187" i="20"/>
  <c r="H190" i="20"/>
  <c r="H189" i="20"/>
  <c r="H214" i="20"/>
  <c r="H212" i="20"/>
  <c r="H226" i="20"/>
  <c r="H219" i="20"/>
  <c r="H221" i="20"/>
  <c r="H223" i="20"/>
  <c r="H228" i="20"/>
  <c r="H229" i="20"/>
  <c r="H231" i="20"/>
  <c r="H230" i="20"/>
  <c r="H215" i="20"/>
  <c r="H213" i="20"/>
  <c r="H227" i="20"/>
  <c r="H220" i="20"/>
  <c r="H216" i="20"/>
  <c r="H217" i="20"/>
  <c r="H218" i="20"/>
  <c r="H222" i="20"/>
  <c r="H225" i="20"/>
  <c r="H224" i="20"/>
  <c r="H130" i="20"/>
  <c r="H132" i="20"/>
  <c r="H137" i="20"/>
  <c r="H144" i="20"/>
  <c r="H135" i="20"/>
  <c r="H139" i="20"/>
  <c r="H141" i="20"/>
  <c r="H143" i="20"/>
  <c r="H147" i="20"/>
  <c r="H149" i="20"/>
  <c r="H151" i="20"/>
  <c r="H152" i="20"/>
  <c r="H131" i="20"/>
  <c r="H133" i="20"/>
  <c r="H138" i="20"/>
  <c r="H145" i="20"/>
  <c r="H134" i="20"/>
  <c r="H136" i="20"/>
  <c r="H140" i="20"/>
  <c r="H142" i="20"/>
  <c r="H146" i="20"/>
  <c r="H148" i="20"/>
  <c r="H150" i="20"/>
  <c r="H153" i="20"/>
  <c r="H196" i="20"/>
  <c r="H198" i="20"/>
  <c r="H201" i="20"/>
  <c r="H205" i="20"/>
  <c r="H203" i="20"/>
  <c r="H204" i="20"/>
  <c r="H207" i="20"/>
  <c r="H208" i="20"/>
  <c r="H210" i="20"/>
  <c r="H209" i="20"/>
  <c r="H211" i="20"/>
  <c r="H197" i="20"/>
  <c r="H199" i="20"/>
  <c r="H200" i="20"/>
  <c r="H202" i="20"/>
  <c r="H206" i="20"/>
  <c r="H232" i="20"/>
  <c r="H234" i="20"/>
  <c r="H236" i="20"/>
  <c r="H238" i="20"/>
  <c r="H241" i="20"/>
  <c r="H243" i="20"/>
  <c r="H245" i="20"/>
  <c r="H247" i="20"/>
  <c r="H249" i="20"/>
  <c r="H251" i="20"/>
  <c r="H253" i="20"/>
  <c r="H255" i="20"/>
  <c r="H233" i="20"/>
  <c r="H235" i="20"/>
  <c r="H237" i="20"/>
  <c r="H239" i="20"/>
  <c r="H240" i="20"/>
  <c r="H242" i="20"/>
  <c r="H244" i="20"/>
  <c r="H246" i="20"/>
  <c r="H248" i="20"/>
  <c r="H250" i="20"/>
  <c r="H252" i="20"/>
  <c r="H254" i="20"/>
  <c r="H4" i="20"/>
  <c r="H5" i="20"/>
  <c r="H11" i="20"/>
  <c r="H14" i="20"/>
  <c r="H15" i="20"/>
  <c r="H16" i="20"/>
  <c r="H2" i="20"/>
  <c r="H3" i="20"/>
  <c r="H6" i="20"/>
  <c r="H10" i="20"/>
  <c r="H12" i="20"/>
  <c r="H13" i="20"/>
  <c r="T25" i="33" l="1"/>
  <c r="S65" i="33"/>
  <c r="T65" i="33" s="1"/>
  <c r="T4" i="33"/>
  <c r="S63" i="33"/>
  <c r="T63" i="33" s="1"/>
  <c r="T5" i="33"/>
  <c r="T14" i="33"/>
  <c r="T24" i="33"/>
  <c r="S58" i="33"/>
  <c r="T58" i="33" s="1"/>
  <c r="T9" i="33"/>
  <c r="T11" i="33"/>
  <c r="T17" i="33"/>
  <c r="S55" i="33"/>
  <c r="T55" i="33" s="1"/>
  <c r="S56" i="33"/>
  <c r="T56" i="33" s="1"/>
  <c r="S57" i="33"/>
  <c r="T57" i="33" s="1"/>
  <c r="S66" i="33"/>
  <c r="T66" i="33" s="1"/>
  <c r="T15" i="33"/>
  <c r="S61" i="33"/>
  <c r="T61" i="33" s="1"/>
  <c r="T6" i="33"/>
  <c r="T12" i="33"/>
  <c r="S60" i="33"/>
  <c r="T60" i="33" s="1"/>
  <c r="S62" i="33"/>
  <c r="T62" i="33" s="1"/>
  <c r="S64" i="33"/>
  <c r="T64" i="33" s="1"/>
  <c r="Y35" i="19"/>
  <c r="Y34" i="19"/>
  <c r="Y33" i="19"/>
  <c r="Y32" i="19"/>
  <c r="Y31" i="19"/>
  <c r="W35" i="19"/>
  <c r="W34" i="19"/>
  <c r="W33" i="19"/>
  <c r="W32" i="19"/>
  <c r="W31" i="19"/>
  <c r="U35" i="19"/>
  <c r="U34" i="19"/>
  <c r="U33" i="19"/>
  <c r="U32" i="19"/>
  <c r="U31" i="19"/>
  <c r="T35" i="19"/>
  <c r="T34" i="19"/>
  <c r="T33" i="19"/>
  <c r="T32" i="19"/>
  <c r="T31" i="19"/>
  <c r="R35" i="19"/>
  <c r="R34" i="19"/>
  <c r="R33" i="19"/>
  <c r="R32" i="19"/>
  <c r="R31" i="19"/>
  <c r="Q35" i="18"/>
  <c r="Q34" i="18"/>
  <c r="Q33" i="18"/>
  <c r="Q32" i="18"/>
  <c r="Q31" i="18"/>
  <c r="U25" i="13"/>
  <c r="S25" i="13"/>
  <c r="Q25" i="13"/>
  <c r="P25" i="13"/>
  <c r="N25" i="13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Y30" i="19"/>
  <c r="Y29" i="19"/>
  <c r="Y28" i="19"/>
  <c r="Y27" i="19"/>
  <c r="Y25" i="19"/>
  <c r="Y24" i="19"/>
  <c r="Y23" i="19"/>
  <c r="Y22" i="19"/>
  <c r="Y26" i="19"/>
  <c r="Y21" i="19"/>
  <c r="Y20" i="19"/>
  <c r="W20" i="19"/>
  <c r="Y19" i="19"/>
  <c r="W19" i="19"/>
  <c r="Y18" i="19"/>
  <c r="W18" i="19"/>
  <c r="Y17" i="19"/>
  <c r="W17" i="19"/>
  <c r="Y15" i="19"/>
  <c r="W15" i="19"/>
  <c r="Y14" i="19"/>
  <c r="W14" i="19"/>
  <c r="Y13" i="19"/>
  <c r="W13" i="19"/>
  <c r="Y12" i="19"/>
  <c r="W12" i="19"/>
  <c r="Y16" i="19"/>
  <c r="Y11" i="19"/>
  <c r="W16" i="19"/>
  <c r="W1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20" i="19"/>
  <c r="U19" i="19"/>
  <c r="U18" i="19"/>
  <c r="U17" i="19"/>
  <c r="U15" i="19"/>
  <c r="U14" i="19"/>
  <c r="U13" i="19"/>
  <c r="U12" i="19"/>
  <c r="U16" i="19"/>
  <c r="U11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0" i="19"/>
  <c r="T29" i="19"/>
  <c r="T28" i="19"/>
  <c r="T27" i="19"/>
  <c r="T25" i="19"/>
  <c r="T24" i="19"/>
  <c r="T23" i="19"/>
  <c r="T22" i="19"/>
  <c r="T26" i="19"/>
  <c r="T21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0" i="19"/>
  <c r="R29" i="19"/>
  <c r="R28" i="19"/>
  <c r="R27" i="19"/>
  <c r="R25" i="19"/>
  <c r="R24" i="19"/>
  <c r="R23" i="19"/>
  <c r="R22" i="19"/>
  <c r="R26" i="19"/>
  <c r="R21" i="19"/>
  <c r="R20" i="19"/>
  <c r="R19" i="19"/>
  <c r="R18" i="19"/>
  <c r="R17" i="19"/>
  <c r="R16" i="19"/>
  <c r="R15" i="19"/>
  <c r="R14" i="19"/>
  <c r="R13" i="19"/>
  <c r="R12" i="19"/>
  <c r="R11" i="19"/>
  <c r="U70" i="18"/>
  <c r="U69" i="18"/>
  <c r="U68" i="18"/>
  <c r="U67" i="18"/>
  <c r="U66" i="18"/>
  <c r="S65" i="18"/>
  <c r="S64" i="18"/>
  <c r="S63" i="18"/>
  <c r="S62" i="18"/>
  <c r="S61" i="18"/>
  <c r="T8" i="13"/>
  <c r="T25" i="13"/>
  <c r="O8" i="13"/>
  <c r="O25" i="13"/>
  <c r="X34" i="19" l="1"/>
  <c r="X35" i="19"/>
  <c r="X33" i="19"/>
  <c r="X32" i="19"/>
  <c r="X31" i="19"/>
  <c r="X35" i="18"/>
  <c r="X31" i="18"/>
  <c r="X34" i="18"/>
  <c r="X32" i="18"/>
  <c r="X33" i="18"/>
  <c r="S34" i="19"/>
  <c r="S31" i="19"/>
  <c r="S33" i="19"/>
  <c r="S32" i="19"/>
  <c r="S35" i="19"/>
  <c r="S33" i="18"/>
  <c r="S32" i="18"/>
  <c r="S35" i="18"/>
  <c r="S31" i="18"/>
  <c r="S34" i="18"/>
  <c r="Y10" i="18"/>
  <c r="R10" i="18"/>
  <c r="S10" i="18"/>
  <c r="T10" i="18"/>
  <c r="U10" i="18"/>
  <c r="V10" i="18"/>
  <c r="W10" i="18"/>
  <c r="X10" i="18"/>
  <c r="Q10" i="18"/>
  <c r="Q9" i="19"/>
  <c r="Y10" i="19"/>
  <c r="R10" i="19"/>
  <c r="S10" i="19"/>
  <c r="T10" i="19"/>
  <c r="U10" i="19"/>
  <c r="V10" i="19"/>
  <c r="W10" i="19"/>
  <c r="X10" i="19"/>
  <c r="Q10" i="19"/>
  <c r="Q9" i="18"/>
  <c r="J75" i="19"/>
  <c r="I75" i="19"/>
  <c r="H75" i="19"/>
  <c r="G75" i="19"/>
  <c r="F75" i="19"/>
  <c r="E75" i="19"/>
  <c r="D75" i="19"/>
  <c r="J74" i="19"/>
  <c r="I74" i="19"/>
  <c r="H74" i="19"/>
  <c r="G74" i="19"/>
  <c r="F74" i="19"/>
  <c r="E74" i="19"/>
  <c r="D74" i="19"/>
  <c r="J73" i="19"/>
  <c r="I73" i="19"/>
  <c r="H73" i="19"/>
  <c r="G73" i="19"/>
  <c r="F73" i="19"/>
  <c r="E73" i="19"/>
  <c r="D73" i="19"/>
  <c r="J72" i="19"/>
  <c r="I72" i="19"/>
  <c r="H72" i="19"/>
  <c r="G72" i="19"/>
  <c r="F72" i="19"/>
  <c r="E72" i="19"/>
  <c r="D72" i="19"/>
  <c r="J71" i="19"/>
  <c r="I71" i="19"/>
  <c r="H71" i="19"/>
  <c r="G71" i="19"/>
  <c r="F71" i="19"/>
  <c r="E71" i="19"/>
  <c r="D71" i="19"/>
  <c r="J70" i="19"/>
  <c r="I70" i="19"/>
  <c r="H70" i="19"/>
  <c r="G70" i="19"/>
  <c r="F70" i="19"/>
  <c r="E70" i="19"/>
  <c r="D70" i="19"/>
  <c r="J69" i="19"/>
  <c r="I69" i="19"/>
  <c r="H69" i="19"/>
  <c r="G69" i="19"/>
  <c r="F69" i="19"/>
  <c r="E69" i="19"/>
  <c r="D69" i="19"/>
  <c r="J68" i="19"/>
  <c r="I68" i="19"/>
  <c r="H68" i="19"/>
  <c r="G68" i="19"/>
  <c r="F68" i="19"/>
  <c r="E68" i="19"/>
  <c r="D68" i="19"/>
  <c r="J67" i="19"/>
  <c r="I67" i="19"/>
  <c r="H67" i="19"/>
  <c r="G67" i="19"/>
  <c r="F67" i="19"/>
  <c r="E67" i="19"/>
  <c r="D67" i="19"/>
  <c r="J66" i="19"/>
  <c r="I66" i="19"/>
  <c r="H66" i="19"/>
  <c r="G66" i="19"/>
  <c r="F66" i="19"/>
  <c r="E66" i="19"/>
  <c r="D66" i="19"/>
  <c r="J65" i="19"/>
  <c r="I65" i="19"/>
  <c r="H65" i="19"/>
  <c r="G65" i="19"/>
  <c r="F65" i="19"/>
  <c r="E65" i="19"/>
  <c r="D65" i="19"/>
  <c r="J64" i="19"/>
  <c r="I64" i="19"/>
  <c r="H64" i="19"/>
  <c r="G64" i="19"/>
  <c r="F64" i="19"/>
  <c r="E64" i="19"/>
  <c r="D64" i="19"/>
  <c r="J63" i="19"/>
  <c r="I63" i="19"/>
  <c r="H63" i="19"/>
  <c r="G63" i="19"/>
  <c r="F63" i="19"/>
  <c r="E63" i="19"/>
  <c r="D63" i="19"/>
  <c r="J62" i="19"/>
  <c r="I62" i="19"/>
  <c r="H62" i="19"/>
  <c r="G62" i="19"/>
  <c r="F62" i="19"/>
  <c r="E62" i="19"/>
  <c r="D62" i="19"/>
  <c r="J61" i="19"/>
  <c r="I61" i="19"/>
  <c r="H61" i="19"/>
  <c r="G61" i="19"/>
  <c r="F61" i="19"/>
  <c r="E61" i="19"/>
  <c r="D61" i="19"/>
  <c r="J60" i="19"/>
  <c r="I60" i="19"/>
  <c r="H60" i="19"/>
  <c r="G60" i="19"/>
  <c r="F60" i="19"/>
  <c r="E60" i="19"/>
  <c r="D60" i="19"/>
  <c r="J59" i="19"/>
  <c r="I59" i="19"/>
  <c r="H59" i="19"/>
  <c r="G59" i="19"/>
  <c r="F59" i="19"/>
  <c r="E59" i="19"/>
  <c r="D59" i="19"/>
  <c r="J58" i="19"/>
  <c r="I58" i="19"/>
  <c r="H58" i="19"/>
  <c r="G58" i="19"/>
  <c r="F58" i="19"/>
  <c r="E58" i="19"/>
  <c r="D58" i="19"/>
  <c r="J57" i="19"/>
  <c r="I57" i="19"/>
  <c r="H57" i="19"/>
  <c r="G57" i="19"/>
  <c r="F57" i="19"/>
  <c r="E57" i="19"/>
  <c r="D57" i="19"/>
  <c r="J56" i="19"/>
  <c r="I56" i="19"/>
  <c r="H56" i="19"/>
  <c r="G56" i="19"/>
  <c r="F56" i="19"/>
  <c r="E56" i="19"/>
  <c r="D56" i="19"/>
  <c r="J55" i="19"/>
  <c r="I55" i="19"/>
  <c r="H55" i="19"/>
  <c r="G55" i="19"/>
  <c r="F55" i="19"/>
  <c r="E55" i="19"/>
  <c r="D55" i="19"/>
  <c r="J54" i="19"/>
  <c r="I54" i="19"/>
  <c r="H54" i="19"/>
  <c r="G54" i="19"/>
  <c r="F54" i="19"/>
  <c r="E54" i="19"/>
  <c r="D54" i="19"/>
  <c r="J53" i="19"/>
  <c r="I53" i="19"/>
  <c r="H53" i="19"/>
  <c r="G53" i="19"/>
  <c r="F53" i="19"/>
  <c r="E53" i="19"/>
  <c r="D53" i="19"/>
  <c r="J52" i="19"/>
  <c r="I52" i="19"/>
  <c r="H52" i="19"/>
  <c r="G52" i="19"/>
  <c r="F52" i="19"/>
  <c r="E52" i="19"/>
  <c r="D52" i="19"/>
  <c r="J51" i="19"/>
  <c r="I51" i="19"/>
  <c r="H51" i="19"/>
  <c r="G51" i="19"/>
  <c r="F51" i="19"/>
  <c r="E51" i="19"/>
  <c r="D51" i="19"/>
  <c r="J50" i="19"/>
  <c r="I50" i="19"/>
  <c r="H50" i="19"/>
  <c r="G50" i="19"/>
  <c r="F50" i="19"/>
  <c r="E50" i="19"/>
  <c r="D50" i="19"/>
  <c r="J49" i="19"/>
  <c r="I49" i="19"/>
  <c r="H49" i="19"/>
  <c r="G49" i="19"/>
  <c r="F49" i="19"/>
  <c r="E49" i="19"/>
  <c r="D49" i="19"/>
  <c r="J48" i="19"/>
  <c r="I48" i="19"/>
  <c r="H48" i="19"/>
  <c r="G48" i="19"/>
  <c r="F48" i="19"/>
  <c r="E48" i="19"/>
  <c r="D48" i="19"/>
  <c r="J47" i="19"/>
  <c r="I47" i="19"/>
  <c r="H47" i="19"/>
  <c r="G47" i="19"/>
  <c r="F47" i="19"/>
  <c r="E47" i="19"/>
  <c r="D47" i="19"/>
  <c r="J46" i="19"/>
  <c r="I46" i="19"/>
  <c r="H46" i="19"/>
  <c r="G46" i="19"/>
  <c r="F46" i="19"/>
  <c r="E46" i="19"/>
  <c r="D46" i="19"/>
  <c r="J45" i="19"/>
  <c r="I45" i="19"/>
  <c r="H45" i="19"/>
  <c r="G45" i="19"/>
  <c r="F45" i="19"/>
  <c r="E45" i="19"/>
  <c r="D45" i="19"/>
  <c r="J44" i="19"/>
  <c r="I44" i="19"/>
  <c r="H44" i="19"/>
  <c r="G44" i="19"/>
  <c r="F44" i="19"/>
  <c r="E44" i="19"/>
  <c r="D44" i="19"/>
  <c r="J43" i="19"/>
  <c r="I43" i="19"/>
  <c r="H43" i="19"/>
  <c r="G43" i="19"/>
  <c r="F43" i="19"/>
  <c r="E43" i="19"/>
  <c r="D43" i="19"/>
  <c r="J42" i="19"/>
  <c r="I42" i="19"/>
  <c r="H42" i="19"/>
  <c r="G42" i="19"/>
  <c r="F42" i="19"/>
  <c r="E42" i="19"/>
  <c r="D42" i="19"/>
  <c r="J41" i="19"/>
  <c r="I41" i="19"/>
  <c r="H41" i="19"/>
  <c r="G41" i="19"/>
  <c r="F41" i="19"/>
  <c r="E41" i="19"/>
  <c r="D41" i="19"/>
  <c r="J40" i="19"/>
  <c r="I40" i="19"/>
  <c r="H40" i="19"/>
  <c r="G40" i="19"/>
  <c r="F40" i="19"/>
  <c r="E40" i="19"/>
  <c r="D40" i="19"/>
  <c r="J39" i="19"/>
  <c r="I39" i="19"/>
  <c r="H39" i="19"/>
  <c r="G39" i="19"/>
  <c r="F39" i="19"/>
  <c r="E39" i="19"/>
  <c r="D39" i="19"/>
  <c r="J38" i="19"/>
  <c r="I38" i="19"/>
  <c r="H38" i="19"/>
  <c r="G38" i="19"/>
  <c r="F38" i="19"/>
  <c r="E38" i="19"/>
  <c r="D38" i="19"/>
  <c r="J37" i="19"/>
  <c r="I37" i="19"/>
  <c r="H37" i="19"/>
  <c r="G37" i="19"/>
  <c r="F37" i="19"/>
  <c r="E37" i="19"/>
  <c r="D37" i="19"/>
  <c r="J36" i="19"/>
  <c r="I36" i="19"/>
  <c r="H36" i="19"/>
  <c r="G36" i="19"/>
  <c r="F36" i="19"/>
  <c r="E36" i="19"/>
  <c r="D36" i="19"/>
  <c r="J30" i="19"/>
  <c r="I30" i="19"/>
  <c r="H30" i="19"/>
  <c r="G30" i="19"/>
  <c r="F30" i="19"/>
  <c r="E30" i="19"/>
  <c r="D30" i="19"/>
  <c r="J29" i="19"/>
  <c r="I29" i="19"/>
  <c r="H29" i="19"/>
  <c r="G29" i="19"/>
  <c r="F29" i="19"/>
  <c r="E29" i="19"/>
  <c r="D29" i="19"/>
  <c r="J28" i="19"/>
  <c r="I28" i="19"/>
  <c r="H28" i="19"/>
  <c r="G28" i="19"/>
  <c r="F28" i="19"/>
  <c r="E28" i="19"/>
  <c r="D28" i="19"/>
  <c r="J27" i="19"/>
  <c r="I27" i="19"/>
  <c r="H27" i="19"/>
  <c r="G27" i="19"/>
  <c r="F27" i="19"/>
  <c r="E27" i="19"/>
  <c r="D27" i="19"/>
  <c r="J26" i="19"/>
  <c r="I26" i="19"/>
  <c r="H26" i="19"/>
  <c r="G26" i="19"/>
  <c r="F26" i="19"/>
  <c r="E26" i="19"/>
  <c r="D26" i="19"/>
  <c r="J25" i="19"/>
  <c r="I25" i="19"/>
  <c r="H25" i="19"/>
  <c r="G25" i="19"/>
  <c r="F25" i="19"/>
  <c r="E25" i="19"/>
  <c r="D25" i="19"/>
  <c r="J24" i="19"/>
  <c r="I24" i="19"/>
  <c r="H24" i="19"/>
  <c r="G24" i="19"/>
  <c r="F24" i="19"/>
  <c r="E24" i="19"/>
  <c r="D24" i="19"/>
  <c r="J23" i="19"/>
  <c r="I23" i="19"/>
  <c r="H23" i="19"/>
  <c r="G23" i="19"/>
  <c r="F23" i="19"/>
  <c r="E23" i="19"/>
  <c r="D23" i="19"/>
  <c r="J22" i="19"/>
  <c r="I22" i="19"/>
  <c r="H22" i="19"/>
  <c r="G22" i="19"/>
  <c r="F22" i="19"/>
  <c r="E22" i="19"/>
  <c r="D22" i="19"/>
  <c r="J21" i="19"/>
  <c r="I21" i="19"/>
  <c r="H21" i="19"/>
  <c r="G21" i="19"/>
  <c r="F21" i="19"/>
  <c r="E21" i="19"/>
  <c r="D21" i="19"/>
  <c r="J20" i="19"/>
  <c r="I20" i="19"/>
  <c r="H20" i="19"/>
  <c r="G20" i="19"/>
  <c r="F20" i="19"/>
  <c r="E20" i="19"/>
  <c r="D20" i="19"/>
  <c r="J19" i="19"/>
  <c r="I19" i="19"/>
  <c r="H19" i="19"/>
  <c r="G19" i="19"/>
  <c r="F19" i="19"/>
  <c r="E19" i="19"/>
  <c r="D19" i="19"/>
  <c r="J18" i="19"/>
  <c r="I18" i="19"/>
  <c r="H18" i="19"/>
  <c r="G18" i="19"/>
  <c r="F18" i="19"/>
  <c r="E18" i="19"/>
  <c r="D18" i="19"/>
  <c r="J17" i="19"/>
  <c r="I17" i="19"/>
  <c r="H17" i="19"/>
  <c r="G17" i="19"/>
  <c r="F17" i="19"/>
  <c r="E17" i="19"/>
  <c r="D17" i="19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4" i="19"/>
  <c r="I14" i="19"/>
  <c r="H14" i="19"/>
  <c r="G14" i="19"/>
  <c r="F14" i="19"/>
  <c r="E14" i="19"/>
  <c r="D14" i="19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75" i="18"/>
  <c r="I75" i="18"/>
  <c r="H75" i="18"/>
  <c r="G75" i="18"/>
  <c r="F75" i="18"/>
  <c r="E75" i="18"/>
  <c r="D75" i="18"/>
  <c r="J74" i="18"/>
  <c r="I74" i="18"/>
  <c r="H74" i="18"/>
  <c r="G74" i="18"/>
  <c r="F74" i="18"/>
  <c r="E74" i="18"/>
  <c r="D74" i="18"/>
  <c r="J73" i="18"/>
  <c r="I73" i="18"/>
  <c r="H73" i="18"/>
  <c r="G73" i="18"/>
  <c r="F73" i="18"/>
  <c r="E73" i="18"/>
  <c r="D73" i="18"/>
  <c r="J72" i="18"/>
  <c r="I72" i="18"/>
  <c r="H72" i="18"/>
  <c r="G72" i="18"/>
  <c r="F72" i="18"/>
  <c r="E72" i="18"/>
  <c r="D72" i="18"/>
  <c r="J71" i="18"/>
  <c r="I71" i="18"/>
  <c r="H71" i="18"/>
  <c r="G71" i="18"/>
  <c r="F71" i="18"/>
  <c r="E71" i="18"/>
  <c r="D71" i="18"/>
  <c r="J70" i="18"/>
  <c r="I70" i="18"/>
  <c r="H70" i="18"/>
  <c r="G70" i="18"/>
  <c r="F70" i="18"/>
  <c r="E70" i="18"/>
  <c r="D70" i="18"/>
  <c r="J69" i="18"/>
  <c r="I69" i="18"/>
  <c r="H69" i="18"/>
  <c r="G69" i="18"/>
  <c r="F69" i="18"/>
  <c r="E69" i="18"/>
  <c r="D69" i="18"/>
  <c r="J68" i="18"/>
  <c r="I68" i="18"/>
  <c r="H68" i="18"/>
  <c r="G68" i="18"/>
  <c r="F68" i="18"/>
  <c r="E68" i="18"/>
  <c r="D68" i="18"/>
  <c r="J67" i="18"/>
  <c r="I67" i="18"/>
  <c r="H67" i="18"/>
  <c r="G67" i="18"/>
  <c r="F67" i="18"/>
  <c r="E67" i="18"/>
  <c r="D67" i="18"/>
  <c r="J66" i="18"/>
  <c r="I66" i="18"/>
  <c r="H66" i="18"/>
  <c r="G66" i="18"/>
  <c r="F66" i="18"/>
  <c r="E66" i="18"/>
  <c r="J65" i="18"/>
  <c r="I65" i="18"/>
  <c r="H65" i="18"/>
  <c r="G65" i="18"/>
  <c r="F65" i="18"/>
  <c r="E65" i="18"/>
  <c r="J64" i="18"/>
  <c r="I64" i="18"/>
  <c r="H64" i="18"/>
  <c r="G64" i="18"/>
  <c r="F64" i="18"/>
  <c r="E64" i="18"/>
  <c r="J63" i="18"/>
  <c r="I63" i="18"/>
  <c r="H63" i="18"/>
  <c r="G63" i="18"/>
  <c r="F63" i="18"/>
  <c r="E63" i="18"/>
  <c r="J62" i="18"/>
  <c r="I62" i="18"/>
  <c r="H62" i="18"/>
  <c r="G62" i="18"/>
  <c r="F62" i="18"/>
  <c r="E62" i="18"/>
  <c r="J61" i="18"/>
  <c r="I61" i="18"/>
  <c r="H61" i="18"/>
  <c r="G61" i="18"/>
  <c r="F61" i="18"/>
  <c r="E61" i="18"/>
  <c r="J60" i="18"/>
  <c r="I60" i="18"/>
  <c r="H60" i="18"/>
  <c r="G60" i="18"/>
  <c r="F60" i="18"/>
  <c r="E60" i="18"/>
  <c r="J59" i="18"/>
  <c r="I59" i="18"/>
  <c r="H59" i="18"/>
  <c r="G59" i="18"/>
  <c r="F59" i="18"/>
  <c r="E59" i="18"/>
  <c r="J58" i="18"/>
  <c r="I58" i="18"/>
  <c r="H58" i="18"/>
  <c r="G58" i="18"/>
  <c r="F58" i="18"/>
  <c r="E58" i="18"/>
  <c r="J57" i="18"/>
  <c r="I57" i="18"/>
  <c r="H57" i="18"/>
  <c r="G57" i="18"/>
  <c r="F57" i="18"/>
  <c r="E57" i="18"/>
  <c r="J56" i="18"/>
  <c r="I56" i="18"/>
  <c r="H56" i="18"/>
  <c r="G56" i="18"/>
  <c r="F56" i="18"/>
  <c r="E56" i="18"/>
  <c r="J55" i="18"/>
  <c r="I55" i="18"/>
  <c r="H55" i="18"/>
  <c r="G55" i="18"/>
  <c r="F55" i="18"/>
  <c r="E55" i="18"/>
  <c r="J54" i="18"/>
  <c r="I54" i="18"/>
  <c r="H54" i="18"/>
  <c r="G54" i="18"/>
  <c r="F54" i="18"/>
  <c r="E54" i="18"/>
  <c r="J53" i="18"/>
  <c r="I53" i="18"/>
  <c r="H53" i="18"/>
  <c r="G53" i="18"/>
  <c r="F53" i="18"/>
  <c r="E53" i="18"/>
  <c r="J52" i="18"/>
  <c r="I52" i="18"/>
  <c r="H52" i="18"/>
  <c r="G52" i="18"/>
  <c r="F52" i="18"/>
  <c r="E52" i="18"/>
  <c r="J51" i="18"/>
  <c r="I51" i="18"/>
  <c r="H51" i="18"/>
  <c r="G51" i="18"/>
  <c r="F51" i="18"/>
  <c r="E51" i="18"/>
  <c r="J50" i="18"/>
  <c r="I50" i="18"/>
  <c r="H50" i="18"/>
  <c r="G50" i="18"/>
  <c r="F50" i="18"/>
  <c r="E50" i="18"/>
  <c r="J49" i="18"/>
  <c r="I49" i="18"/>
  <c r="H49" i="18"/>
  <c r="G49" i="18"/>
  <c r="F49" i="18"/>
  <c r="E49" i="18"/>
  <c r="J48" i="18"/>
  <c r="I48" i="18"/>
  <c r="H48" i="18"/>
  <c r="G48" i="18"/>
  <c r="F48" i="18"/>
  <c r="E48" i="18"/>
  <c r="J47" i="18"/>
  <c r="I47" i="18"/>
  <c r="H47" i="18"/>
  <c r="G47" i="18"/>
  <c r="F47" i="18"/>
  <c r="E47" i="18"/>
  <c r="J46" i="18"/>
  <c r="I46" i="18"/>
  <c r="H46" i="18"/>
  <c r="G46" i="18"/>
  <c r="F46" i="18"/>
  <c r="E46" i="18"/>
  <c r="J45" i="18"/>
  <c r="I45" i="18"/>
  <c r="H45" i="18"/>
  <c r="G45" i="18"/>
  <c r="F45" i="18"/>
  <c r="E45" i="18"/>
  <c r="J44" i="18"/>
  <c r="I44" i="18"/>
  <c r="H44" i="18"/>
  <c r="G44" i="18"/>
  <c r="F44" i="18"/>
  <c r="E44" i="18"/>
  <c r="J43" i="18"/>
  <c r="I43" i="18"/>
  <c r="H43" i="18"/>
  <c r="G43" i="18"/>
  <c r="F43" i="18"/>
  <c r="E43" i="18"/>
  <c r="J42" i="18"/>
  <c r="I42" i="18"/>
  <c r="H42" i="18"/>
  <c r="G42" i="18"/>
  <c r="F42" i="18"/>
  <c r="E42" i="18"/>
  <c r="J41" i="18"/>
  <c r="I41" i="18"/>
  <c r="H41" i="18"/>
  <c r="G41" i="18"/>
  <c r="F41" i="18"/>
  <c r="E40" i="18"/>
  <c r="E39" i="18"/>
  <c r="E38" i="18"/>
  <c r="E37" i="18"/>
  <c r="E36" i="18"/>
  <c r="E41" i="18"/>
  <c r="J40" i="18"/>
  <c r="I40" i="18"/>
  <c r="H40" i="18"/>
  <c r="G40" i="18"/>
  <c r="F40" i="18"/>
  <c r="J39" i="18"/>
  <c r="I39" i="18"/>
  <c r="H39" i="18"/>
  <c r="G39" i="18"/>
  <c r="F39" i="18"/>
  <c r="J38" i="18"/>
  <c r="I38" i="18"/>
  <c r="H38" i="18"/>
  <c r="G38" i="18"/>
  <c r="F38" i="18"/>
  <c r="J37" i="18"/>
  <c r="I37" i="18"/>
  <c r="H37" i="18"/>
  <c r="G37" i="18"/>
  <c r="F37" i="18"/>
  <c r="J36" i="18"/>
  <c r="I36" i="18"/>
  <c r="H36" i="18"/>
  <c r="G36" i="18"/>
  <c r="F36" i="18"/>
  <c r="E27" i="18"/>
  <c r="F27" i="18"/>
  <c r="G27" i="18"/>
  <c r="H27" i="18"/>
  <c r="I27" i="18"/>
  <c r="J27" i="18"/>
  <c r="E28" i="18"/>
  <c r="F28" i="18"/>
  <c r="G28" i="18"/>
  <c r="H28" i="18"/>
  <c r="I28" i="18"/>
  <c r="J28" i="18"/>
  <c r="E29" i="18"/>
  <c r="F29" i="18"/>
  <c r="G29" i="18"/>
  <c r="H29" i="18"/>
  <c r="I29" i="18"/>
  <c r="J29" i="18"/>
  <c r="E30" i="18"/>
  <c r="F30" i="18"/>
  <c r="G30" i="18"/>
  <c r="H30" i="18"/>
  <c r="I30" i="18"/>
  <c r="J30" i="18"/>
  <c r="J26" i="18"/>
  <c r="I26" i="18"/>
  <c r="H26" i="18"/>
  <c r="G26" i="18"/>
  <c r="F26" i="18"/>
  <c r="J25" i="18"/>
  <c r="I25" i="18"/>
  <c r="H25" i="18"/>
  <c r="G25" i="18"/>
  <c r="F25" i="18"/>
  <c r="J24" i="18"/>
  <c r="I24" i="18"/>
  <c r="H24" i="18"/>
  <c r="G24" i="18"/>
  <c r="F24" i="18"/>
  <c r="J23" i="18"/>
  <c r="I23" i="18"/>
  <c r="H23" i="18"/>
  <c r="G23" i="18"/>
  <c r="F23" i="18"/>
  <c r="J22" i="18"/>
  <c r="I22" i="18"/>
  <c r="H22" i="18"/>
  <c r="G22" i="18"/>
  <c r="F22" i="18"/>
  <c r="H21" i="18"/>
  <c r="I21" i="18"/>
  <c r="J21" i="18"/>
  <c r="E26" i="18"/>
  <c r="C13" i="16"/>
  <c r="C14" i="16"/>
  <c r="C15" i="16"/>
  <c r="C16" i="16"/>
  <c r="C17" i="16"/>
  <c r="G21" i="18"/>
  <c r="F21" i="18"/>
  <c r="E25" i="18"/>
  <c r="E24" i="18"/>
  <c r="E23" i="18"/>
  <c r="E22" i="18"/>
  <c r="E21" i="18"/>
  <c r="F17" i="18"/>
  <c r="G17" i="18"/>
  <c r="H17" i="18"/>
  <c r="I17" i="18"/>
  <c r="J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H20" i="18"/>
  <c r="I20" i="18"/>
  <c r="J20" i="18"/>
  <c r="J16" i="18"/>
  <c r="I16" i="18"/>
  <c r="H16" i="18"/>
  <c r="G16" i="18"/>
  <c r="F16" i="18"/>
  <c r="E20" i="18"/>
  <c r="E19" i="18"/>
  <c r="E18" i="18"/>
  <c r="E17" i="18"/>
  <c r="E16" i="18"/>
  <c r="D17" i="18"/>
  <c r="D18" i="18"/>
  <c r="D19" i="18"/>
  <c r="D20" i="18"/>
  <c r="D16" i="18"/>
  <c r="D66" i="18"/>
  <c r="D62" i="18"/>
  <c r="D63" i="18"/>
  <c r="D64" i="18"/>
  <c r="D65" i="18"/>
  <c r="D61" i="18"/>
  <c r="D57" i="18"/>
  <c r="D58" i="18"/>
  <c r="D59" i="18"/>
  <c r="D60" i="18"/>
  <c r="D56" i="18"/>
  <c r="D52" i="18"/>
  <c r="D53" i="18"/>
  <c r="D54" i="18"/>
  <c r="D55" i="18"/>
  <c r="D51" i="18"/>
  <c r="D47" i="18"/>
  <c r="D48" i="18"/>
  <c r="D49" i="18"/>
  <c r="D50" i="18"/>
  <c r="D46" i="18"/>
  <c r="D42" i="18"/>
  <c r="D43" i="18"/>
  <c r="D44" i="18"/>
  <c r="D45" i="18"/>
  <c r="D41" i="18"/>
  <c r="D37" i="18"/>
  <c r="D38" i="18"/>
  <c r="D39" i="18"/>
  <c r="D40" i="18"/>
  <c r="D36" i="18"/>
  <c r="D27" i="18"/>
  <c r="D28" i="18"/>
  <c r="D29" i="18"/>
  <c r="D30" i="18"/>
  <c r="D26" i="18"/>
  <c r="D25" i="18"/>
  <c r="D24" i="18"/>
  <c r="D23" i="18"/>
  <c r="D22" i="18"/>
  <c r="D21" i="18"/>
  <c r="I15" i="18"/>
  <c r="I14" i="18"/>
  <c r="I13" i="18"/>
  <c r="I12" i="18"/>
  <c r="I11" i="18"/>
  <c r="J15" i="18"/>
  <c r="J14" i="18"/>
  <c r="J13" i="18"/>
  <c r="J12" i="18"/>
  <c r="J11" i="18"/>
  <c r="H15" i="18"/>
  <c r="H14" i="18"/>
  <c r="H13" i="18"/>
  <c r="H12" i="18"/>
  <c r="H11" i="18"/>
  <c r="G15" i="18"/>
  <c r="G14" i="18"/>
  <c r="G13" i="18"/>
  <c r="G12" i="18"/>
  <c r="G11" i="18"/>
  <c r="E15" i="18"/>
  <c r="E14" i="18"/>
  <c r="E13" i="18"/>
  <c r="E12" i="18"/>
  <c r="E11" i="18"/>
  <c r="F15" i="18"/>
  <c r="F14" i="18"/>
  <c r="F13" i="18"/>
  <c r="F12" i="18"/>
  <c r="F11" i="18"/>
  <c r="D12" i="18"/>
  <c r="D13" i="18"/>
  <c r="D14" i="18"/>
  <c r="D15" i="18"/>
  <c r="D11" i="18"/>
  <c r="F62" i="16"/>
  <c r="F61" i="16"/>
  <c r="F60" i="16"/>
  <c r="F59" i="16"/>
  <c r="F58" i="16"/>
  <c r="G62" i="16"/>
  <c r="G61" i="16"/>
  <c r="G60" i="16"/>
  <c r="G59" i="16"/>
  <c r="G58" i="16"/>
  <c r="G57" i="16"/>
  <c r="G56" i="16"/>
  <c r="G55" i="16"/>
  <c r="G54" i="16"/>
  <c r="G53" i="16"/>
  <c r="F57" i="16"/>
  <c r="F56" i="16"/>
  <c r="F55" i="16"/>
  <c r="F54" i="16"/>
  <c r="F53" i="16"/>
  <c r="C43" i="16"/>
  <c r="D43" i="16"/>
  <c r="E43" i="16"/>
  <c r="G43" i="16"/>
  <c r="H43" i="16"/>
  <c r="J43" i="16"/>
  <c r="K43" i="16"/>
  <c r="L43" i="16"/>
  <c r="M43" i="16"/>
  <c r="N43" i="16"/>
  <c r="C44" i="16"/>
  <c r="D44" i="16"/>
  <c r="E44" i="16"/>
  <c r="G44" i="16"/>
  <c r="H44" i="16"/>
  <c r="J44" i="16"/>
  <c r="K44" i="16"/>
  <c r="L44" i="16"/>
  <c r="M44" i="16"/>
  <c r="N44" i="16"/>
  <c r="C45" i="16"/>
  <c r="D45" i="16"/>
  <c r="E45" i="16"/>
  <c r="G45" i="16"/>
  <c r="H45" i="16"/>
  <c r="J45" i="16"/>
  <c r="K45" i="16"/>
  <c r="L45" i="16"/>
  <c r="M45" i="16"/>
  <c r="N45" i="16"/>
  <c r="C46" i="16"/>
  <c r="D46" i="16"/>
  <c r="E46" i="16"/>
  <c r="G46" i="16"/>
  <c r="H46" i="16"/>
  <c r="J46" i="16"/>
  <c r="K46" i="16"/>
  <c r="L46" i="16"/>
  <c r="M46" i="16"/>
  <c r="N46" i="16"/>
  <c r="C47" i="16"/>
  <c r="D47" i="16"/>
  <c r="E47" i="16"/>
  <c r="G47" i="16"/>
  <c r="H47" i="16"/>
  <c r="J47" i="16"/>
  <c r="K47" i="16"/>
  <c r="L47" i="16"/>
  <c r="M47" i="16"/>
  <c r="N47" i="16"/>
  <c r="E13" i="16" l="1"/>
  <c r="E12" i="16"/>
  <c r="E10" i="16"/>
  <c r="E11" i="16"/>
  <c r="E9" i="16"/>
  <c r="E8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15" i="16"/>
  <c r="E17" i="16"/>
  <c r="E16" i="16"/>
  <c r="E14" i="16"/>
  <c r="D42" i="16"/>
  <c r="D41" i="16"/>
  <c r="D40" i="16"/>
  <c r="D39" i="16"/>
  <c r="D38" i="16"/>
  <c r="D35" i="16"/>
  <c r="D37" i="16"/>
  <c r="D36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G52" i="16"/>
  <c r="G51" i="16"/>
  <c r="G50" i="16"/>
  <c r="G48" i="16"/>
  <c r="G49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M52" i="16"/>
  <c r="M51" i="16"/>
  <c r="M50" i="16"/>
  <c r="M49" i="16"/>
  <c r="M48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19" i="16"/>
  <c r="M20" i="16"/>
  <c r="M18" i="16"/>
  <c r="M17" i="16"/>
  <c r="M16" i="16"/>
  <c r="M15" i="16"/>
  <c r="M14" i="16"/>
  <c r="M13" i="16"/>
  <c r="L52" i="16"/>
  <c r="L51" i="16"/>
  <c r="L50" i="16"/>
  <c r="L49" i="16"/>
  <c r="L48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19" i="16"/>
  <c r="L20" i="16"/>
  <c r="L18" i="16"/>
  <c r="L17" i="16"/>
  <c r="L16" i="16"/>
  <c r="L15" i="16"/>
  <c r="L14" i="16"/>
  <c r="L13" i="16"/>
  <c r="K52" i="16"/>
  <c r="K51" i="16"/>
  <c r="K50" i="16"/>
  <c r="K49" i="16"/>
  <c r="K48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J52" i="16"/>
  <c r="J51" i="16"/>
  <c r="J50" i="16"/>
  <c r="J49" i="16"/>
  <c r="J48" i="16"/>
  <c r="J42" i="16"/>
  <c r="J41" i="16"/>
  <c r="J40" i="16"/>
  <c r="J39" i="16"/>
  <c r="J38" i="16"/>
  <c r="J37" i="16"/>
  <c r="J36" i="16"/>
  <c r="J35" i="16"/>
  <c r="J34" i="16"/>
  <c r="J33" i="16"/>
  <c r="J27" i="16"/>
  <c r="J26" i="16"/>
  <c r="J25" i="16"/>
  <c r="J24" i="16"/>
  <c r="J23" i="16"/>
  <c r="J32" i="16"/>
  <c r="J31" i="16"/>
  <c r="J30" i="16"/>
  <c r="J29" i="16"/>
  <c r="J28" i="16"/>
  <c r="J22" i="16"/>
  <c r="J21" i="16"/>
  <c r="J20" i="16"/>
  <c r="J19" i="16"/>
  <c r="J18" i="16"/>
  <c r="J17" i="16"/>
  <c r="J16" i="16"/>
  <c r="J15" i="16"/>
  <c r="J14" i="16"/>
  <c r="J13" i="16"/>
  <c r="H51" i="16"/>
  <c r="H52" i="16"/>
  <c r="H50" i="16"/>
  <c r="H49" i="16"/>
  <c r="H48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C52" i="16"/>
  <c r="C51" i="16"/>
  <c r="C50" i="16"/>
  <c r="C48" i="16"/>
  <c r="C49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J549" i="15"/>
  <c r="J550" i="15" s="1"/>
  <c r="I549" i="15"/>
  <c r="I550" i="15" s="1"/>
  <c r="H549" i="15"/>
  <c r="H550" i="15" s="1"/>
  <c r="I548" i="15"/>
  <c r="J547" i="15"/>
  <c r="J548" i="15" s="1"/>
  <c r="I547" i="15"/>
  <c r="H547" i="15"/>
  <c r="H548" i="15" s="1"/>
  <c r="J545" i="15"/>
  <c r="J546" i="15" s="1"/>
  <c r="I545" i="15"/>
  <c r="I546" i="15" s="1"/>
  <c r="H545" i="15"/>
  <c r="H546" i="15" s="1"/>
  <c r="I544" i="15"/>
  <c r="J543" i="15"/>
  <c r="J544" i="15" s="1"/>
  <c r="I543" i="15"/>
  <c r="H543" i="15"/>
  <c r="H544" i="15" s="1"/>
  <c r="J542" i="15"/>
  <c r="I542" i="15"/>
  <c r="H542" i="15"/>
  <c r="F526" i="15"/>
  <c r="J525" i="15"/>
  <c r="J526" i="15" s="1"/>
  <c r="I525" i="15"/>
  <c r="I526" i="15" s="1"/>
  <c r="H525" i="15"/>
  <c r="H526" i="15" s="1"/>
  <c r="G525" i="15"/>
  <c r="G526" i="15" s="1"/>
  <c r="F525" i="15"/>
  <c r="E525" i="15"/>
  <c r="E526" i="15" s="1"/>
  <c r="D525" i="15"/>
  <c r="J523" i="15"/>
  <c r="J524" i="15" s="1"/>
  <c r="I523" i="15"/>
  <c r="I524" i="15" s="1"/>
  <c r="H523" i="15"/>
  <c r="H524" i="15" s="1"/>
  <c r="G523" i="15"/>
  <c r="G524" i="15" s="1"/>
  <c r="F523" i="15"/>
  <c r="F524" i="15" s="1"/>
  <c r="E523" i="15"/>
  <c r="E524" i="15" s="1"/>
  <c r="D523" i="15"/>
  <c r="H522" i="15"/>
  <c r="J521" i="15"/>
  <c r="J522" i="15" s="1"/>
  <c r="I521" i="15"/>
  <c r="I522" i="15" s="1"/>
  <c r="H521" i="15"/>
  <c r="G521" i="15"/>
  <c r="G522" i="15" s="1"/>
  <c r="F521" i="15"/>
  <c r="F522" i="15" s="1"/>
  <c r="E521" i="15"/>
  <c r="E522" i="15" s="1"/>
  <c r="D521" i="15"/>
  <c r="E520" i="15"/>
  <c r="J519" i="15"/>
  <c r="J520" i="15" s="1"/>
  <c r="I519" i="15"/>
  <c r="I520" i="15" s="1"/>
  <c r="H519" i="15"/>
  <c r="H520" i="15" s="1"/>
  <c r="G519" i="15"/>
  <c r="G520" i="15" s="1"/>
  <c r="F519" i="15"/>
  <c r="F520" i="15" s="1"/>
  <c r="E519" i="15"/>
  <c r="D519" i="15"/>
  <c r="J518" i="15"/>
  <c r="I518" i="15"/>
  <c r="H518" i="15"/>
  <c r="K501" i="15"/>
  <c r="K502" i="15" s="1"/>
  <c r="I501" i="15"/>
  <c r="I502" i="15" s="1"/>
  <c r="I500" i="15"/>
  <c r="K499" i="15"/>
  <c r="K500" i="15" s="1"/>
  <c r="I499" i="15"/>
  <c r="I498" i="15"/>
  <c r="K497" i="15"/>
  <c r="K498" i="15" s="1"/>
  <c r="I497" i="15"/>
  <c r="I496" i="15"/>
  <c r="K495" i="15"/>
  <c r="K496" i="15" s="1"/>
  <c r="I495" i="15"/>
  <c r="K494" i="15"/>
  <c r="I494" i="15"/>
  <c r="P490" i="15"/>
  <c r="S489" i="15"/>
  <c r="S490" i="15" s="1"/>
  <c r="R489" i="15"/>
  <c r="R490" i="15" s="1"/>
  <c r="Q489" i="15"/>
  <c r="Q490" i="15" s="1"/>
  <c r="P489" i="15"/>
  <c r="O489" i="15"/>
  <c r="O490" i="15" s="1"/>
  <c r="N489" i="15"/>
  <c r="N490" i="15" s="1"/>
  <c r="M489" i="15"/>
  <c r="M490" i="15" s="1"/>
  <c r="L489" i="15"/>
  <c r="L490" i="15" s="1"/>
  <c r="S487" i="15"/>
  <c r="S488" i="15" s="1"/>
  <c r="R487" i="15"/>
  <c r="R488" i="15" s="1"/>
  <c r="Q487" i="15"/>
  <c r="Q488" i="15" s="1"/>
  <c r="P487" i="15"/>
  <c r="P488" i="15" s="1"/>
  <c r="O487" i="15"/>
  <c r="O488" i="15" s="1"/>
  <c r="N487" i="15"/>
  <c r="N488" i="15" s="1"/>
  <c r="M487" i="15"/>
  <c r="M488" i="15" s="1"/>
  <c r="L487" i="15"/>
  <c r="L488" i="15" s="1"/>
  <c r="S485" i="15"/>
  <c r="S486" i="15" s="1"/>
  <c r="R485" i="15"/>
  <c r="R486" i="15" s="1"/>
  <c r="Q485" i="15"/>
  <c r="Q486" i="15" s="1"/>
  <c r="P485" i="15"/>
  <c r="P486" i="15" s="1"/>
  <c r="O485" i="15"/>
  <c r="O486" i="15" s="1"/>
  <c r="N485" i="15"/>
  <c r="N486" i="15" s="1"/>
  <c r="M485" i="15"/>
  <c r="M486" i="15" s="1"/>
  <c r="L485" i="15"/>
  <c r="L486" i="15" s="1"/>
  <c r="P484" i="15"/>
  <c r="S483" i="15"/>
  <c r="S484" i="15" s="1"/>
  <c r="R483" i="15"/>
  <c r="R484" i="15" s="1"/>
  <c r="Q483" i="15"/>
  <c r="Q484" i="15" s="1"/>
  <c r="P483" i="15"/>
  <c r="O483" i="15"/>
  <c r="O484" i="15" s="1"/>
  <c r="N483" i="15"/>
  <c r="N484" i="15" s="1"/>
  <c r="M483" i="15"/>
  <c r="M484" i="15" s="1"/>
  <c r="L483" i="15"/>
  <c r="L484" i="15" s="1"/>
  <c r="S482" i="15"/>
  <c r="R482" i="15"/>
  <c r="Q482" i="15"/>
  <c r="P482" i="15"/>
  <c r="O482" i="15"/>
  <c r="N482" i="15"/>
  <c r="M482" i="15"/>
  <c r="L482" i="15"/>
  <c r="P466" i="15"/>
  <c r="H466" i="15"/>
  <c r="S465" i="15"/>
  <c r="S466" i="15" s="1"/>
  <c r="R465" i="15"/>
  <c r="R466" i="15" s="1"/>
  <c r="Q465" i="15"/>
  <c r="Q466" i="15" s="1"/>
  <c r="P465" i="15"/>
  <c r="O465" i="15"/>
  <c r="O466" i="15" s="1"/>
  <c r="N465" i="15"/>
  <c r="N466" i="15" s="1"/>
  <c r="M465" i="15"/>
  <c r="M466" i="15" s="1"/>
  <c r="L465" i="15"/>
  <c r="L466" i="15" s="1"/>
  <c r="K465" i="15"/>
  <c r="K466" i="15" s="1"/>
  <c r="J465" i="15"/>
  <c r="J466" i="15" s="1"/>
  <c r="I465" i="15"/>
  <c r="I466" i="15" s="1"/>
  <c r="H465" i="15"/>
  <c r="G465" i="15"/>
  <c r="G466" i="15" s="1"/>
  <c r="F465" i="15"/>
  <c r="F466" i="15" s="1"/>
  <c r="E465" i="15"/>
  <c r="D465" i="15"/>
  <c r="N464" i="15"/>
  <c r="F464" i="15"/>
  <c r="S463" i="15"/>
  <c r="S464" i="15" s="1"/>
  <c r="R463" i="15"/>
  <c r="R464" i="15" s="1"/>
  <c r="Q463" i="15"/>
  <c r="Q464" i="15" s="1"/>
  <c r="P463" i="15"/>
  <c r="P464" i="15" s="1"/>
  <c r="O463" i="15"/>
  <c r="O464" i="15" s="1"/>
  <c r="N463" i="15"/>
  <c r="M463" i="15"/>
  <c r="M464" i="15" s="1"/>
  <c r="L463" i="15"/>
  <c r="L464" i="15" s="1"/>
  <c r="K463" i="15"/>
  <c r="K464" i="15" s="1"/>
  <c r="J463" i="15"/>
  <c r="J464" i="15" s="1"/>
  <c r="I463" i="15"/>
  <c r="I464" i="15" s="1"/>
  <c r="H463" i="15"/>
  <c r="H464" i="15" s="1"/>
  <c r="G463" i="15"/>
  <c r="G464" i="15" s="1"/>
  <c r="F463" i="15"/>
  <c r="E463" i="15"/>
  <c r="D463" i="15"/>
  <c r="L462" i="15"/>
  <c r="S461" i="15"/>
  <c r="S462" i="15" s="1"/>
  <c r="R461" i="15"/>
  <c r="R462" i="15" s="1"/>
  <c r="Q461" i="15"/>
  <c r="Q462" i="15" s="1"/>
  <c r="P461" i="15"/>
  <c r="P462" i="15" s="1"/>
  <c r="O461" i="15"/>
  <c r="O462" i="15" s="1"/>
  <c r="N461" i="15"/>
  <c r="N462" i="15" s="1"/>
  <c r="M461" i="15"/>
  <c r="M462" i="15" s="1"/>
  <c r="L461" i="15"/>
  <c r="K461" i="15"/>
  <c r="K462" i="15" s="1"/>
  <c r="J461" i="15"/>
  <c r="J462" i="15" s="1"/>
  <c r="I461" i="15"/>
  <c r="I462" i="15" s="1"/>
  <c r="H461" i="15"/>
  <c r="H462" i="15" s="1"/>
  <c r="G461" i="15"/>
  <c r="G462" i="15" s="1"/>
  <c r="F461" i="15"/>
  <c r="F462" i="15" s="1"/>
  <c r="E461" i="15"/>
  <c r="D461" i="15"/>
  <c r="R460" i="15"/>
  <c r="J460" i="15"/>
  <c r="S459" i="15"/>
  <c r="S460" i="15" s="1"/>
  <c r="R459" i="15"/>
  <c r="Q459" i="15"/>
  <c r="Q460" i="15" s="1"/>
  <c r="P459" i="15"/>
  <c r="P460" i="15" s="1"/>
  <c r="O459" i="15"/>
  <c r="O460" i="15" s="1"/>
  <c r="N459" i="15"/>
  <c r="N460" i="15" s="1"/>
  <c r="M459" i="15"/>
  <c r="M460" i="15" s="1"/>
  <c r="L459" i="15"/>
  <c r="L460" i="15" s="1"/>
  <c r="K459" i="15"/>
  <c r="K460" i="15" s="1"/>
  <c r="J459" i="15"/>
  <c r="I459" i="15"/>
  <c r="I460" i="15" s="1"/>
  <c r="H459" i="15"/>
  <c r="H460" i="15" s="1"/>
  <c r="G459" i="15"/>
  <c r="G460" i="15" s="1"/>
  <c r="F459" i="15"/>
  <c r="F460" i="15" s="1"/>
  <c r="E459" i="15"/>
  <c r="D459" i="15"/>
  <c r="S458" i="15"/>
  <c r="R458" i="15"/>
  <c r="Q458" i="15"/>
  <c r="P458" i="15"/>
  <c r="O458" i="15"/>
  <c r="N458" i="15"/>
  <c r="M458" i="15"/>
  <c r="L458" i="15"/>
  <c r="H436" i="15"/>
  <c r="K435" i="15"/>
  <c r="K436" i="15" s="1"/>
  <c r="J435" i="15"/>
  <c r="J436" i="15" s="1"/>
  <c r="I435" i="15"/>
  <c r="I436" i="15" s="1"/>
  <c r="H435" i="15"/>
  <c r="H434" i="15"/>
  <c r="K433" i="15"/>
  <c r="K434" i="15" s="1"/>
  <c r="J433" i="15"/>
  <c r="J434" i="15" s="1"/>
  <c r="I433" i="15"/>
  <c r="I434" i="15" s="1"/>
  <c r="H433" i="15"/>
  <c r="H432" i="15"/>
  <c r="K431" i="15"/>
  <c r="K432" i="15" s="1"/>
  <c r="J431" i="15"/>
  <c r="J432" i="15" s="1"/>
  <c r="I431" i="15"/>
  <c r="I432" i="15" s="1"/>
  <c r="H431" i="15"/>
  <c r="H430" i="15"/>
  <c r="K429" i="15"/>
  <c r="K430" i="15" s="1"/>
  <c r="J429" i="15"/>
  <c r="J430" i="15" s="1"/>
  <c r="I429" i="15"/>
  <c r="I430" i="15" s="1"/>
  <c r="H429" i="15"/>
  <c r="K428" i="15"/>
  <c r="J428" i="15"/>
  <c r="I428" i="15"/>
  <c r="H428" i="15"/>
  <c r="K411" i="15"/>
  <c r="K412" i="15" s="1"/>
  <c r="J411" i="15"/>
  <c r="J412" i="15" s="1"/>
  <c r="I411" i="15"/>
  <c r="I412" i="15" s="1"/>
  <c r="H411" i="15"/>
  <c r="H412" i="15" s="1"/>
  <c r="G411" i="15"/>
  <c r="G412" i="15" s="1"/>
  <c r="F411" i="15"/>
  <c r="F412" i="15" s="1"/>
  <c r="E411" i="15"/>
  <c r="E412" i="15" s="1"/>
  <c r="D411" i="15"/>
  <c r="K410" i="15"/>
  <c r="K409" i="15"/>
  <c r="J409" i="15"/>
  <c r="J410" i="15" s="1"/>
  <c r="I409" i="15"/>
  <c r="I410" i="15" s="1"/>
  <c r="H409" i="15"/>
  <c r="H410" i="15" s="1"/>
  <c r="G409" i="15"/>
  <c r="G410" i="15" s="1"/>
  <c r="F409" i="15"/>
  <c r="F410" i="15" s="1"/>
  <c r="E409" i="15"/>
  <c r="E410" i="15" s="1"/>
  <c r="D409" i="15"/>
  <c r="J408" i="15"/>
  <c r="K407" i="15"/>
  <c r="K408" i="15" s="1"/>
  <c r="J407" i="15"/>
  <c r="I407" i="15"/>
  <c r="I408" i="15" s="1"/>
  <c r="H407" i="15"/>
  <c r="H408" i="15" s="1"/>
  <c r="G407" i="15"/>
  <c r="G408" i="15" s="1"/>
  <c r="F407" i="15"/>
  <c r="F408" i="15" s="1"/>
  <c r="E407" i="15"/>
  <c r="E408" i="15" s="1"/>
  <c r="D407" i="15"/>
  <c r="I406" i="15"/>
  <c r="K405" i="15"/>
  <c r="K406" i="15" s="1"/>
  <c r="J405" i="15"/>
  <c r="J406" i="15" s="1"/>
  <c r="I405" i="15"/>
  <c r="H405" i="15"/>
  <c r="H406" i="15" s="1"/>
  <c r="G405" i="15"/>
  <c r="G406" i="15" s="1"/>
  <c r="F405" i="15"/>
  <c r="F406" i="15" s="1"/>
  <c r="E405" i="15"/>
  <c r="E406" i="15" s="1"/>
  <c r="D405" i="15"/>
  <c r="K404" i="15"/>
  <c r="J404" i="15"/>
  <c r="I404" i="15"/>
  <c r="H404" i="15"/>
  <c r="K382" i="15"/>
  <c r="J382" i="15"/>
  <c r="K381" i="15"/>
  <c r="J381" i="15"/>
  <c r="I381" i="15"/>
  <c r="I382" i="15" s="1"/>
  <c r="J380" i="15"/>
  <c r="K379" i="15"/>
  <c r="K380" i="15" s="1"/>
  <c r="J379" i="15"/>
  <c r="I379" i="15"/>
  <c r="I380" i="15" s="1"/>
  <c r="K377" i="15"/>
  <c r="K378" i="15" s="1"/>
  <c r="J377" i="15"/>
  <c r="J378" i="15" s="1"/>
  <c r="I377" i="15"/>
  <c r="I378" i="15" s="1"/>
  <c r="J376" i="15"/>
  <c r="K375" i="15"/>
  <c r="K376" i="15" s="1"/>
  <c r="J375" i="15"/>
  <c r="I375" i="15"/>
  <c r="I376" i="15" s="1"/>
  <c r="K357" i="15"/>
  <c r="K358" i="15" s="1"/>
  <c r="J357" i="15"/>
  <c r="J358" i="15" s="1"/>
  <c r="I357" i="15"/>
  <c r="I358" i="15" s="1"/>
  <c r="H357" i="15"/>
  <c r="H358" i="15" s="1"/>
  <c r="G357" i="15"/>
  <c r="G358" i="15" s="1"/>
  <c r="E357" i="15"/>
  <c r="D357" i="15"/>
  <c r="H356" i="15"/>
  <c r="K355" i="15"/>
  <c r="K356" i="15" s="1"/>
  <c r="J355" i="15"/>
  <c r="J356" i="15" s="1"/>
  <c r="I355" i="15"/>
  <c r="I356" i="15" s="1"/>
  <c r="H355" i="15"/>
  <c r="G355" i="15"/>
  <c r="G356" i="15" s="1"/>
  <c r="E355" i="15"/>
  <c r="D355" i="15"/>
  <c r="K353" i="15"/>
  <c r="K354" i="15" s="1"/>
  <c r="J353" i="15"/>
  <c r="J354" i="15" s="1"/>
  <c r="I353" i="15"/>
  <c r="I354" i="15" s="1"/>
  <c r="H353" i="15"/>
  <c r="H354" i="15" s="1"/>
  <c r="G353" i="15"/>
  <c r="G354" i="15" s="1"/>
  <c r="E353" i="15"/>
  <c r="D353" i="15"/>
  <c r="H352" i="15"/>
  <c r="K351" i="15"/>
  <c r="K352" i="15" s="1"/>
  <c r="J351" i="15"/>
  <c r="J352" i="15" s="1"/>
  <c r="I351" i="15"/>
  <c r="I352" i="15" s="1"/>
  <c r="H351" i="15"/>
  <c r="G351" i="15"/>
  <c r="G352" i="15" s="1"/>
  <c r="E351" i="15"/>
  <c r="D351" i="15"/>
  <c r="J333" i="15"/>
  <c r="J334" i="15" s="1"/>
  <c r="I333" i="15"/>
  <c r="I334" i="15" s="1"/>
  <c r="J331" i="15"/>
  <c r="J332" i="15" s="1"/>
  <c r="I331" i="15"/>
  <c r="I332" i="15" s="1"/>
  <c r="I330" i="15"/>
  <c r="J329" i="15"/>
  <c r="J330" i="15" s="1"/>
  <c r="I329" i="15"/>
  <c r="J327" i="15"/>
  <c r="J328" i="15" s="1"/>
  <c r="I327" i="15"/>
  <c r="I328" i="15" s="1"/>
  <c r="J326" i="15"/>
  <c r="I326" i="15"/>
  <c r="K321" i="15"/>
  <c r="K322" i="15" s="1"/>
  <c r="J321" i="15"/>
  <c r="J322" i="15" s="1"/>
  <c r="I321" i="15"/>
  <c r="I322" i="15" s="1"/>
  <c r="H321" i="15"/>
  <c r="H322" i="15" s="1"/>
  <c r="K319" i="15"/>
  <c r="K320" i="15" s="1"/>
  <c r="J319" i="15"/>
  <c r="J320" i="15" s="1"/>
  <c r="I319" i="15"/>
  <c r="I320" i="15" s="1"/>
  <c r="H319" i="15"/>
  <c r="H320" i="15" s="1"/>
  <c r="K317" i="15"/>
  <c r="K318" i="15" s="1"/>
  <c r="J317" i="15"/>
  <c r="J318" i="15" s="1"/>
  <c r="I317" i="15"/>
  <c r="I318" i="15" s="1"/>
  <c r="H317" i="15"/>
  <c r="H318" i="15" s="1"/>
  <c r="K315" i="15"/>
  <c r="K316" i="15" s="1"/>
  <c r="J315" i="15"/>
  <c r="J316" i="15" s="1"/>
  <c r="I315" i="15"/>
  <c r="I316" i="15" s="1"/>
  <c r="H315" i="15"/>
  <c r="H316" i="15" s="1"/>
  <c r="K314" i="15"/>
  <c r="J314" i="15"/>
  <c r="I314" i="15"/>
  <c r="H314" i="15"/>
  <c r="J298" i="15"/>
  <c r="K297" i="15"/>
  <c r="K298" i="15" s="1"/>
  <c r="J297" i="15"/>
  <c r="I297" i="15"/>
  <c r="I298" i="15" s="1"/>
  <c r="H297" i="15"/>
  <c r="H298" i="15" s="1"/>
  <c r="G297" i="15"/>
  <c r="G298" i="15" s="1"/>
  <c r="F297" i="15"/>
  <c r="F298" i="15" s="1"/>
  <c r="E297" i="15"/>
  <c r="E298" i="15" s="1"/>
  <c r="D297" i="15"/>
  <c r="I296" i="15"/>
  <c r="K295" i="15"/>
  <c r="K296" i="15" s="1"/>
  <c r="J295" i="15"/>
  <c r="J296" i="15" s="1"/>
  <c r="I295" i="15"/>
  <c r="H295" i="15"/>
  <c r="H296" i="15" s="1"/>
  <c r="G295" i="15"/>
  <c r="G296" i="15" s="1"/>
  <c r="F295" i="15"/>
  <c r="F296" i="15" s="1"/>
  <c r="E295" i="15"/>
  <c r="E296" i="15" s="1"/>
  <c r="D295" i="15"/>
  <c r="H294" i="15"/>
  <c r="K293" i="15"/>
  <c r="K294" i="15" s="1"/>
  <c r="J293" i="15"/>
  <c r="J294" i="15" s="1"/>
  <c r="I293" i="15"/>
  <c r="I294" i="15" s="1"/>
  <c r="H293" i="15"/>
  <c r="G293" i="15"/>
  <c r="G294" i="15" s="1"/>
  <c r="F293" i="15"/>
  <c r="F294" i="15" s="1"/>
  <c r="E293" i="15"/>
  <c r="E294" i="15" s="1"/>
  <c r="D293" i="15"/>
  <c r="G292" i="15"/>
  <c r="K291" i="15"/>
  <c r="K292" i="15" s="1"/>
  <c r="J291" i="15"/>
  <c r="J292" i="15" s="1"/>
  <c r="I291" i="15"/>
  <c r="I292" i="15" s="1"/>
  <c r="H291" i="15"/>
  <c r="H292" i="15" s="1"/>
  <c r="G291" i="15"/>
  <c r="F291" i="15"/>
  <c r="F292" i="15" s="1"/>
  <c r="E291" i="15"/>
  <c r="E292" i="15" s="1"/>
  <c r="D291" i="15"/>
  <c r="K290" i="15"/>
  <c r="J290" i="15"/>
  <c r="I290" i="15"/>
  <c r="H290" i="15"/>
  <c r="J268" i="15"/>
  <c r="K267" i="15"/>
  <c r="K268" i="15" s="1"/>
  <c r="J267" i="15"/>
  <c r="I267" i="15"/>
  <c r="I268" i="15" s="1"/>
  <c r="H267" i="15"/>
  <c r="H268" i="15" s="1"/>
  <c r="J266" i="15"/>
  <c r="H266" i="15"/>
  <c r="K265" i="15"/>
  <c r="K266" i="15" s="1"/>
  <c r="J265" i="15"/>
  <c r="I265" i="15"/>
  <c r="I266" i="15" s="1"/>
  <c r="H265" i="15"/>
  <c r="J264" i="15"/>
  <c r="H264" i="15"/>
  <c r="K263" i="15"/>
  <c r="K264" i="15" s="1"/>
  <c r="J263" i="15"/>
  <c r="I263" i="15"/>
  <c r="I264" i="15" s="1"/>
  <c r="H263" i="15"/>
  <c r="J262" i="15"/>
  <c r="H262" i="15"/>
  <c r="K261" i="15"/>
  <c r="K262" i="15" s="1"/>
  <c r="J261" i="15"/>
  <c r="I261" i="15"/>
  <c r="I262" i="15" s="1"/>
  <c r="H261" i="15"/>
  <c r="K260" i="15"/>
  <c r="J260" i="15"/>
  <c r="I260" i="15"/>
  <c r="H260" i="15"/>
  <c r="G244" i="15"/>
  <c r="F244" i="15"/>
  <c r="K243" i="15"/>
  <c r="K244" i="15" s="1"/>
  <c r="J243" i="15"/>
  <c r="J244" i="15" s="1"/>
  <c r="I243" i="15"/>
  <c r="I244" i="15" s="1"/>
  <c r="H243" i="15"/>
  <c r="H244" i="15" s="1"/>
  <c r="G243" i="15"/>
  <c r="F243" i="15"/>
  <c r="E243" i="15"/>
  <c r="E244" i="15" s="1"/>
  <c r="D243" i="15"/>
  <c r="F242" i="15"/>
  <c r="E242" i="15"/>
  <c r="K241" i="15"/>
  <c r="K242" i="15" s="1"/>
  <c r="J241" i="15"/>
  <c r="J242" i="15" s="1"/>
  <c r="I241" i="15"/>
  <c r="I242" i="15" s="1"/>
  <c r="H241" i="15"/>
  <c r="H242" i="15" s="1"/>
  <c r="G241" i="15"/>
  <c r="G242" i="15" s="1"/>
  <c r="F241" i="15"/>
  <c r="E241" i="15"/>
  <c r="D241" i="15"/>
  <c r="E240" i="15"/>
  <c r="K239" i="15"/>
  <c r="K240" i="15" s="1"/>
  <c r="J239" i="15"/>
  <c r="J240" i="15" s="1"/>
  <c r="I239" i="15"/>
  <c r="I240" i="15" s="1"/>
  <c r="H239" i="15"/>
  <c r="H240" i="15" s="1"/>
  <c r="G239" i="15"/>
  <c r="G240" i="15" s="1"/>
  <c r="F239" i="15"/>
  <c r="F240" i="15" s="1"/>
  <c r="E239" i="15"/>
  <c r="D239" i="15"/>
  <c r="K238" i="15"/>
  <c r="K237" i="15"/>
  <c r="J237" i="15"/>
  <c r="J238" i="15" s="1"/>
  <c r="I237" i="15"/>
  <c r="I238" i="15" s="1"/>
  <c r="H237" i="15"/>
  <c r="H238" i="15" s="1"/>
  <c r="G237" i="15"/>
  <c r="G238" i="15" s="1"/>
  <c r="F237" i="15"/>
  <c r="F238" i="15" s="1"/>
  <c r="E237" i="15"/>
  <c r="E238" i="15" s="1"/>
  <c r="D237" i="15"/>
  <c r="K236" i="15"/>
  <c r="J236" i="15"/>
  <c r="I236" i="15"/>
  <c r="H236" i="15"/>
  <c r="G236" i="15"/>
  <c r="J217" i="15"/>
  <c r="N216" i="15"/>
  <c r="N217" i="15" s="1"/>
  <c r="M216" i="15"/>
  <c r="M217" i="15" s="1"/>
  <c r="L216" i="15"/>
  <c r="L217" i="15" s="1"/>
  <c r="K216" i="15"/>
  <c r="K217" i="15" s="1"/>
  <c r="J216" i="15"/>
  <c r="L215" i="15"/>
  <c r="N214" i="15"/>
  <c r="N215" i="15" s="1"/>
  <c r="M214" i="15"/>
  <c r="M215" i="15" s="1"/>
  <c r="L214" i="15"/>
  <c r="K214" i="15"/>
  <c r="K215" i="15" s="1"/>
  <c r="J214" i="15"/>
  <c r="J215" i="15" s="1"/>
  <c r="N213" i="15"/>
  <c r="N212" i="15"/>
  <c r="M212" i="15"/>
  <c r="M213" i="15" s="1"/>
  <c r="L212" i="15"/>
  <c r="L213" i="15" s="1"/>
  <c r="K212" i="15"/>
  <c r="K213" i="15" s="1"/>
  <c r="J212" i="15"/>
  <c r="J213" i="15" s="1"/>
  <c r="N210" i="15"/>
  <c r="N211" i="15" s="1"/>
  <c r="M210" i="15"/>
  <c r="M211" i="15" s="1"/>
  <c r="L210" i="15"/>
  <c r="L211" i="15" s="1"/>
  <c r="K210" i="15"/>
  <c r="K211" i="15" s="1"/>
  <c r="J210" i="15"/>
  <c r="J211" i="15" s="1"/>
  <c r="L193" i="15"/>
  <c r="O192" i="15"/>
  <c r="O193" i="15" s="1"/>
  <c r="N192" i="15"/>
  <c r="N193" i="15" s="1"/>
  <c r="M192" i="15"/>
  <c r="M193" i="15" s="1"/>
  <c r="L192" i="15"/>
  <c r="K192" i="15"/>
  <c r="K193" i="15" s="1"/>
  <c r="J192" i="15"/>
  <c r="J193" i="15" s="1"/>
  <c r="I192" i="15"/>
  <c r="I193" i="15" s="1"/>
  <c r="H192" i="15"/>
  <c r="H193" i="15" s="1"/>
  <c r="G192" i="15"/>
  <c r="G193" i="15" s="1"/>
  <c r="F192" i="15"/>
  <c r="F193" i="15" s="1"/>
  <c r="E192" i="15"/>
  <c r="E193" i="15" s="1"/>
  <c r="E194" i="15" s="1"/>
  <c r="D192" i="15"/>
  <c r="K191" i="15"/>
  <c r="O190" i="15"/>
  <c r="O191" i="15" s="1"/>
  <c r="N190" i="15"/>
  <c r="N191" i="15" s="1"/>
  <c r="M190" i="15"/>
  <c r="M191" i="15" s="1"/>
  <c r="L190" i="15"/>
  <c r="L191" i="15" s="1"/>
  <c r="K190" i="15"/>
  <c r="J190" i="15"/>
  <c r="J191" i="15" s="1"/>
  <c r="I190" i="15"/>
  <c r="I191" i="15" s="1"/>
  <c r="H190" i="15"/>
  <c r="H191" i="15" s="1"/>
  <c r="G190" i="15"/>
  <c r="G191" i="15" s="1"/>
  <c r="F190" i="15"/>
  <c r="F191" i="15" s="1"/>
  <c r="E190" i="15"/>
  <c r="E191" i="15" s="1"/>
  <c r="D190" i="15"/>
  <c r="J189" i="15"/>
  <c r="O188" i="15"/>
  <c r="O189" i="15" s="1"/>
  <c r="N188" i="15"/>
  <c r="N189" i="15" s="1"/>
  <c r="M188" i="15"/>
  <c r="M189" i="15" s="1"/>
  <c r="L188" i="15"/>
  <c r="L189" i="15" s="1"/>
  <c r="K188" i="15"/>
  <c r="K189" i="15" s="1"/>
  <c r="J188" i="15"/>
  <c r="I188" i="15"/>
  <c r="I189" i="15" s="1"/>
  <c r="H188" i="15"/>
  <c r="H189" i="15" s="1"/>
  <c r="G188" i="15"/>
  <c r="G189" i="15" s="1"/>
  <c r="F188" i="15"/>
  <c r="F189" i="15" s="1"/>
  <c r="E188" i="15"/>
  <c r="E189" i="15" s="1"/>
  <c r="D188" i="15"/>
  <c r="I187" i="15"/>
  <c r="O186" i="15"/>
  <c r="O187" i="15" s="1"/>
  <c r="N186" i="15"/>
  <c r="N187" i="15" s="1"/>
  <c r="M186" i="15"/>
  <c r="M187" i="15" s="1"/>
  <c r="L186" i="15"/>
  <c r="L187" i="15" s="1"/>
  <c r="K186" i="15"/>
  <c r="K187" i="15" s="1"/>
  <c r="J186" i="15"/>
  <c r="J187" i="15" s="1"/>
  <c r="I186" i="15"/>
  <c r="H186" i="15"/>
  <c r="H187" i="15" s="1"/>
  <c r="G186" i="15"/>
  <c r="G187" i="15" s="1"/>
  <c r="F186" i="15"/>
  <c r="F187" i="15" s="1"/>
  <c r="E186" i="15"/>
  <c r="E187" i="15" s="1"/>
  <c r="D186" i="15"/>
  <c r="K168" i="15"/>
  <c r="K169" i="15" s="1"/>
  <c r="I168" i="15"/>
  <c r="I169" i="15" s="1"/>
  <c r="K166" i="15"/>
  <c r="K167" i="15" s="1"/>
  <c r="I166" i="15"/>
  <c r="I167" i="15" s="1"/>
  <c r="K164" i="15"/>
  <c r="K165" i="15" s="1"/>
  <c r="I164" i="15"/>
  <c r="I165" i="15" s="1"/>
  <c r="K162" i="15"/>
  <c r="K163" i="15" s="1"/>
  <c r="I162" i="15"/>
  <c r="I163" i="15" s="1"/>
  <c r="K161" i="15"/>
  <c r="I161" i="15"/>
  <c r="J156" i="15"/>
  <c r="J157" i="15" s="1"/>
  <c r="I156" i="15"/>
  <c r="I157" i="15" s="1"/>
  <c r="H156" i="15"/>
  <c r="H157" i="15" s="1"/>
  <c r="J155" i="15"/>
  <c r="I155" i="15"/>
  <c r="H155" i="15"/>
  <c r="J154" i="15"/>
  <c r="I154" i="15"/>
  <c r="H154" i="15"/>
  <c r="I153" i="15"/>
  <c r="H153" i="15"/>
  <c r="J152" i="15"/>
  <c r="J153" i="15" s="1"/>
  <c r="I152" i="15"/>
  <c r="H152" i="15"/>
  <c r="J150" i="15"/>
  <c r="J151" i="15" s="1"/>
  <c r="I150" i="15"/>
  <c r="I151" i="15" s="1"/>
  <c r="H150" i="15"/>
  <c r="H151" i="15" s="1"/>
  <c r="J149" i="15"/>
  <c r="I149" i="15"/>
  <c r="H149" i="15"/>
  <c r="H133" i="15"/>
  <c r="J132" i="15"/>
  <c r="J133" i="15" s="1"/>
  <c r="I132" i="15"/>
  <c r="I133" i="15" s="1"/>
  <c r="H132" i="15"/>
  <c r="G132" i="15"/>
  <c r="G133" i="15" s="1"/>
  <c r="F132" i="15"/>
  <c r="F133" i="15" s="1"/>
  <c r="E132" i="15"/>
  <c r="E133" i="15" s="1"/>
  <c r="D132" i="15"/>
  <c r="E131" i="15"/>
  <c r="J130" i="15"/>
  <c r="J131" i="15" s="1"/>
  <c r="I130" i="15"/>
  <c r="I131" i="15" s="1"/>
  <c r="H130" i="15"/>
  <c r="H131" i="15" s="1"/>
  <c r="G130" i="15"/>
  <c r="G131" i="15" s="1"/>
  <c r="F130" i="15"/>
  <c r="F131" i="15" s="1"/>
  <c r="E130" i="15"/>
  <c r="D130" i="15"/>
  <c r="J129" i="15"/>
  <c r="J128" i="15"/>
  <c r="I128" i="15"/>
  <c r="I129" i="15" s="1"/>
  <c r="H128" i="15"/>
  <c r="H129" i="15" s="1"/>
  <c r="G128" i="15"/>
  <c r="G129" i="15" s="1"/>
  <c r="F128" i="15"/>
  <c r="F129" i="15" s="1"/>
  <c r="E128" i="15"/>
  <c r="E129" i="15" s="1"/>
  <c r="D128" i="15"/>
  <c r="G127" i="15"/>
  <c r="J126" i="15"/>
  <c r="J127" i="15" s="1"/>
  <c r="I126" i="15"/>
  <c r="I127" i="15" s="1"/>
  <c r="H126" i="15"/>
  <c r="H127" i="15" s="1"/>
  <c r="G126" i="15"/>
  <c r="F126" i="15"/>
  <c r="F127" i="15" s="1"/>
  <c r="E126" i="15"/>
  <c r="E127" i="15" s="1"/>
  <c r="D126" i="15"/>
  <c r="J125" i="15"/>
  <c r="I125" i="15"/>
  <c r="H125" i="15"/>
  <c r="K115" i="15"/>
  <c r="J115" i="15"/>
  <c r="I115" i="15"/>
  <c r="H115" i="15"/>
  <c r="G115" i="15"/>
  <c r="F115" i="15"/>
  <c r="E115" i="15"/>
  <c r="K114" i="15"/>
  <c r="J114" i="15"/>
  <c r="I114" i="15"/>
  <c r="H114" i="15"/>
  <c r="G114" i="15"/>
  <c r="F114" i="15"/>
  <c r="E114" i="15"/>
  <c r="K113" i="15"/>
  <c r="J113" i="15"/>
  <c r="I113" i="15"/>
  <c r="H113" i="15"/>
  <c r="G113" i="15"/>
  <c r="F113" i="15"/>
  <c r="E113" i="15"/>
  <c r="K112" i="15"/>
  <c r="J112" i="15"/>
  <c r="I112" i="15"/>
  <c r="H112" i="15"/>
  <c r="G112" i="15"/>
  <c r="F112" i="15"/>
  <c r="E112" i="15"/>
  <c r="K107" i="15"/>
  <c r="K108" i="15" s="1"/>
  <c r="J107" i="15"/>
  <c r="J108" i="15" s="1"/>
  <c r="I107" i="15"/>
  <c r="I108" i="15" s="1"/>
  <c r="H107" i="15"/>
  <c r="H108" i="15" s="1"/>
  <c r="K105" i="15"/>
  <c r="K106" i="15" s="1"/>
  <c r="J105" i="15"/>
  <c r="J106" i="15" s="1"/>
  <c r="I105" i="15"/>
  <c r="I106" i="15" s="1"/>
  <c r="H105" i="15"/>
  <c r="H106" i="15" s="1"/>
  <c r="K103" i="15"/>
  <c r="K104" i="15" s="1"/>
  <c r="J103" i="15"/>
  <c r="J104" i="15" s="1"/>
  <c r="I103" i="15"/>
  <c r="I104" i="15" s="1"/>
  <c r="H103" i="15"/>
  <c r="H104" i="15" s="1"/>
  <c r="K101" i="15"/>
  <c r="K102" i="15" s="1"/>
  <c r="J101" i="15"/>
  <c r="J102" i="15" s="1"/>
  <c r="I101" i="15"/>
  <c r="I102" i="15" s="1"/>
  <c r="H101" i="15"/>
  <c r="H102" i="15" s="1"/>
  <c r="K100" i="15"/>
  <c r="J100" i="15"/>
  <c r="I100" i="15"/>
  <c r="H100" i="15"/>
  <c r="K91" i="15"/>
  <c r="H91" i="15"/>
  <c r="K90" i="15"/>
  <c r="J90" i="15"/>
  <c r="J91" i="15" s="1"/>
  <c r="I90" i="15"/>
  <c r="I91" i="15" s="1"/>
  <c r="H90" i="15"/>
  <c r="G90" i="15"/>
  <c r="G91" i="15" s="1"/>
  <c r="F90" i="15"/>
  <c r="F91" i="15" s="1"/>
  <c r="E90" i="15"/>
  <c r="E91" i="15" s="1"/>
  <c r="D90" i="15"/>
  <c r="G89" i="15"/>
  <c r="K88" i="15"/>
  <c r="K89" i="15" s="1"/>
  <c r="J88" i="15"/>
  <c r="J89" i="15" s="1"/>
  <c r="I88" i="15"/>
  <c r="I89" i="15" s="1"/>
  <c r="H88" i="15"/>
  <c r="H89" i="15" s="1"/>
  <c r="G88" i="15"/>
  <c r="F88" i="15"/>
  <c r="F89" i="15" s="1"/>
  <c r="E88" i="15"/>
  <c r="E89" i="15" s="1"/>
  <c r="D88" i="15"/>
  <c r="F87" i="15"/>
  <c r="K86" i="15"/>
  <c r="K87" i="15" s="1"/>
  <c r="J86" i="15"/>
  <c r="J87" i="15" s="1"/>
  <c r="I86" i="15"/>
  <c r="I87" i="15" s="1"/>
  <c r="H86" i="15"/>
  <c r="H87" i="15" s="1"/>
  <c r="G86" i="15"/>
  <c r="G87" i="15" s="1"/>
  <c r="F86" i="15"/>
  <c r="E86" i="15"/>
  <c r="E87" i="15" s="1"/>
  <c r="D86" i="15"/>
  <c r="E85" i="15"/>
  <c r="K84" i="15"/>
  <c r="K85" i="15" s="1"/>
  <c r="J84" i="15"/>
  <c r="J85" i="15" s="1"/>
  <c r="I84" i="15"/>
  <c r="I85" i="15" s="1"/>
  <c r="H84" i="15"/>
  <c r="H85" i="15" s="1"/>
  <c r="G84" i="15"/>
  <c r="G85" i="15" s="1"/>
  <c r="F84" i="15"/>
  <c r="F85" i="15" s="1"/>
  <c r="E84" i="15"/>
  <c r="D84" i="15"/>
  <c r="K83" i="15"/>
  <c r="J83" i="15"/>
  <c r="I83" i="15"/>
  <c r="H83" i="15"/>
  <c r="H64" i="15"/>
  <c r="K63" i="15"/>
  <c r="K64" i="15" s="1"/>
  <c r="J63" i="15"/>
  <c r="J64" i="15" s="1"/>
  <c r="I63" i="15"/>
  <c r="I64" i="15" s="1"/>
  <c r="H63" i="15"/>
  <c r="H62" i="15"/>
  <c r="K61" i="15"/>
  <c r="K62" i="15" s="1"/>
  <c r="J61" i="15"/>
  <c r="J62" i="15" s="1"/>
  <c r="I61" i="15"/>
  <c r="I62" i="15" s="1"/>
  <c r="H61" i="15"/>
  <c r="H60" i="15"/>
  <c r="K59" i="15"/>
  <c r="K60" i="15" s="1"/>
  <c r="J59" i="15"/>
  <c r="J60" i="15" s="1"/>
  <c r="I59" i="15"/>
  <c r="I60" i="15" s="1"/>
  <c r="H59" i="15"/>
  <c r="H58" i="15"/>
  <c r="K57" i="15"/>
  <c r="K58" i="15" s="1"/>
  <c r="J57" i="15"/>
  <c r="J58" i="15" s="1"/>
  <c r="I57" i="15"/>
  <c r="I58" i="15" s="1"/>
  <c r="H57" i="15"/>
  <c r="K56" i="15"/>
  <c r="J56" i="15"/>
  <c r="I56" i="15"/>
  <c r="H56" i="15"/>
  <c r="K39" i="15"/>
  <c r="K40" i="15" s="1"/>
  <c r="J39" i="15"/>
  <c r="J40" i="15" s="1"/>
  <c r="I39" i="15"/>
  <c r="I40" i="15" s="1"/>
  <c r="H39" i="15"/>
  <c r="H40" i="15" s="1"/>
  <c r="G39" i="15"/>
  <c r="G40" i="15" s="1"/>
  <c r="F39" i="15"/>
  <c r="F40" i="15" s="1"/>
  <c r="E39" i="15"/>
  <c r="E40" i="15" s="1"/>
  <c r="D39" i="15"/>
  <c r="K38" i="15"/>
  <c r="K37" i="15"/>
  <c r="J37" i="15"/>
  <c r="J38" i="15" s="1"/>
  <c r="I37" i="15"/>
  <c r="I38" i="15" s="1"/>
  <c r="H37" i="15"/>
  <c r="H38" i="15" s="1"/>
  <c r="G37" i="15"/>
  <c r="G38" i="15" s="1"/>
  <c r="F37" i="15"/>
  <c r="F38" i="15" s="1"/>
  <c r="E37" i="15"/>
  <c r="E38" i="15" s="1"/>
  <c r="D37" i="15"/>
  <c r="J36" i="15"/>
  <c r="K35" i="15"/>
  <c r="K36" i="15" s="1"/>
  <c r="J35" i="15"/>
  <c r="I35" i="15"/>
  <c r="I36" i="15" s="1"/>
  <c r="H35" i="15"/>
  <c r="H36" i="15" s="1"/>
  <c r="G35" i="15"/>
  <c r="G36" i="15" s="1"/>
  <c r="F35" i="15"/>
  <c r="F36" i="15" s="1"/>
  <c r="E35" i="15"/>
  <c r="E36" i="15" s="1"/>
  <c r="D35" i="15"/>
  <c r="I34" i="15"/>
  <c r="K33" i="15"/>
  <c r="K34" i="15" s="1"/>
  <c r="J33" i="15"/>
  <c r="J34" i="15" s="1"/>
  <c r="I33" i="15"/>
  <c r="H33" i="15"/>
  <c r="H34" i="15" s="1"/>
  <c r="G33" i="15"/>
  <c r="G34" i="15" s="1"/>
  <c r="F33" i="15"/>
  <c r="F34" i="15" s="1"/>
  <c r="E33" i="15"/>
  <c r="E34" i="15" s="1"/>
  <c r="D33" i="15"/>
  <c r="K32" i="15"/>
  <c r="J32" i="15"/>
  <c r="I32" i="15"/>
  <c r="H32" i="15"/>
  <c r="P21" i="14"/>
  <c r="P4" i="14"/>
  <c r="Q4" i="14" s="1"/>
  <c r="O15" i="14"/>
  <c r="M16" i="14"/>
  <c r="K15" i="14"/>
  <c r="J17" i="14"/>
  <c r="H20" i="14"/>
  <c r="O16" i="14"/>
  <c r="M15" i="14"/>
  <c r="K14" i="14"/>
  <c r="J16" i="14"/>
  <c r="H19" i="14"/>
  <c r="O18" i="14"/>
  <c r="M18" i="14"/>
  <c r="O14" i="14"/>
  <c r="M14" i="14"/>
  <c r="K13" i="14"/>
  <c r="J15" i="14"/>
  <c r="H18" i="14"/>
  <c r="K17" i="14"/>
  <c r="M17" i="14"/>
  <c r="O13" i="14"/>
  <c r="M13" i="14"/>
  <c r="J14" i="14"/>
  <c r="H17" i="14"/>
  <c r="J19" i="14"/>
  <c r="J18" i="14"/>
  <c r="O20" i="14"/>
  <c r="M20" i="14"/>
  <c r="K19" i="14"/>
  <c r="J13" i="14"/>
  <c r="H16" i="14"/>
  <c r="O17" i="14"/>
  <c r="K16" i="14"/>
  <c r="O19" i="14"/>
  <c r="M19" i="14"/>
  <c r="K18" i="14"/>
  <c r="J20" i="14"/>
  <c r="H15" i="14"/>
  <c r="H14" i="14"/>
  <c r="N11" i="14"/>
  <c r="N13" i="14"/>
  <c r="N8" i="14"/>
  <c r="N16" i="14"/>
  <c r="N15" i="14"/>
  <c r="N20" i="14"/>
  <c r="N19" i="14"/>
  <c r="N17" i="14"/>
  <c r="N14" i="14"/>
  <c r="N18" i="14"/>
  <c r="L5" i="14"/>
  <c r="L9" i="14"/>
  <c r="L3" i="14"/>
  <c r="L8" i="14"/>
  <c r="L6" i="14"/>
  <c r="L7" i="14"/>
  <c r="L10" i="14"/>
  <c r="I18" i="14"/>
  <c r="I15" i="14"/>
  <c r="I16" i="14"/>
  <c r="I19" i="14"/>
  <c r="I17" i="14"/>
  <c r="P14" i="14" l="1"/>
  <c r="P15" i="14"/>
  <c r="P16" i="14"/>
  <c r="P13" i="14"/>
  <c r="P17" i="14"/>
  <c r="P18" i="14"/>
  <c r="Q18" i="14" s="1"/>
  <c r="P11" i="14"/>
  <c r="P19" i="14"/>
  <c r="P9" i="14"/>
  <c r="P20" i="14"/>
  <c r="D5" i="14"/>
  <c r="D6" i="14"/>
  <c r="D7" i="14"/>
  <c r="D8" i="14"/>
  <c r="D9" i="14"/>
  <c r="D10" i="14"/>
  <c r="D11" i="14"/>
  <c r="D12" i="14"/>
  <c r="D14" i="14"/>
  <c r="D15" i="14"/>
  <c r="D16" i="14"/>
  <c r="D17" i="14"/>
  <c r="D18" i="14"/>
  <c r="D19" i="14"/>
  <c r="D20" i="14"/>
  <c r="D21" i="14"/>
  <c r="Q21" i="14" s="1"/>
  <c r="D22" i="14"/>
  <c r="J22" i="13"/>
  <c r="J23" i="13"/>
  <c r="J24" i="13"/>
  <c r="J26" i="13"/>
  <c r="J27" i="13"/>
  <c r="J28" i="13"/>
  <c r="J29" i="13"/>
  <c r="J30" i="13"/>
  <c r="J31" i="13"/>
  <c r="J32" i="13"/>
  <c r="J33" i="13"/>
  <c r="J5" i="13"/>
  <c r="J6" i="13"/>
  <c r="J7" i="13"/>
  <c r="J9" i="13"/>
  <c r="J10" i="13"/>
  <c r="J11" i="13"/>
  <c r="J12" i="13"/>
  <c r="J13" i="13"/>
  <c r="J14" i="13"/>
  <c r="J15" i="13"/>
  <c r="J16" i="13"/>
  <c r="U29" i="13"/>
  <c r="Q21" i="13"/>
  <c r="Q30" i="13"/>
  <c r="P28" i="13"/>
  <c r="P23" i="13"/>
  <c r="N27" i="13"/>
  <c r="P26" i="13"/>
  <c r="S27" i="13"/>
  <c r="Q22" i="13"/>
  <c r="Q29" i="13"/>
  <c r="U23" i="13"/>
  <c r="P27" i="13"/>
  <c r="N28" i="13"/>
  <c r="Q26" i="13"/>
  <c r="Q28" i="13"/>
  <c r="U30" i="13"/>
  <c r="U24" i="13"/>
  <c r="P30" i="13"/>
  <c r="S31" i="13"/>
  <c r="U21" i="13"/>
  <c r="N21" i="13"/>
  <c r="N26" i="13"/>
  <c r="N29" i="13"/>
  <c r="U22" i="13"/>
  <c r="U28" i="13"/>
  <c r="P29" i="13"/>
  <c r="P24" i="13"/>
  <c r="Q27" i="13"/>
  <c r="P31" i="13"/>
  <c r="U27" i="13"/>
  <c r="S26" i="13"/>
  <c r="U26" i="13"/>
  <c r="Q15" i="13"/>
  <c r="N23" i="13"/>
  <c r="N22" i="13"/>
  <c r="S30" i="13"/>
  <c r="N31" i="13"/>
  <c r="S29" i="13"/>
  <c r="N30" i="13"/>
  <c r="U31" i="13"/>
  <c r="S21" i="13"/>
  <c r="S22" i="13"/>
  <c r="N24" i="13"/>
  <c r="S28" i="13"/>
  <c r="N6" i="14"/>
  <c r="T31" i="13"/>
  <c r="T29" i="13"/>
  <c r="T15" i="13"/>
  <c r="T27" i="13"/>
  <c r="T12" i="13"/>
  <c r="T28" i="13"/>
  <c r="T4" i="13"/>
  <c r="T13" i="13"/>
  <c r="T5" i="13"/>
  <c r="T14" i="13"/>
  <c r="T26" i="13"/>
  <c r="N5" i="14"/>
  <c r="T32" i="13"/>
  <c r="N10" i="14"/>
  <c r="T11" i="13"/>
  <c r="T30" i="13"/>
  <c r="T22" i="13"/>
  <c r="T9" i="13"/>
  <c r="N7" i="14"/>
  <c r="T21" i="13"/>
  <c r="N3" i="14"/>
  <c r="T10" i="13"/>
  <c r="R10" i="13"/>
  <c r="R14" i="13"/>
  <c r="R7" i="13"/>
  <c r="R6" i="13"/>
  <c r="R13" i="13"/>
  <c r="R11" i="13"/>
  <c r="R16" i="13"/>
  <c r="R9" i="13"/>
  <c r="R15" i="13"/>
  <c r="R12" i="13"/>
  <c r="I8" i="14"/>
  <c r="I3" i="14"/>
  <c r="O10" i="13"/>
  <c r="O27" i="13"/>
  <c r="O9" i="13"/>
  <c r="I10" i="14"/>
  <c r="O29" i="13"/>
  <c r="I5" i="14"/>
  <c r="I6" i="14"/>
  <c r="O6" i="13"/>
  <c r="O12" i="13"/>
  <c r="O11" i="13"/>
  <c r="O26" i="13"/>
  <c r="I7" i="14"/>
  <c r="O28" i="13"/>
  <c r="O13" i="13"/>
  <c r="G7" i="14"/>
  <c r="M13" i="13"/>
  <c r="M5" i="13"/>
  <c r="G6" i="14"/>
  <c r="G8" i="14"/>
  <c r="M10" i="13"/>
  <c r="G3" i="14"/>
  <c r="G5" i="14"/>
  <c r="M4" i="13"/>
  <c r="M11" i="13"/>
  <c r="G10" i="14"/>
  <c r="M12" i="13"/>
  <c r="X43" i="18" l="1"/>
  <c r="X42" i="18"/>
  <c r="X45" i="18"/>
  <c r="X41" i="18"/>
  <c r="X44" i="18"/>
  <c r="X14" i="19"/>
  <c r="X15" i="19"/>
  <c r="X11" i="19"/>
  <c r="X12" i="19"/>
  <c r="X13" i="19"/>
  <c r="X19" i="19"/>
  <c r="X20" i="19"/>
  <c r="X17" i="19"/>
  <c r="X16" i="19"/>
  <c r="X18" i="19"/>
  <c r="X57" i="19"/>
  <c r="X56" i="19"/>
  <c r="X60" i="19"/>
  <c r="X59" i="19"/>
  <c r="X58" i="19"/>
  <c r="X50" i="18"/>
  <c r="X49" i="18"/>
  <c r="X46" i="18"/>
  <c r="X47" i="18"/>
  <c r="X48" i="18"/>
  <c r="X69" i="19"/>
  <c r="X68" i="19"/>
  <c r="X67" i="19"/>
  <c r="X70" i="19"/>
  <c r="X66" i="19"/>
  <c r="X39" i="19"/>
  <c r="X40" i="19"/>
  <c r="X38" i="19"/>
  <c r="X36" i="19"/>
  <c r="X37" i="19"/>
  <c r="X65" i="18"/>
  <c r="X62" i="18"/>
  <c r="X64" i="18"/>
  <c r="X63" i="18"/>
  <c r="X61" i="18"/>
  <c r="X19" i="18"/>
  <c r="X16" i="18"/>
  <c r="X18" i="18"/>
  <c r="X17" i="18"/>
  <c r="X20" i="18"/>
  <c r="X59" i="18"/>
  <c r="X60" i="18"/>
  <c r="X58" i="18"/>
  <c r="X57" i="18"/>
  <c r="X56" i="18"/>
  <c r="X14" i="18"/>
  <c r="X11" i="18"/>
  <c r="X13" i="18"/>
  <c r="X15" i="18"/>
  <c r="X12" i="18"/>
  <c r="X48" i="19"/>
  <c r="X47" i="19"/>
  <c r="X46" i="19"/>
  <c r="X50" i="19"/>
  <c r="X49" i="19"/>
  <c r="X55" i="18"/>
  <c r="X51" i="18"/>
  <c r="X54" i="18"/>
  <c r="X53" i="18"/>
  <c r="X52" i="18"/>
  <c r="X44" i="19"/>
  <c r="X43" i="19"/>
  <c r="X41" i="19"/>
  <c r="X42" i="19"/>
  <c r="X45" i="19"/>
  <c r="X68" i="18"/>
  <c r="X66" i="18"/>
  <c r="X67" i="18"/>
  <c r="X70" i="18"/>
  <c r="X69" i="18"/>
  <c r="X52" i="19"/>
  <c r="X53" i="19"/>
  <c r="X55" i="19"/>
  <c r="X51" i="19"/>
  <c r="X54" i="19"/>
  <c r="X65" i="19"/>
  <c r="X61" i="19"/>
  <c r="X64" i="19"/>
  <c r="X62" i="19"/>
  <c r="X63" i="19"/>
  <c r="V53" i="18"/>
  <c r="V52" i="18"/>
  <c r="V55" i="18"/>
  <c r="V51" i="18"/>
  <c r="V54" i="18"/>
  <c r="V69" i="18"/>
  <c r="V68" i="18"/>
  <c r="V66" i="18"/>
  <c r="V67" i="18"/>
  <c r="V70" i="18"/>
  <c r="V37" i="18"/>
  <c r="V40" i="18"/>
  <c r="V36" i="18"/>
  <c r="V38" i="18"/>
  <c r="V39" i="18"/>
  <c r="V73" i="18"/>
  <c r="V74" i="18"/>
  <c r="V72" i="18"/>
  <c r="V75" i="18"/>
  <c r="V71" i="18"/>
  <c r="V49" i="18"/>
  <c r="V50" i="18"/>
  <c r="V48" i="18"/>
  <c r="V46" i="18"/>
  <c r="V47" i="18"/>
  <c r="V57" i="18"/>
  <c r="V60" i="18"/>
  <c r="V56" i="18"/>
  <c r="V58" i="18"/>
  <c r="V59" i="18"/>
  <c r="V24" i="18"/>
  <c r="V23" i="18"/>
  <c r="V21" i="18"/>
  <c r="V22" i="18"/>
  <c r="V25" i="18"/>
  <c r="V28" i="18"/>
  <c r="V29" i="18"/>
  <c r="V27" i="18"/>
  <c r="V30" i="18"/>
  <c r="V26" i="18"/>
  <c r="V65" i="18"/>
  <c r="V61" i="18"/>
  <c r="V64" i="18"/>
  <c r="V63" i="18"/>
  <c r="V62" i="18"/>
  <c r="V45" i="18"/>
  <c r="V41" i="18"/>
  <c r="V44" i="18"/>
  <c r="V43" i="18"/>
  <c r="V42" i="18"/>
  <c r="S57" i="18"/>
  <c r="S60" i="18"/>
  <c r="S56" i="18"/>
  <c r="S59" i="18"/>
  <c r="S58" i="18"/>
  <c r="S48" i="19"/>
  <c r="S49" i="19"/>
  <c r="S47" i="19"/>
  <c r="S50" i="19"/>
  <c r="S46" i="19"/>
  <c r="S36" i="19"/>
  <c r="S37" i="19"/>
  <c r="S40" i="19"/>
  <c r="S39" i="19"/>
  <c r="S38" i="19"/>
  <c r="S49" i="18"/>
  <c r="S48" i="18"/>
  <c r="S47" i="18"/>
  <c r="S50" i="18"/>
  <c r="S46" i="18"/>
  <c r="S53" i="18"/>
  <c r="S52" i="18"/>
  <c r="S54" i="18"/>
  <c r="S55" i="18"/>
  <c r="S51" i="18"/>
  <c r="S52" i="19"/>
  <c r="S51" i="19"/>
  <c r="S55" i="19"/>
  <c r="S54" i="19"/>
  <c r="S53" i="19"/>
  <c r="S44" i="19"/>
  <c r="S41" i="19"/>
  <c r="S43" i="19"/>
  <c r="S45" i="19"/>
  <c r="S42" i="19"/>
  <c r="X36" i="18"/>
  <c r="X39" i="18"/>
  <c r="X38" i="18"/>
  <c r="X37" i="18"/>
  <c r="X40" i="18"/>
  <c r="S27" i="18"/>
  <c r="S28" i="18"/>
  <c r="S29" i="18"/>
  <c r="S30" i="18"/>
  <c r="S26" i="18"/>
  <c r="Q61" i="18"/>
  <c r="Q62" i="18"/>
  <c r="Q64" i="18"/>
  <c r="Q63" i="18"/>
  <c r="Q65" i="18"/>
  <c r="Q53" i="18"/>
  <c r="Q52" i="18"/>
  <c r="Q51" i="18"/>
  <c r="Q54" i="18"/>
  <c r="Q55" i="18"/>
  <c r="Q16" i="18"/>
  <c r="Q17" i="18"/>
  <c r="Q18" i="18"/>
  <c r="Q20" i="18"/>
  <c r="Q19" i="18"/>
  <c r="Q47" i="18"/>
  <c r="Q50" i="18"/>
  <c r="Q48" i="18"/>
  <c r="Q49" i="18"/>
  <c r="Q46" i="18"/>
  <c r="V11" i="13"/>
  <c r="W11" i="13" s="1"/>
  <c r="S39" i="18"/>
  <c r="S36" i="18"/>
  <c r="S38" i="18"/>
  <c r="S40" i="18"/>
  <c r="S37" i="18"/>
  <c r="S43" i="18"/>
  <c r="S45" i="18"/>
  <c r="S44" i="18"/>
  <c r="S41" i="18"/>
  <c r="S42" i="18"/>
  <c r="S25" i="18"/>
  <c r="S21" i="18"/>
  <c r="S24" i="18"/>
  <c r="S22" i="18"/>
  <c r="S23" i="18"/>
  <c r="Q36" i="18"/>
  <c r="Q37" i="18"/>
  <c r="Q40" i="18"/>
  <c r="Q39" i="18"/>
  <c r="Q38" i="18"/>
  <c r="Q45" i="18"/>
  <c r="Q44" i="18"/>
  <c r="Q43" i="18"/>
  <c r="Q42" i="18"/>
  <c r="Q41" i="18"/>
  <c r="Q13" i="18"/>
  <c r="Q14" i="18"/>
  <c r="Q15" i="18"/>
  <c r="Q11" i="18"/>
  <c r="Q12" i="18"/>
  <c r="Q60" i="18"/>
  <c r="Q59" i="18"/>
  <c r="Q58" i="18"/>
  <c r="Q57" i="18"/>
  <c r="Q56" i="18"/>
  <c r="P5" i="14"/>
  <c r="Q5" i="14" s="1"/>
  <c r="P6" i="14"/>
  <c r="Q6" i="14" s="1"/>
  <c r="P7" i="14"/>
  <c r="Q7" i="14" s="1"/>
  <c r="P8" i="14"/>
  <c r="Q8" i="14" s="1"/>
  <c r="P10" i="14"/>
  <c r="Q10" i="14" s="1"/>
  <c r="P3" i="14"/>
  <c r="Q3" i="14" s="1"/>
  <c r="Q19" i="14"/>
  <c r="Q11" i="14"/>
  <c r="Q17" i="14"/>
  <c r="Q13" i="14"/>
  <c r="Q16" i="14"/>
  <c r="Q20" i="14"/>
  <c r="Q15" i="14"/>
  <c r="Q9" i="14"/>
  <c r="Q14" i="14"/>
  <c r="V16" i="13"/>
  <c r="W16" i="13" s="1"/>
  <c r="V30" i="13"/>
  <c r="W30" i="13" s="1"/>
  <c r="V4" i="13"/>
  <c r="W4" i="13" s="1"/>
  <c r="V14" i="13"/>
  <c r="W14" i="13" s="1"/>
  <c r="V23" i="13"/>
  <c r="W23" i="13" s="1"/>
  <c r="V6" i="13"/>
  <c r="W6" i="13" s="1"/>
  <c r="V5" i="13"/>
  <c r="W5" i="13" s="1"/>
  <c r="V26" i="13"/>
  <c r="W26" i="13" s="1"/>
  <c r="V15" i="13"/>
  <c r="W15" i="13" s="1"/>
  <c r="V31" i="13"/>
  <c r="W31" i="13" s="1"/>
  <c r="V9" i="13"/>
  <c r="W9" i="13" s="1"/>
  <c r="V7" i="13"/>
  <c r="W7" i="13" s="1"/>
  <c r="V12" i="13"/>
  <c r="W12" i="13" s="1"/>
  <c r="V21" i="13"/>
  <c r="W21" i="13" s="1"/>
  <c r="V32" i="13"/>
  <c r="W32" i="13" s="1"/>
  <c r="V27" i="13"/>
  <c r="W27" i="13" s="1"/>
  <c r="V13" i="13"/>
  <c r="W13" i="13" s="1"/>
  <c r="V22" i="13"/>
  <c r="W22" i="13" s="1"/>
  <c r="V10" i="13"/>
  <c r="W10" i="13" s="1"/>
  <c r="V28" i="13"/>
  <c r="W28" i="13" s="1"/>
  <c r="V24" i="13"/>
  <c r="W24" i="13" s="1"/>
  <c r="V29" i="13"/>
  <c r="W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K54" authorId="0" shapeId="0" xr:uid="{2C570E27-152B-4FF0-9EE7-42C6AAB8A2F7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N20" authorId="0" shapeId="0" xr:uid="{A7F9674D-BDD1-4CB0-8481-AA6DBB50B4C0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D34" authorId="0" shapeId="0" xr:uid="{8D41977E-21E1-45B5-9D08-5F95F47C05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6" authorId="0" shapeId="0" xr:uid="{281E665D-5171-4B46-843E-FFE4C5DC9AD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" authorId="0" shapeId="0" xr:uid="{231231A3-03D2-495A-8107-A3766F6E6BF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5" authorId="0" shapeId="0" xr:uid="{55CD3D96-D0D1-4F02-98A4-474DC754D1C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7" authorId="0" shapeId="0" xr:uid="{53F41E3A-743E-4DA7-B8D7-A6338952327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91" authorId="0" shapeId="0" xr:uid="{E5CB3595-3791-452A-B5D9-74D4883E4F2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7" authorId="0" shapeId="0" xr:uid="{1BF45C68-C76D-460E-A27B-F7AB8133E7C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9" authorId="0" shapeId="0" xr:uid="{C3818672-E135-4F63-813C-A975E3B7EDB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33" authorId="0" shapeId="0" xr:uid="{88DC483C-0071-4011-950C-3D6A93D7EE7A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7" authorId="0" shapeId="0" xr:uid="{21991B95-4A25-4D67-8765-B1227271BE0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9" authorId="0" shapeId="0" xr:uid="{0B2E75BE-6B75-456B-918C-3AEF3D74AA7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3" authorId="0" shapeId="0" xr:uid="{7EDA2B5C-D159-42DD-863B-833500C2811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4" authorId="0" shapeId="0" xr:uid="{FB2AB554-6F71-4E6A-90C9-2D46CA82014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G236" authorId="1" shapeId="0" xr:uid="{009F174C-91B3-4F17-B341-B6459874D12E}">
      <text>
        <r>
          <rPr>
            <sz val="9"/>
            <color rgb="FF000000"/>
            <rFont val="Tahoma"/>
            <family val="2"/>
          </rPr>
          <t xml:space="preserve">-40% </t>
        </r>
        <r>
          <rPr>
            <sz val="9"/>
            <color rgb="FF000000"/>
            <rFont val="Tahoma"/>
            <family val="2"/>
          </rPr>
          <t>ตั้งแต่เดือนที่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D238" authorId="0" shapeId="0" xr:uid="{DEE81D3A-4C85-490A-B29A-2EC2E09929F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0" authorId="0" shapeId="0" xr:uid="{7EC72B21-A1A1-4E91-9C8E-7F052AEDF7E6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4" authorId="0" shapeId="0" xr:uid="{C25C61D5-DA1D-42E7-8753-0CD6D0014B0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2" authorId="0" shapeId="0" xr:uid="{5E0E62FE-00CF-405D-98C0-56525C21450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4" authorId="0" shapeId="0" xr:uid="{D5DCBBD1-F969-4D05-A928-B8AE4600FAE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8" authorId="0" shapeId="0" xr:uid="{B31AD97E-48E5-4AE3-9B4B-FA6588A01DD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2" authorId="0" shapeId="0" xr:uid="{876AB719-13CB-44AF-80EC-0EC152E9A093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2" authorId="0" shapeId="0" xr:uid="{57D96936-CBBC-449C-9BAB-374DCC53487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4" authorId="0" shapeId="0" xr:uid="{1AB219DD-69D8-4E80-BBE1-B97F28F3E35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4" authorId="0" shapeId="0" xr:uid="{9863BB28-78C0-4A7F-B9B2-CC4A619C02D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6" authorId="0" shapeId="0" xr:uid="{098D606F-72FF-4A17-88C9-964C69325C4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8" authorId="0" shapeId="0" xr:uid="{8129D126-A5CF-4FC3-A658-7373FF1F807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8" authorId="0" shapeId="0" xr:uid="{451066D9-C309-46E9-BC64-D3FBA574440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6" authorId="0" shapeId="0" xr:uid="{83672FA1-5F31-438E-95F7-12F2EA225DE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8" authorId="0" shapeId="0" xr:uid="{440A9F0E-1D9A-4570-A12F-A0D629A8936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12" authorId="0" shapeId="0" xr:uid="{540C4F31-3164-450F-A75F-59A58C313B7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0" authorId="0" shapeId="0" xr:uid="{A5460879-A835-4649-8A3E-71B6A53F275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0" authorId="0" shapeId="0" xr:uid="{C9B7F128-676C-4039-86B6-CA98C893909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2" authorId="0" shapeId="0" xr:uid="{F24E89F2-A52D-4767-9458-5FFB78290F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2" authorId="0" shapeId="0" xr:uid="{EA7B0234-F63F-44D2-964F-EE082502554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6" authorId="0" shapeId="0" xr:uid="{FFDDEF36-CE70-46D1-8258-5A6592D1D65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6" authorId="0" shapeId="0" xr:uid="{9E309917-06CF-4A94-A0DD-85D46A24DCB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0" authorId="0" shapeId="0" xr:uid="{6EAE4E86-2A37-4652-8888-925C4DE77AB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2" authorId="0" shapeId="0" xr:uid="{480FF800-2872-4C47-A9DB-199D8B953B1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6" authorId="0" shapeId="0" xr:uid="{F1A43709-8B55-4B79-B16B-439B02A3F03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</commentList>
</comments>
</file>

<file path=xl/sharedStrings.xml><?xml version="1.0" encoding="utf-8"?>
<sst xmlns="http://schemas.openxmlformats.org/spreadsheetml/2006/main" count="7795" uniqueCount="484">
  <si>
    <t>SKT pricelist MAY 2025</t>
  </si>
  <si>
    <t>Row Labels</t>
  </si>
  <si>
    <t>Average of StandardRate</t>
  </si>
  <si>
    <t>Average of MonthlyRatePerSF</t>
  </si>
  <si>
    <t>Average of MonthlyTotal</t>
  </si>
  <si>
    <t>Locker non air M lower</t>
  </si>
  <si>
    <t>Locker non air M upper</t>
  </si>
  <si>
    <t>POS</t>
  </si>
  <si>
    <t>Walk in non air  L</t>
  </si>
  <si>
    <t>Walk in non air  M</t>
  </si>
  <si>
    <t>Walk in non air  S</t>
  </si>
  <si>
    <t>Walk in non air  XL</t>
  </si>
  <si>
    <t>Walk in non air  XS</t>
  </si>
  <si>
    <t>Walk in non air  XXL</t>
  </si>
  <si>
    <t>Walk in non air  XXS</t>
  </si>
  <si>
    <t>Grand Total</t>
  </si>
  <si>
    <t>SAM pricelist MAY 2025</t>
  </si>
  <si>
    <t>Locker air cond L lower</t>
  </si>
  <si>
    <t>Locker air cond L upper</t>
  </si>
  <si>
    <t>Locker air cond M lower</t>
  </si>
  <si>
    <t>Locker air cond M upper</t>
  </si>
  <si>
    <t>Mini air cond  S</t>
  </si>
  <si>
    <t>Mini air cond  XS</t>
  </si>
  <si>
    <t>Mini air cond  XXS</t>
  </si>
  <si>
    <t>Sublet floor</t>
  </si>
  <si>
    <t>Walk in air cond  L</t>
  </si>
  <si>
    <t>Walk in air cond  M</t>
  </si>
  <si>
    <t>Walk in air cond  S</t>
  </si>
  <si>
    <t>Walk in air cond  XL</t>
  </si>
  <si>
    <t>Walk in air cond  XS</t>
  </si>
  <si>
    <t>Walk in air cond  XXL</t>
  </si>
  <si>
    <t>Walk in air cond  XXS</t>
  </si>
  <si>
    <t>RAM priclist MAY 2025</t>
  </si>
  <si>
    <t>Locker non air L lower</t>
  </si>
  <si>
    <t>Locker non air L upper</t>
  </si>
  <si>
    <t>PoS</t>
  </si>
  <si>
    <t>RM9 pricelist MAY 2025</t>
  </si>
  <si>
    <t>LPR pricelist MAY 2025</t>
  </si>
  <si>
    <t>Garage non air  L</t>
  </si>
  <si>
    <t>Showroom air cond  XL</t>
  </si>
  <si>
    <t>PTG pricelist MAY 2025</t>
  </si>
  <si>
    <t>Garage non air  XL</t>
  </si>
  <si>
    <t>Locker non air S lower</t>
  </si>
  <si>
    <t>Locker non air S upper</t>
  </si>
  <si>
    <t>PTY pricelist MAY 2025</t>
  </si>
  <si>
    <t>BGS pricelist MAY 2025</t>
  </si>
  <si>
    <t>Garage non air  XXL</t>
  </si>
  <si>
    <t>RCD pricelist MAY 2025</t>
  </si>
  <si>
    <t>POS2</t>
  </si>
  <si>
    <t>POS3</t>
  </si>
  <si>
    <t>walk in</t>
  </si>
  <si>
    <t>SKT</t>
  </si>
  <si>
    <t>XS</t>
  </si>
  <si>
    <t>S</t>
  </si>
  <si>
    <t>M</t>
  </si>
  <si>
    <t>L</t>
  </si>
  <si>
    <t>XL</t>
  </si>
  <si>
    <t>XXL</t>
  </si>
  <si>
    <t>Type</t>
  </si>
  <si>
    <t>Size (sq.m.)</t>
  </si>
  <si>
    <t>Luggage (Upper)</t>
  </si>
  <si>
    <t>Luggage (Lower)</t>
  </si>
  <si>
    <t>Locker (Upper)</t>
  </si>
  <si>
    <t>Locker (Lower)</t>
  </si>
  <si>
    <t xml:space="preserve">S </t>
  </si>
  <si>
    <t>Premium</t>
  </si>
  <si>
    <t>Garage</t>
  </si>
  <si>
    <t>Storage rooms without A/C</t>
  </si>
  <si>
    <t>Sathorn One</t>
  </si>
  <si>
    <t>PLC-Nana</t>
  </si>
  <si>
    <t>Sukhumvit 24</t>
  </si>
  <si>
    <t>Thong Lor</t>
  </si>
  <si>
    <t>On Nut</t>
  </si>
  <si>
    <t>Sukhumvit 71</t>
  </si>
  <si>
    <t>Udomsuk</t>
  </si>
  <si>
    <t>Price</t>
  </si>
  <si>
    <t>Storage rooms with A/C</t>
  </si>
  <si>
    <t>Wine Storage</t>
  </si>
  <si>
    <t>A</t>
  </si>
  <si>
    <t>B</t>
  </si>
  <si>
    <t>SAM</t>
  </si>
  <si>
    <t>RAM</t>
  </si>
  <si>
    <t>RM9</t>
  </si>
  <si>
    <t>LPR</t>
  </si>
  <si>
    <t>PTG</t>
  </si>
  <si>
    <t>BGS</t>
  </si>
  <si>
    <t>PTY</t>
  </si>
  <si>
    <t>RCD</t>
  </si>
  <si>
    <t>0.6 – 1.0 sqm</t>
  </si>
  <si>
    <t>1.5 - 2.4 sq m</t>
  </si>
  <si>
    <t>3.0 - 4.9 sq m</t>
  </si>
  <si>
    <t>5.0 - 10 sqm</t>
  </si>
  <si>
    <t>11 - 19 sqm</t>
  </si>
  <si>
    <t>20 - 29 sqm</t>
  </si>
  <si>
    <t xml:space="preserve"> 37 - 50 sqm</t>
  </si>
  <si>
    <t>S (3)</t>
  </si>
  <si>
    <t>XS (2.25)</t>
  </si>
  <si>
    <t>M (4.5)</t>
  </si>
  <si>
    <t>L (6)</t>
  </si>
  <si>
    <t>XL (9)</t>
  </si>
  <si>
    <t>XXL (12.5)</t>
  </si>
  <si>
    <t>Premium (19.8)</t>
  </si>
  <si>
    <t>Garage (25)</t>
  </si>
  <si>
    <t>Locker Upper (1.3)</t>
  </si>
  <si>
    <t>Locker Lower (1.3)</t>
  </si>
  <si>
    <t>Luggage Upper (0.72)</t>
  </si>
  <si>
    <t>Luggage Lower (0.72)</t>
  </si>
  <si>
    <t>A (1.5 cbm / 0.7 sqm)</t>
  </si>
  <si>
    <t>B (3.0 cbm / 1.5 sqm)</t>
  </si>
  <si>
    <t>2.3 cbm / 0.8 sqm</t>
  </si>
  <si>
    <t>1.3 cbm / 0.6 sqm</t>
  </si>
  <si>
    <t>1.7 cbm / 0.8 sqm</t>
  </si>
  <si>
    <t>B/sqm</t>
  </si>
  <si>
    <t>Oversized</t>
  </si>
  <si>
    <t>-</t>
  </si>
  <si>
    <t>Air-Conditioned</t>
  </si>
  <si>
    <t>Humidity Control</t>
  </si>
  <si>
    <t>Monthly Subscription Program (Effective 21st Apr 2025)</t>
  </si>
  <si>
    <t>XXS</t>
  </si>
  <si>
    <t>1 - 1.4 sqm</t>
  </si>
  <si>
    <t>Locker</t>
  </si>
  <si>
    <t>Storage Price</t>
  </si>
  <si>
    <t>Section</t>
  </si>
  <si>
    <t>Content</t>
  </si>
  <si>
    <t>Description</t>
  </si>
  <si>
    <t xml:space="preserve">Link Google Drive
รูป </t>
  </si>
  <si>
    <t>Eng</t>
  </si>
  <si>
    <t>ไทย</t>
  </si>
  <si>
    <t>Banner (รูป)</t>
  </si>
  <si>
    <t>ค่าบริการห้องเก็บของ</t>
  </si>
  <si>
    <r>
      <rPr>
        <b/>
        <sz val="10"/>
        <color theme="1"/>
        <rFont val="Mitr"/>
        <charset val="222"/>
      </rPr>
      <t xml:space="preserve">Choose </t>
    </r>
    <r>
      <rPr>
        <b/>
        <sz val="10"/>
        <color rgb="FFFF0000"/>
        <rFont val="Mitr"/>
        <charset val="222"/>
      </rPr>
      <t>a Branch</t>
    </r>
  </si>
  <si>
    <r>
      <rPr>
        <sz val="10"/>
        <color theme="1"/>
        <rFont val="Mitr"/>
        <charset val="222"/>
      </rPr>
      <t xml:space="preserve">Choose </t>
    </r>
    <r>
      <rPr>
        <sz val="10"/>
        <color rgb="FFFF0000"/>
        <rFont val="Mitr"/>
        <charset val="222"/>
      </rPr>
      <t>a Branch</t>
    </r>
  </si>
  <si>
    <t>เลือกสาขา</t>
  </si>
  <si>
    <t>SRIKREETHA</t>
  </si>
  <si>
    <t>ศรีกรีฑา</t>
  </si>
  <si>
    <t>SIAM</t>
  </si>
  <si>
    <t>สยาม</t>
  </si>
  <si>
    <t>THIAM RUAM MIT</t>
  </si>
  <si>
    <t>เทียมร่วมมิตร</t>
  </si>
  <si>
    <t>RAMINTRA</t>
  </si>
  <si>
    <t>รามอินทรา</t>
  </si>
  <si>
    <t>RAMA 9</t>
  </si>
  <si>
    <t>พระราม 9</t>
  </si>
  <si>
    <t>LADPRAO</t>
  </si>
  <si>
    <t>ลาดพร้าว</t>
  </si>
  <si>
    <t>PATONG</t>
  </si>
  <si>
    <t>ป่าตอง ภูเก็ต</t>
  </si>
  <si>
    <t>PATTAYA</t>
  </si>
  <si>
    <t>พัทยา</t>
  </si>
  <si>
    <t>BANGSUE</t>
  </si>
  <si>
    <t>บางซื่อ</t>
  </si>
  <si>
    <t>RATCHADAPISEK</t>
  </si>
  <si>
    <t>รัชดาภิเษก</t>
  </si>
  <si>
    <t>Self Storage</t>
  </si>
  <si>
    <t>บริการห้องเก็บของส่วนตัว</t>
  </si>
  <si>
    <t>บริการห้องเก็บไวน์</t>
  </si>
  <si>
    <t>Safe Deposit</t>
  </si>
  <si>
    <t>บริการตู้นิรภัย</t>
  </si>
  <si>
    <t>Business Storage</t>
  </si>
  <si>
    <t>บริการห้องเก็บของสำหรับธุรกิจ</t>
  </si>
  <si>
    <t>Drive In Storage</t>
  </si>
  <si>
    <t>บริการห้องเก็บของไดร์ฟอิน</t>
  </si>
  <si>
    <t>Door-to-Door Storage</t>
  </si>
  <si>
    <t>บริการรับเก็บของถึงบ้าน</t>
  </si>
  <si>
    <t>Luggage Storage</t>
  </si>
  <si>
    <t>บริการล็อกเกอร์ฝากสัมภาระ</t>
  </si>
  <si>
    <t>Table</t>
  </si>
  <si>
    <t>Duration</t>
  </si>
  <si>
    <t xml:space="preserve">Month </t>
  </si>
  <si>
    <t>เดือน</t>
  </si>
  <si>
    <t>*The rental price of storage rooms in each time period is in Thai Baht and does not include 7% VAT.</t>
  </si>
  <si>
    <t>ค่าบริการเช่าห้องเก็บของ (บาท) ในแต่ละช่วงเวลา ไม่รวม Vat 7%</t>
  </si>
  <si>
    <t xml:space="preserve">term and condition </t>
  </si>
  <si>
    <t>Wait wording from Lagal team
Due : 24 Feb 2024</t>
  </si>
  <si>
    <t>SRIKREETHA - Self Storage</t>
  </si>
  <si>
    <t>&lt; ไม่แน่ใจว่าเท่ากันทุกสาขาหรือป่าว</t>
  </si>
  <si>
    <t>1 Month</t>
  </si>
  <si>
    <t>1 Month -10% from M to XXL</t>
  </si>
  <si>
    <t>3 Month</t>
  </si>
  <si>
    <t>XXS - S  ลด 15%</t>
  </si>
  <si>
    <t>6 Month</t>
  </si>
  <si>
    <t>XXS - S  ลด 20%</t>
  </si>
  <si>
    <t>9 Month</t>
  </si>
  <si>
    <t>XXS - S  ลด 25%</t>
  </si>
  <si>
    <t>12 Month</t>
  </si>
  <si>
    <t>XXS - S  ลด 30%</t>
  </si>
  <si>
    <t>SRIKREETHA - Wine Storage</t>
  </si>
  <si>
    <t>0.5 - 1.4 sqm</t>
  </si>
  <si>
    <t>2.5 - 4.9 sq m</t>
  </si>
  <si>
    <t xml:space="preserve"> 30 - 50 sqm</t>
  </si>
  <si>
    <t>SRIKREETHA - Safe Deposit</t>
  </si>
  <si>
    <t>SRIKREETHA - business storage</t>
  </si>
  <si>
    <t>ลด25 %</t>
  </si>
  <si>
    <t>ราคาเต็ม</t>
  </si>
  <si>
    <t>ลด30 %</t>
  </si>
  <si>
    <t>ลด 35%</t>
  </si>
  <si>
    <t>ลด 40%</t>
  </si>
  <si>
    <t>SRIKREETHA - Luggage Storage</t>
  </si>
  <si>
    <t>SIAM - Self Storage</t>
  </si>
  <si>
    <t>ไม่มีห้อง Mini Walk in</t>
  </si>
  <si>
    <t>1.6 - 2.4 sq m</t>
  </si>
  <si>
    <t>2.6 - 4.9 sq m</t>
  </si>
  <si>
    <t xml:space="preserve"> 35 - 50 sqm</t>
  </si>
  <si>
    <t>M to XXL</t>
  </si>
  <si>
    <t>XXS - S  ลด10 %</t>
  </si>
  <si>
    <t>XXS - S  ลด15 %</t>
  </si>
  <si>
    <t xml:space="preserve"> XXS - S ลด 20%</t>
  </si>
  <si>
    <t>ลด25%</t>
  </si>
  <si>
    <t>SIAM - Safe Deposit</t>
  </si>
  <si>
    <t>Midi</t>
  </si>
  <si>
    <t>Personal</t>
  </si>
  <si>
    <t>Family</t>
  </si>
  <si>
    <t>Corporate</t>
  </si>
  <si>
    <t>3 x 10 x 23 Inch</t>
  </si>
  <si>
    <t>5 x 10 x 23 Inch</t>
  </si>
  <si>
    <t>8 x 10 x 23 Inch</t>
  </si>
  <si>
    <t>10 x 10 x 23 Inch</t>
  </si>
  <si>
    <t>3 Months</t>
  </si>
  <si>
    <t>12 Months</t>
  </si>
  <si>
    <t>SIAM -  business storage</t>
  </si>
  <si>
    <t>ลด15 %</t>
  </si>
  <si>
    <t>ลด20 %</t>
  </si>
  <si>
    <t>ลด 25%</t>
  </si>
  <si>
    <t>ลด 30%</t>
  </si>
  <si>
    <t>SIAM- Wine Storage</t>
  </si>
  <si>
    <t>SS</t>
  </si>
  <si>
    <t>SL</t>
  </si>
  <si>
    <t>MS</t>
  </si>
  <si>
    <t>ML</t>
  </si>
  <si>
    <t>LS</t>
  </si>
  <si>
    <t>LL</t>
  </si>
  <si>
    <t>ความจุ 300 ขวด</t>
  </si>
  <si>
    <t>ความจุ 336 ขวด</t>
  </si>
  <si>
    <t>ความจุ 420 ขวด</t>
  </si>
  <si>
    <t>ความจุ 567 ขวด</t>
  </si>
  <si>
    <t>ความจุ 810 ขวด</t>
  </si>
  <si>
    <t>ความจุ 840 ขวด</t>
  </si>
  <si>
    <t>ความจุ 1134 ขวด</t>
  </si>
  <si>
    <t>6 Months</t>
  </si>
  <si>
    <t>9 Months</t>
  </si>
  <si>
    <t>SIAM - Luggage Storage</t>
  </si>
  <si>
    <t>THIAM RUAM MIT - Self Storage</t>
  </si>
  <si>
    <t>1.3sqm</t>
  </si>
  <si>
    <t>XXS - S  ลด 35%</t>
  </si>
  <si>
    <t>THIAM RUAM MIT - Wine Storage</t>
  </si>
  <si>
    <t>THIAM RUAM MIT - Safe Deposit</t>
  </si>
  <si>
    <t>THIAM RUAM MIT - business storage</t>
  </si>
  <si>
    <t>THIAM RUAM MIT - Drive in Storage</t>
  </si>
  <si>
    <t xml:space="preserve"> 30 - 61.4 sqm</t>
  </si>
  <si>
    <t>THIAM RUAM MIT - Luggage Storage</t>
  </si>
  <si>
    <t>RAMINTRA - Self Storage</t>
  </si>
  <si>
    <t>XXS non-air</t>
  </si>
  <si>
    <t>XS non-air</t>
  </si>
  <si>
    <t>S non-air</t>
  </si>
  <si>
    <t>M non-air</t>
  </si>
  <si>
    <t>L non-air</t>
  </si>
  <si>
    <t>XL non-air</t>
  </si>
  <si>
    <t>1.7 - 2.4 sq m</t>
  </si>
  <si>
    <t>2.9 - 4.9 sq m</t>
  </si>
  <si>
    <t>6.2 - 10 sqm</t>
  </si>
  <si>
    <t>12.4 - 19 sqm</t>
  </si>
  <si>
    <t>RAMINTRA - Safe Deposit</t>
  </si>
  <si>
    <t>RAMINTRA- business storage</t>
  </si>
  <si>
    <t>RAMINTRA - Wine Storage</t>
  </si>
  <si>
    <t>RAMINTRA - Luggage Storage</t>
  </si>
  <si>
    <t>RAMA 9 - Self Storage</t>
  </si>
  <si>
    <t xml:space="preserve"> 33.6 - 50 sqm</t>
  </si>
  <si>
    <t>= -35% ตั้งแต่เดือนที่1</t>
  </si>
  <si>
    <t>RAMA 9 - Wine Storage</t>
  </si>
  <si>
    <t>RAMA 9 - Safe Deposit</t>
  </si>
  <si>
    <t>RAMA 9 - business storage</t>
  </si>
  <si>
    <t>1 Month -35% from M to XXL</t>
  </si>
  <si>
    <t>ลด35 %</t>
  </si>
  <si>
    <t>RAMA 9 - Vehicle Storage</t>
  </si>
  <si>
    <t>RAMA 9 - Luggage Storage</t>
  </si>
  <si>
    <t>LADPRAO - Self Storage</t>
  </si>
  <si>
    <t>1.8 - 2.4 sq m</t>
  </si>
  <si>
    <t>LADPRAO - Safe Deposit</t>
  </si>
  <si>
    <t>LADPRAO - business storage</t>
  </si>
  <si>
    <t>LADPRAO - Drive in Storage</t>
  </si>
  <si>
    <t>14.60 sqm</t>
  </si>
  <si>
    <t>19.00sqm</t>
  </si>
  <si>
    <t>LADPRAO - Wine Storage</t>
  </si>
  <si>
    <t>LADPRAO - Luggage Storage</t>
  </si>
  <si>
    <t>PATONG - Self Storage</t>
  </si>
  <si>
    <t>Mini Locker</t>
  </si>
  <si>
    <t>0.4 sqm</t>
  </si>
  <si>
    <t>1.0 -1.2 sqm</t>
  </si>
  <si>
    <t>1.0 - 1.4 sqm</t>
  </si>
  <si>
    <t>2.0 - 2.4 sq m</t>
  </si>
  <si>
    <t>12 - 19 sqm</t>
  </si>
  <si>
    <t>ลด35%</t>
  </si>
  <si>
    <t>PATONG - Wine Storage</t>
  </si>
  <si>
    <t>PATONG - Safe Deposit</t>
  </si>
  <si>
    <t>PATONG - business storage</t>
  </si>
  <si>
    <t>PATONG- Vehicle Storage</t>
  </si>
  <si>
    <t>PATONG - Luggage Storage</t>
  </si>
  <si>
    <t>Central Phuket - Luggage Storage</t>
  </si>
  <si>
    <t>1 hour</t>
  </si>
  <si>
    <t>3 hours</t>
  </si>
  <si>
    <t>7 Month</t>
  </si>
  <si>
    <t>12 hours</t>
  </si>
  <si>
    <t>PATTAYA - Self Storage</t>
  </si>
  <si>
    <t>1.0 sqm</t>
  </si>
  <si>
    <t>2.8 - 4.9 sq m</t>
  </si>
  <si>
    <t>16 - 19 sqm</t>
  </si>
  <si>
    <t>25 - 29 sqm</t>
  </si>
  <si>
    <t xml:space="preserve"> 33 - 50 sqm</t>
  </si>
  <si>
    <t>= -40% ตั้งแต่เดือนที่1</t>
  </si>
  <si>
    <t>PATTAYA - Wine Storage</t>
  </si>
  <si>
    <t>PATTAYA - Safe Deposit</t>
  </si>
  <si>
    <t>PATTAYA - business storage</t>
  </si>
  <si>
    <t>PATTAYA - Vehicle Storage</t>
  </si>
  <si>
    <t>PATTAYA - Luggage Storage</t>
  </si>
  <si>
    <t>BANGSUE - Self Storage</t>
  </si>
  <si>
    <t>Locker non-air</t>
  </si>
  <si>
    <t>XXL non-air</t>
  </si>
  <si>
    <t>1.8 - 2.1 sq m</t>
  </si>
  <si>
    <t>2.9 sq m</t>
  </si>
  <si>
    <t>5.0 - 10.6 sqm</t>
  </si>
  <si>
    <t>14.1 - 17.5 sqm</t>
  </si>
  <si>
    <t>25.9 - 26.5 sqm</t>
  </si>
  <si>
    <t>26.3 - 26.5 sqm</t>
  </si>
  <si>
    <t>51.2 sqm</t>
  </si>
  <si>
    <t xml:space="preserve"> 51.2 sqm</t>
  </si>
  <si>
    <t>แก้ทั้งขนาด และราคา</t>
  </si>
  <si>
    <t>BANGSUE - Wine Storage</t>
  </si>
  <si>
    <t>BANGSUE - Safe Deposit</t>
  </si>
  <si>
    <t>BANGSUE - Business Storage</t>
  </si>
  <si>
    <t>BANGSUE - Drive in Storage</t>
  </si>
  <si>
    <t xml:space="preserve"> </t>
  </si>
  <si>
    <t>15.1 sqm</t>
  </si>
  <si>
    <t xml:space="preserve"> 30.2 sqm</t>
  </si>
  <si>
    <t>BANGSUE - Luggage Storage</t>
  </si>
  <si>
    <t>RATCHADAPISEK - Self Storage</t>
  </si>
  <si>
    <t>ลด30%</t>
  </si>
  <si>
    <t>RATCHADAPISEK - Wine Storage</t>
  </si>
  <si>
    <t>RATCHADAPISEK - Safe Deposit</t>
  </si>
  <si>
    <t>RATCHADAPISEK - Business Storage</t>
  </si>
  <si>
    <t>RATCHADAPISEK - Vehicle Storage</t>
  </si>
  <si>
    <t>RATCHADAPISEK - Luggage Storage</t>
  </si>
  <si>
    <t>Mth</t>
  </si>
  <si>
    <t>LKR</t>
  </si>
  <si>
    <t>NON-AIR</t>
  </si>
  <si>
    <t>AIR-CON</t>
  </si>
  <si>
    <t>MNW</t>
  </si>
  <si>
    <t>MNL</t>
  </si>
  <si>
    <t>NET PER PERIOD</t>
  </si>
  <si>
    <t>Drive-in</t>
  </si>
  <si>
    <t>Oversize</t>
  </si>
  <si>
    <t>Suk 71</t>
  </si>
  <si>
    <t>Suk 24</t>
  </si>
  <si>
    <t>Nana</t>
  </si>
  <si>
    <t>Sathorn</t>
  </si>
  <si>
    <t>Thonglor</t>
  </si>
  <si>
    <t>Silom</t>
  </si>
  <si>
    <t>Chatuchak</t>
  </si>
  <si>
    <t>M-card</t>
  </si>
  <si>
    <t>Credit card</t>
  </si>
  <si>
    <t>Earthquake</t>
  </si>
  <si>
    <t>M-card 1 time only</t>
  </si>
  <si>
    <t>Brand</t>
  </si>
  <si>
    <t>Branch</t>
  </si>
  <si>
    <t>Size</t>
  </si>
  <si>
    <t>MeSpace</t>
  </si>
  <si>
    <t>A/C</t>
  </si>
  <si>
    <t>Y</t>
  </si>
  <si>
    <t>N</t>
  </si>
  <si>
    <t>Rack Rate</t>
  </si>
  <si>
    <t>Room</t>
  </si>
  <si>
    <t>Showroom</t>
  </si>
  <si>
    <t>i-Store</t>
  </si>
  <si>
    <t>Udom Suk</t>
  </si>
  <si>
    <t>REED</t>
  </si>
  <si>
    <t>Rama 9</t>
  </si>
  <si>
    <t>ARR (Rack Rate)</t>
  </si>
  <si>
    <t>Maximum Discount</t>
  </si>
  <si>
    <t>ARR (Lowest)</t>
  </si>
  <si>
    <t>Actual Rate</t>
  </si>
  <si>
    <t>No.</t>
  </si>
  <si>
    <t>All Size</t>
  </si>
  <si>
    <t>XXS-S</t>
  </si>
  <si>
    <t>Mini -Walk in (ชั้น 6 )</t>
  </si>
  <si>
    <t>M - XXL</t>
  </si>
  <si>
    <t>TRM</t>
  </si>
  <si>
    <t>None</t>
  </si>
  <si>
    <t>Maximum Discount (%)</t>
  </si>
  <si>
    <t>Chinatown</t>
  </si>
  <si>
    <t>Rama 4</t>
  </si>
  <si>
    <t>Rama 3</t>
  </si>
  <si>
    <t>Automated Storage (Upper)</t>
  </si>
  <si>
    <t>Automated Storage (Lower)</t>
  </si>
  <si>
    <t>Walk In Unit (1.5 SQM)</t>
  </si>
  <si>
    <t>XS (2 sqm)</t>
  </si>
  <si>
    <t>XS (2.5 sqm)</t>
  </si>
  <si>
    <t>XS (3 sqm)</t>
  </si>
  <si>
    <t>S (3.5 sqm)</t>
  </si>
  <si>
    <t>S (4.5 sqm)</t>
  </si>
  <si>
    <t>S (5 sqm)</t>
  </si>
  <si>
    <t>S (6 sqm)</t>
  </si>
  <si>
    <t>S (7 sqm)</t>
  </si>
  <si>
    <t>Automated
 Storage</t>
  </si>
  <si>
    <t>Category</t>
  </si>
  <si>
    <t>Small 
Ambient Storage</t>
  </si>
  <si>
    <t>M (7.5 sqm)</t>
  </si>
  <si>
    <t>M (9 sqm)</t>
  </si>
  <si>
    <t>M (9.5 sqm)</t>
  </si>
  <si>
    <t>M (10 sqm)</t>
  </si>
  <si>
    <t>M (10.5 sqm)</t>
  </si>
  <si>
    <t>L (11.5 sqm)</t>
  </si>
  <si>
    <t>L (12 sqm)</t>
  </si>
  <si>
    <t>L (12.5 sqm)</t>
  </si>
  <si>
    <t>L (13 sqm)</t>
  </si>
  <si>
    <t>L (15 sqm)</t>
  </si>
  <si>
    <t>XL (21.5 sqm)</t>
  </si>
  <si>
    <t>XL (22 sqm)</t>
  </si>
  <si>
    <t>XL (24.5 sqm)</t>
  </si>
  <si>
    <t>XL (26.5 sqm)</t>
  </si>
  <si>
    <t>XL (29 sqm)</t>
  </si>
  <si>
    <t>XL (30 sqm)</t>
  </si>
  <si>
    <t>Large 
Ambient Storage</t>
  </si>
  <si>
    <t>Lockblock (1 sqm)</t>
  </si>
  <si>
    <t>Lockblock (1.5 sqm)</t>
  </si>
  <si>
    <t>XS (1.5 sqm)</t>
  </si>
  <si>
    <t>S (5.5 sqm)</t>
  </si>
  <si>
    <t>S (6.5 sqm)</t>
  </si>
  <si>
    <t>S (7.5 sqm)</t>
  </si>
  <si>
    <t>Small A/C
 Storage</t>
  </si>
  <si>
    <t>Large A/C
 Storage</t>
  </si>
  <si>
    <t>M (8 sqm)</t>
  </si>
  <si>
    <t>M (8.5 sqm)</t>
  </si>
  <si>
    <t>L (13.5 sqm)</t>
  </si>
  <si>
    <t>L (14 sqm)</t>
  </si>
  <si>
    <t>XL (19 sqm)</t>
  </si>
  <si>
    <t>XL (22.5 sqm)</t>
  </si>
  <si>
    <t>XL (25.5 sqm)</t>
  </si>
  <si>
    <t>XL (42 sqm)</t>
  </si>
  <si>
    <t>Lock Block (Upper) (1 Sq.m.)</t>
  </si>
  <si>
    <t>Lock Block</t>
  </si>
  <si>
    <t>XS (1 sqm)</t>
  </si>
  <si>
    <t>S (4 sqm)</t>
  </si>
  <si>
    <t>L (16 sqm)</t>
  </si>
  <si>
    <t>XL (24 sqm)</t>
  </si>
  <si>
    <t>XL (25 sqm)</t>
  </si>
  <si>
    <t>XL (26 sqm)</t>
  </si>
  <si>
    <t>XL (27.5 sqm)</t>
  </si>
  <si>
    <t>XL (29.5 sqm)</t>
  </si>
  <si>
    <t>XL (28 sqm)</t>
  </si>
  <si>
    <t>XL (31 sqm)</t>
  </si>
  <si>
    <t>Lockblock (Under) (1 Sq.m.)</t>
  </si>
  <si>
    <t>L (17 sqm)</t>
  </si>
  <si>
    <t>M(5 sqm)</t>
  </si>
  <si>
    <t>M (5.5 sqm)</t>
  </si>
  <si>
    <t>M (6 sqm)</t>
  </si>
  <si>
    <t>M (6.5 sqm)</t>
  </si>
  <si>
    <t>M (7 sqm)</t>
  </si>
  <si>
    <t>XS / 80 Bottles / 8 Crates</t>
  </si>
  <si>
    <t>S / 190 Bottles / 12 Crates</t>
  </si>
  <si>
    <t>M / 300 Bottles / 30 Crates (0.5 sqm)</t>
  </si>
  <si>
    <t>L / 800 Bottles / 80 Crates (1 sqm)</t>
  </si>
  <si>
    <t>XL / 1000 Bottles / 80 Crates (1.5 SQM)</t>
  </si>
  <si>
    <t>Leo</t>
  </si>
  <si>
    <t>Group</t>
  </si>
  <si>
    <t>Walk In Unit</t>
  </si>
  <si>
    <t>Lock Block (Upper)</t>
  </si>
  <si>
    <t>Lock Block (Lower)</t>
  </si>
  <si>
    <t>Pattaya Self Storage</t>
  </si>
  <si>
    <t>Thappraya</t>
  </si>
  <si>
    <t>Lower Deck</t>
  </si>
  <si>
    <t>Walk-In</t>
  </si>
  <si>
    <t>Small</t>
  </si>
  <si>
    <t>Medium</t>
  </si>
  <si>
    <t>Big</t>
  </si>
  <si>
    <t>Drop Boxes</t>
  </si>
  <si>
    <t>SAFEBOX</t>
  </si>
  <si>
    <t>Phuket</t>
  </si>
  <si>
    <t>Outdoor Drive - Up Small</t>
  </si>
  <si>
    <t>Outdoor Drive - Up Large</t>
  </si>
  <si>
    <t>Outdoor Drive - Up XL</t>
  </si>
  <si>
    <t>Locker Indoor Small</t>
  </si>
  <si>
    <t>Locker Indoor Medium</t>
  </si>
  <si>
    <t>Indoor Large</t>
  </si>
  <si>
    <t>Indoor XL</t>
  </si>
  <si>
    <t>Indoor 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</si>
</sst>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41" x14ac:knownFonts="1"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Mitr"/>
      <charset val="222"/>
    </font>
    <font>
      <b/>
      <sz val="33"/>
      <color rgb="FF0061B0"/>
      <name val="Mitr"/>
      <charset val="222"/>
    </font>
    <font>
      <sz val="10"/>
      <name val="Arial"/>
      <family val="2"/>
    </font>
    <font>
      <b/>
      <sz val="13"/>
      <color rgb="FFFFFFFF"/>
      <name val="Mitr"/>
      <charset val="222"/>
    </font>
    <font>
      <sz val="13"/>
      <color rgb="FFFFFFFF"/>
      <name val="Mitr"/>
      <charset val="222"/>
    </font>
    <font>
      <b/>
      <sz val="10"/>
      <color theme="1"/>
      <name val="Mitr"/>
      <charset val="222"/>
    </font>
    <font>
      <b/>
      <sz val="10"/>
      <color rgb="FFFF0000"/>
      <name val="Mitr"/>
      <charset val="222"/>
    </font>
    <font>
      <sz val="10"/>
      <color rgb="FFFF0000"/>
      <name val="Mitr"/>
      <charset val="222"/>
    </font>
    <font>
      <sz val="10"/>
      <color theme="1"/>
      <name val="Aptos Narrow"/>
      <family val="2"/>
      <scheme val="minor"/>
    </font>
    <font>
      <sz val="10"/>
      <color rgb="FF000000"/>
      <name val="Mitr"/>
      <charset val="222"/>
    </font>
    <font>
      <sz val="10"/>
      <color rgb="FFFFFFFF"/>
      <name val="Mitr"/>
      <charset val="222"/>
    </font>
    <font>
      <sz val="10"/>
      <name val="Mitr"/>
      <charset val="222"/>
    </font>
    <font>
      <sz val="10"/>
      <color theme="1"/>
      <name val="Arial"/>
      <family val="2"/>
    </font>
    <font>
      <sz val="8"/>
      <name val="Calibri"/>
      <family val="2"/>
    </font>
    <font>
      <sz val="11"/>
      <color theme="5"/>
      <name val="Calibri"/>
      <family val="2"/>
    </font>
    <font>
      <sz val="9"/>
      <color rgb="FF000000"/>
      <name val="Tahoma"/>
      <family val="2"/>
    </font>
    <font>
      <b/>
      <sz val="17"/>
      <color rgb="FF31313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1B0"/>
        <bgColor rgb="FF0061B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rgb="FF00FFFF"/>
      </patternFill>
    </fill>
    <fill>
      <patternFill patternType="solid">
        <fgColor rgb="FFFFCCFF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 style="thin">
        <color rgb="FF1C4587"/>
      </top>
      <bottom/>
      <diagonal/>
    </border>
    <border>
      <left/>
      <right style="thin">
        <color rgb="FF1C4587"/>
      </right>
      <top style="thin">
        <color rgb="FF1C4587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1C4587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1C4587"/>
      </right>
      <top/>
      <bottom style="thin">
        <color rgb="FFFFFFFF"/>
      </bottom>
      <diagonal/>
    </border>
    <border>
      <left/>
      <right/>
      <top/>
      <bottom style="thin">
        <color rgb="FF1C458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3" fillId="0" borderId="0"/>
    <xf numFmtId="0" fontId="2" fillId="0" borderId="0"/>
  </cellStyleXfs>
  <cellXfs count="368">
    <xf numFmtId="0" fontId="0" fillId="0" borderId="0" xfId="0"/>
    <xf numFmtId="164" fontId="7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7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0" fontId="0" fillId="0" borderId="1" xfId="0" applyBorder="1"/>
    <xf numFmtId="0" fontId="8" fillId="0" borderId="0" xfId="1" applyFont="1" applyAlignment="1">
      <alignment horizontal="centerContinuous"/>
    </xf>
    <xf numFmtId="43" fontId="0" fillId="0" borderId="0" xfId="2" applyFont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0" fillId="0" borderId="0" xfId="2" applyNumberFormat="1" applyFont="1"/>
    <xf numFmtId="0" fontId="4" fillId="0" borderId="0" xfId="1"/>
    <xf numFmtId="0" fontId="6" fillId="0" borderId="0" xfId="1" applyFont="1"/>
    <xf numFmtId="43" fontId="6" fillId="0" borderId="0" xfId="2" applyFont="1"/>
    <xf numFmtId="166" fontId="6" fillId="0" borderId="0" xfId="2" applyNumberFormat="1" applyFont="1" applyAlignment="1">
      <alignment horizontal="center"/>
    </xf>
    <xf numFmtId="166" fontId="6" fillId="0" borderId="0" xfId="2" applyNumberFormat="1" applyFont="1"/>
    <xf numFmtId="0" fontId="6" fillId="2" borderId="1" xfId="1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4" fillId="0" borderId="0" xfId="1" applyAlignment="1">
      <alignment horizontal="center"/>
    </xf>
    <xf numFmtId="0" fontId="4" fillId="0" borderId="1" xfId="1" applyBorder="1"/>
    <xf numFmtId="43" fontId="0" fillId="0" borderId="1" xfId="2" applyFont="1" applyBorder="1"/>
    <xf numFmtId="166" fontId="0" fillId="0" borderId="1" xfId="2" applyNumberFormat="1" applyFont="1" applyBorder="1"/>
    <xf numFmtId="0" fontId="9" fillId="0" borderId="0" xfId="1" applyFont="1" applyAlignment="1">
      <alignment horizontal="centerContinuous"/>
    </xf>
    <xf numFmtId="43" fontId="6" fillId="0" borderId="0" xfId="2" applyFont="1" applyAlignment="1">
      <alignment horizontal="centerContinuous"/>
    </xf>
    <xf numFmtId="166" fontId="6" fillId="0" borderId="0" xfId="2" applyNumberFormat="1" applyFont="1" applyAlignment="1">
      <alignment horizontal="centerContinuous"/>
    </xf>
    <xf numFmtId="0" fontId="6" fillId="0" borderId="0" xfId="1" applyFont="1" applyAlignment="1">
      <alignment horizontal="center"/>
    </xf>
    <xf numFmtId="43" fontId="6" fillId="0" borderId="0" xfId="2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43" fontId="6" fillId="3" borderId="1" xfId="2" applyFont="1" applyFill="1" applyBorder="1" applyAlignment="1">
      <alignment horizontal="center"/>
    </xf>
    <xf numFmtId="166" fontId="6" fillId="3" borderId="1" xfId="2" applyNumberFormat="1" applyFont="1" applyFill="1" applyBorder="1" applyAlignment="1">
      <alignment horizontal="center"/>
    </xf>
    <xf numFmtId="0" fontId="10" fillId="0" borderId="0" xfId="1" applyFont="1" applyAlignment="1">
      <alignment horizontal="centerContinuous"/>
    </xf>
    <xf numFmtId="0" fontId="6" fillId="4" borderId="1" xfId="1" applyFont="1" applyFill="1" applyBorder="1" applyAlignment="1">
      <alignment horizontal="center"/>
    </xf>
    <xf numFmtId="43" fontId="6" fillId="4" borderId="1" xfId="2" applyFont="1" applyFill="1" applyBorder="1" applyAlignment="1">
      <alignment horizontal="center"/>
    </xf>
    <xf numFmtId="166" fontId="6" fillId="4" borderId="1" xfId="2" applyNumberFormat="1" applyFont="1" applyFill="1" applyBorder="1" applyAlignment="1">
      <alignment horizontal="center"/>
    </xf>
    <xf numFmtId="43" fontId="0" fillId="0" borderId="0" xfId="2" applyFont="1"/>
    <xf numFmtId="0" fontId="6" fillId="5" borderId="1" xfId="1" applyFont="1" applyFill="1" applyBorder="1" applyAlignment="1">
      <alignment horizontal="center"/>
    </xf>
    <xf numFmtId="43" fontId="6" fillId="5" borderId="1" xfId="2" applyFont="1" applyFill="1" applyBorder="1" applyAlignment="1">
      <alignment horizontal="center"/>
    </xf>
    <xf numFmtId="166" fontId="6" fillId="5" borderId="1" xfId="2" applyNumberFormat="1" applyFont="1" applyFill="1" applyBorder="1" applyAlignment="1">
      <alignment horizontal="center"/>
    </xf>
    <xf numFmtId="165" fontId="0" fillId="0" borderId="0" xfId="0" pivotButton="1" applyNumberFormat="1"/>
    <xf numFmtId="0" fontId="5" fillId="0" borderId="1" xfId="1" applyFont="1" applyBorder="1"/>
    <xf numFmtId="0" fontId="13" fillId="0" borderId="0" xfId="1" applyFont="1" applyAlignment="1">
      <alignment horizontal="centerContinuous"/>
    </xf>
    <xf numFmtId="3" fontId="0" fillId="0" borderId="1" xfId="0" applyNumberFormat="1" applyBorder="1"/>
    <xf numFmtId="3" fontId="4" fillId="0" borderId="1" xfId="1" applyNumberFormat="1" applyBorder="1"/>
    <xf numFmtId="3" fontId="5" fillId="0" borderId="1" xfId="1" applyNumberFormat="1" applyFont="1" applyBorder="1"/>
    <xf numFmtId="166" fontId="6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/>
    <xf numFmtId="0" fontId="14" fillId="0" borderId="0" xfId="1" applyFont="1" applyAlignment="1">
      <alignment horizontal="left"/>
    </xf>
    <xf numFmtId="166" fontId="15" fillId="0" borderId="1" xfId="2" applyNumberFormat="1" applyFont="1" applyBorder="1"/>
    <xf numFmtId="43" fontId="15" fillId="0" borderId="1" xfId="2" applyFont="1" applyBorder="1"/>
    <xf numFmtId="43" fontId="15" fillId="0" borderId="2" xfId="2" applyFont="1" applyBorder="1"/>
    <xf numFmtId="0" fontId="4" fillId="0" borderId="3" xfId="1" applyBorder="1"/>
    <xf numFmtId="166" fontId="15" fillId="0" borderId="3" xfId="2" applyNumberFormat="1" applyFont="1" applyBorder="1"/>
    <xf numFmtId="166" fontId="15" fillId="0" borderId="1" xfId="2" applyNumberFormat="1" applyFont="1" applyFill="1" applyBorder="1"/>
    <xf numFmtId="166" fontId="16" fillId="0" borderId="1" xfId="2" applyNumberFormat="1" applyFont="1" applyFill="1" applyBorder="1"/>
    <xf numFmtId="166" fontId="9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166" fontId="13" fillId="0" borderId="0" xfId="2" applyNumberFormat="1" applyFont="1"/>
    <xf numFmtId="166" fontId="7" fillId="0" borderId="0" xfId="2" applyNumberFormat="1" applyFont="1" applyAlignment="1">
      <alignment horizontal="center"/>
    </xf>
    <xf numFmtId="166" fontId="15" fillId="0" borderId="0" xfId="2" applyNumberFormat="1" applyFont="1"/>
    <xf numFmtId="9" fontId="4" fillId="0" borderId="0" xfId="4" applyFont="1"/>
    <xf numFmtId="166" fontId="6" fillId="4" borderId="1" xfId="2" applyNumberFormat="1" applyFont="1" applyFill="1" applyBorder="1" applyAlignment="1">
      <alignment horizontal="centerContinuous"/>
    </xf>
    <xf numFmtId="43" fontId="6" fillId="4" borderId="4" xfId="2" applyFont="1" applyFill="1" applyBorder="1" applyAlignment="1">
      <alignment vertical="center"/>
    </xf>
    <xf numFmtId="0" fontId="6" fillId="4" borderId="4" xfId="1" applyFont="1" applyFill="1" applyBorder="1" applyAlignment="1">
      <alignment vertical="center"/>
    </xf>
    <xf numFmtId="0" fontId="19" fillId="0" borderId="0" xfId="1" applyFont="1"/>
    <xf numFmtId="0" fontId="21" fillId="0" borderId="0" xfId="1" applyFont="1" applyAlignment="1">
      <alignment horizontal="left"/>
    </xf>
    <xf numFmtId="166" fontId="21" fillId="0" borderId="0" xfId="2" applyNumberFormat="1" applyFont="1" applyAlignment="1">
      <alignment horizontal="center"/>
    </xf>
    <xf numFmtId="166" fontId="20" fillId="0" borderId="0" xfId="2" applyNumberFormat="1" applyFont="1" applyAlignment="1">
      <alignment horizontal="center"/>
    </xf>
    <xf numFmtId="166" fontId="21" fillId="0" borderId="0" xfId="2" applyNumberFormat="1" applyFont="1"/>
    <xf numFmtId="166" fontId="20" fillId="0" borderId="0" xfId="2" applyNumberFormat="1" applyFont="1"/>
    <xf numFmtId="0" fontId="17" fillId="0" borderId="0" xfId="0" applyFont="1"/>
    <xf numFmtId="0" fontId="17" fillId="0" borderId="1" xfId="0" applyFont="1" applyBorder="1"/>
    <xf numFmtId="166" fontId="20" fillId="5" borderId="4" xfId="2" applyNumberFormat="1" applyFont="1" applyFill="1" applyBorder="1" applyAlignment="1">
      <alignment horizontal="center"/>
    </xf>
    <xf numFmtId="0" fontId="19" fillId="0" borderId="1" xfId="1" applyFont="1" applyBorder="1"/>
    <xf numFmtId="166" fontId="19" fillId="0" borderId="1" xfId="3" applyNumberFormat="1" applyFont="1" applyBorder="1" applyAlignment="1">
      <alignment horizontal="center"/>
    </xf>
    <xf numFmtId="166" fontId="19" fillId="0" borderId="1" xfId="3" applyNumberFormat="1" applyFont="1" applyBorder="1"/>
    <xf numFmtId="0" fontId="22" fillId="0" borderId="0" xfId="1" applyFont="1" applyAlignment="1">
      <alignment horizontal="left"/>
    </xf>
    <xf numFmtId="3" fontId="4" fillId="0" borderId="0" xfId="1" applyNumberFormat="1"/>
    <xf numFmtId="3" fontId="6" fillId="0" borderId="0" xfId="1" applyNumberFormat="1" applyFont="1"/>
    <xf numFmtId="3" fontId="18" fillId="0" borderId="0" xfId="1" applyNumberFormat="1" applyFont="1" applyAlignment="1">
      <alignment horizontal="center"/>
    </xf>
    <xf numFmtId="3" fontId="4" fillId="0" borderId="0" xfId="3" applyNumberFormat="1" applyFont="1"/>
    <xf numFmtId="3" fontId="6" fillId="0" borderId="0" xfId="1" applyNumberFormat="1" applyFont="1" applyAlignment="1">
      <alignment horizontal="center"/>
    </xf>
    <xf numFmtId="3" fontId="4" fillId="0" borderId="0" xfId="1" applyNumberFormat="1" applyAlignment="1">
      <alignment horizontal="centerContinuous"/>
    </xf>
    <xf numFmtId="3" fontId="15" fillId="0" borderId="0" xfId="2" applyNumberFormat="1" applyFont="1"/>
    <xf numFmtId="0" fontId="24" fillId="0" borderId="5" xfId="5" applyFont="1" applyBorder="1" applyAlignment="1">
      <alignment wrapText="1"/>
    </xf>
    <xf numFmtId="0" fontId="24" fillId="0" borderId="6" xfId="5" applyFont="1" applyBorder="1" applyAlignment="1">
      <alignment wrapText="1"/>
    </xf>
    <xf numFmtId="0" fontId="23" fillId="0" borderId="0" xfId="5"/>
    <xf numFmtId="0" fontId="24" fillId="0" borderId="9" xfId="5" applyFont="1" applyBorder="1" applyAlignment="1">
      <alignment wrapText="1"/>
    </xf>
    <xf numFmtId="0" fontId="28" fillId="6" borderId="14" xfId="5" applyFont="1" applyFill="1" applyBorder="1" applyAlignment="1">
      <alignment horizontal="center" vertical="center" wrapText="1"/>
    </xf>
    <xf numFmtId="0" fontId="28" fillId="6" borderId="15" xfId="5" applyFont="1" applyFill="1" applyBorder="1" applyAlignment="1">
      <alignment horizontal="center" vertical="center" wrapText="1"/>
    </xf>
    <xf numFmtId="0" fontId="24" fillId="0" borderId="16" xfId="5" applyFont="1" applyBorder="1" applyAlignment="1">
      <alignment wrapText="1"/>
    </xf>
    <xf numFmtId="0" fontId="28" fillId="6" borderId="18" xfId="5" applyFont="1" applyFill="1" applyBorder="1" applyAlignment="1">
      <alignment horizontal="center" vertical="center" wrapText="1"/>
    </xf>
    <xf numFmtId="0" fontId="28" fillId="6" borderId="19" xfId="5" applyFont="1" applyFill="1" applyBorder="1" applyAlignment="1">
      <alignment horizontal="center" vertical="center" wrapText="1"/>
    </xf>
    <xf numFmtId="0" fontId="28" fillId="6" borderId="20" xfId="5" applyFont="1" applyFill="1" applyBorder="1" applyAlignment="1">
      <alignment horizontal="center" vertical="center" wrapText="1"/>
    </xf>
    <xf numFmtId="0" fontId="29" fillId="0" borderId="18" xfId="5" applyFont="1" applyBorder="1" applyAlignment="1">
      <alignment wrapText="1"/>
    </xf>
    <xf numFmtId="0" fontId="24" fillId="0" borderId="18" xfId="5" applyFont="1" applyBorder="1" applyAlignment="1">
      <alignment wrapText="1"/>
    </xf>
    <xf numFmtId="0" fontId="24" fillId="0" borderId="18" xfId="5" applyFont="1" applyBorder="1" applyAlignment="1">
      <alignment vertical="center" wrapText="1"/>
    </xf>
    <xf numFmtId="0" fontId="24" fillId="0" borderId="18" xfId="5" applyFont="1" applyBorder="1" applyAlignment="1">
      <alignment vertical="top" wrapText="1"/>
    </xf>
    <xf numFmtId="0" fontId="32" fillId="0" borderId="0" xfId="5" applyFont="1" applyAlignment="1">
      <alignment wrapText="1"/>
    </xf>
    <xf numFmtId="0" fontId="24" fillId="0" borderId="8" xfId="5" applyFont="1" applyBorder="1" applyAlignment="1">
      <alignment wrapText="1"/>
    </xf>
    <xf numFmtId="0" fontId="24" fillId="0" borderId="0" xfId="5" applyFont="1" applyAlignment="1">
      <alignment wrapText="1"/>
    </xf>
    <xf numFmtId="0" fontId="33" fillId="0" borderId="18" xfId="5" applyFont="1" applyBorder="1" applyAlignment="1">
      <alignment vertical="center" wrapText="1"/>
    </xf>
    <xf numFmtId="0" fontId="31" fillId="0" borderId="18" xfId="5" applyFont="1" applyBorder="1" applyAlignment="1">
      <alignment vertical="center" wrapText="1"/>
    </xf>
    <xf numFmtId="0" fontId="33" fillId="0" borderId="18" xfId="5" applyFont="1" applyBorder="1" applyAlignment="1">
      <alignment wrapText="1"/>
    </xf>
    <xf numFmtId="0" fontId="24" fillId="7" borderId="18" xfId="5" applyFont="1" applyFill="1" applyBorder="1" applyAlignment="1">
      <alignment wrapText="1"/>
    </xf>
    <xf numFmtId="0" fontId="34" fillId="6" borderId="10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vertical="center" wrapText="1"/>
    </xf>
    <xf numFmtId="0" fontId="24" fillId="8" borderId="18" xfId="5" applyFont="1" applyFill="1" applyBorder="1" applyAlignment="1">
      <alignment wrapText="1"/>
    </xf>
    <xf numFmtId="2" fontId="24" fillId="0" borderId="18" xfId="5" applyNumberFormat="1" applyFont="1" applyBorder="1" applyAlignment="1">
      <alignment wrapText="1"/>
    </xf>
    <xf numFmtId="1" fontId="24" fillId="9" borderId="18" xfId="5" applyNumberFormat="1" applyFont="1" applyFill="1" applyBorder="1" applyAlignment="1">
      <alignment vertical="center" wrapText="1"/>
    </xf>
    <xf numFmtId="1" fontId="24" fillId="9" borderId="18" xfId="5" applyNumberFormat="1" applyFont="1" applyFill="1" applyBorder="1" applyAlignment="1">
      <alignment wrapText="1"/>
    </xf>
    <xf numFmtId="1" fontId="24" fillId="0" borderId="18" xfId="5" applyNumberFormat="1" applyFont="1" applyBorder="1" applyAlignment="1">
      <alignment vertical="center" wrapText="1"/>
    </xf>
    <xf numFmtId="1" fontId="24" fillId="10" borderId="18" xfId="5" applyNumberFormat="1" applyFont="1" applyFill="1" applyBorder="1" applyAlignment="1">
      <alignment vertical="center" wrapText="1"/>
    </xf>
    <xf numFmtId="1" fontId="24" fillId="10" borderId="18" xfId="5" applyNumberFormat="1" applyFont="1" applyFill="1" applyBorder="1" applyAlignment="1">
      <alignment wrapText="1"/>
    </xf>
    <xf numFmtId="0" fontId="24" fillId="0" borderId="18" xfId="5" applyFont="1" applyBorder="1" applyAlignment="1">
      <alignment horizontal="right" wrapText="1"/>
    </xf>
    <xf numFmtId="1" fontId="24" fillId="0" borderId="18" xfId="5" applyNumberFormat="1" applyFont="1" applyBorder="1" applyAlignment="1">
      <alignment wrapText="1"/>
    </xf>
    <xf numFmtId="1" fontId="24" fillId="0" borderId="11" xfId="5" applyNumberFormat="1" applyFont="1" applyBorder="1" applyAlignment="1">
      <alignment wrapText="1"/>
    </xf>
    <xf numFmtId="0" fontId="24" fillId="11" borderId="10" xfId="5" applyFont="1" applyFill="1" applyBorder="1" applyAlignment="1">
      <alignment horizontal="right" wrapText="1"/>
    </xf>
    <xf numFmtId="0" fontId="32" fillId="11" borderId="0" xfId="5" applyFont="1" applyFill="1" applyAlignment="1">
      <alignment wrapText="1"/>
    </xf>
    <xf numFmtId="2" fontId="24" fillId="11" borderId="18" xfId="5" applyNumberFormat="1" applyFont="1" applyFill="1" applyBorder="1" applyAlignment="1">
      <alignment wrapText="1"/>
    </xf>
    <xf numFmtId="1" fontId="24" fillId="11" borderId="18" xfId="5" applyNumberFormat="1" applyFont="1" applyFill="1" applyBorder="1" applyAlignment="1">
      <alignment wrapText="1"/>
    </xf>
    <xf numFmtId="1" fontId="24" fillId="11" borderId="11" xfId="5" applyNumberFormat="1" applyFont="1" applyFill="1" applyBorder="1" applyAlignment="1">
      <alignment wrapText="1"/>
    </xf>
    <xf numFmtId="0" fontId="32" fillId="0" borderId="0" xfId="5" applyFont="1"/>
    <xf numFmtId="0" fontId="24" fillId="0" borderId="7" xfId="5" applyFont="1" applyBorder="1" applyAlignment="1">
      <alignment wrapText="1"/>
    </xf>
    <xf numFmtId="2" fontId="24" fillId="11" borderId="10" xfId="5" applyNumberFormat="1" applyFont="1" applyFill="1" applyBorder="1" applyAlignment="1">
      <alignment wrapText="1"/>
    </xf>
    <xf numFmtId="1" fontId="24" fillId="11" borderId="10" xfId="5" applyNumberFormat="1" applyFont="1" applyFill="1" applyBorder="1" applyAlignment="1">
      <alignment vertical="center" wrapText="1"/>
    </xf>
    <xf numFmtId="1" fontId="24" fillId="11" borderId="14" xfId="5" applyNumberFormat="1" applyFont="1" applyFill="1" applyBorder="1" applyAlignment="1">
      <alignment vertical="center" wrapText="1"/>
    </xf>
    <xf numFmtId="0" fontId="24" fillId="0" borderId="1" xfId="5" applyFont="1" applyBorder="1" applyAlignment="1">
      <alignment wrapText="1"/>
    </xf>
    <xf numFmtId="0" fontId="24" fillId="0" borderId="1" xfId="5" applyFont="1" applyBorder="1" applyAlignment="1">
      <alignment horizontal="right" wrapText="1"/>
    </xf>
    <xf numFmtId="0" fontId="32" fillId="0" borderId="1" xfId="5" applyFont="1" applyBorder="1" applyAlignment="1">
      <alignment wrapText="1"/>
    </xf>
    <xf numFmtId="2" fontId="24" fillId="0" borderId="1" xfId="5" applyNumberFormat="1" applyFont="1" applyBorder="1" applyAlignment="1">
      <alignment wrapText="1"/>
    </xf>
    <xf numFmtId="1" fontId="24" fillId="0" borderId="1" xfId="5" applyNumberFormat="1" applyFont="1" applyBorder="1" applyAlignment="1">
      <alignment vertical="center" wrapText="1"/>
    </xf>
    <xf numFmtId="1" fontId="24" fillId="0" borderId="21" xfId="5" applyNumberFormat="1" applyFont="1" applyBorder="1" applyAlignment="1">
      <alignment vertical="center" wrapText="1"/>
    </xf>
    <xf numFmtId="0" fontId="23" fillId="0" borderId="22" xfId="5" applyBorder="1"/>
    <xf numFmtId="0" fontId="23" fillId="0" borderId="1" xfId="5" applyBorder="1"/>
    <xf numFmtId="0" fontId="24" fillId="11" borderId="18" xfId="5" applyFont="1" applyFill="1" applyBorder="1" applyAlignment="1">
      <alignment horizontal="right" wrapText="1"/>
    </xf>
    <xf numFmtId="0" fontId="32" fillId="11" borderId="1" xfId="5" applyFont="1" applyFill="1" applyBorder="1" applyAlignment="1">
      <alignment wrapText="1"/>
    </xf>
    <xf numFmtId="2" fontId="24" fillId="11" borderId="1" xfId="5" applyNumberFormat="1" applyFont="1" applyFill="1" applyBorder="1" applyAlignment="1">
      <alignment wrapText="1"/>
    </xf>
    <xf numFmtId="1" fontId="24" fillId="11" borderId="1" xfId="5" applyNumberFormat="1" applyFont="1" applyFill="1" applyBorder="1" applyAlignment="1">
      <alignment vertical="center" wrapText="1"/>
    </xf>
    <xf numFmtId="1" fontId="24" fillId="11" borderId="21" xfId="5" applyNumberFormat="1" applyFont="1" applyFill="1" applyBorder="1" applyAlignment="1">
      <alignment vertical="center" wrapText="1"/>
    </xf>
    <xf numFmtId="0" fontId="24" fillId="0" borderId="23" xfId="5" applyFont="1" applyBorder="1" applyAlignment="1">
      <alignment wrapText="1"/>
    </xf>
    <xf numFmtId="0" fontId="24" fillId="0" borderId="17" xfId="5" applyFont="1" applyBorder="1" applyAlignment="1">
      <alignment horizontal="right" wrapText="1"/>
    </xf>
    <xf numFmtId="0" fontId="24" fillId="0" borderId="17" xfId="5" applyFont="1" applyBorder="1" applyAlignment="1">
      <alignment wrapText="1"/>
    </xf>
    <xf numFmtId="2" fontId="24" fillId="0" borderId="17" xfId="5" applyNumberFormat="1" applyFont="1" applyBorder="1" applyAlignment="1">
      <alignment wrapText="1"/>
    </xf>
    <xf numFmtId="1" fontId="24" fillId="0" borderId="17" xfId="5" applyNumberFormat="1" applyFont="1" applyBorder="1" applyAlignment="1">
      <alignment wrapText="1"/>
    </xf>
    <xf numFmtId="1" fontId="24" fillId="0" borderId="19" xfId="5" applyNumberFormat="1" applyFont="1" applyBorder="1" applyAlignment="1">
      <alignment wrapText="1"/>
    </xf>
    <xf numFmtId="0" fontId="34" fillId="6" borderId="11" xfId="5" applyFont="1" applyFill="1" applyBorder="1" applyAlignment="1">
      <alignment horizontal="center" wrapText="1"/>
    </xf>
    <xf numFmtId="0" fontId="24" fillId="0" borderId="11" xfId="5" applyFont="1" applyBorder="1" applyAlignment="1">
      <alignment wrapText="1"/>
    </xf>
    <xf numFmtId="0" fontId="29" fillId="8" borderId="18" xfId="5" applyFont="1" applyFill="1" applyBorder="1" applyAlignment="1">
      <alignment wrapText="1"/>
    </xf>
    <xf numFmtId="0" fontId="24" fillId="0" borderId="10" xfId="5" applyFont="1" applyBorder="1" applyAlignment="1">
      <alignment vertical="center" wrapText="1"/>
    </xf>
    <xf numFmtId="1" fontId="24" fillId="9" borderId="11" xfId="5" applyNumberFormat="1" applyFont="1" applyFill="1" applyBorder="1" applyAlignment="1">
      <alignment wrapText="1"/>
    </xf>
    <xf numFmtId="1" fontId="24" fillId="10" borderId="11" xfId="5" applyNumberFormat="1" applyFont="1" applyFill="1" applyBorder="1" applyAlignment="1">
      <alignment vertical="center" wrapText="1"/>
    </xf>
    <xf numFmtId="0" fontId="24" fillId="8" borderId="18" xfId="5" applyFont="1" applyFill="1" applyBorder="1" applyAlignment="1">
      <alignment horizontal="right" wrapText="1"/>
    </xf>
    <xf numFmtId="0" fontId="24" fillId="11" borderId="18" xfId="5" applyFont="1" applyFill="1" applyBorder="1" applyAlignment="1">
      <alignment wrapText="1"/>
    </xf>
    <xf numFmtId="0" fontId="24" fillId="0" borderId="10" xfId="5" applyFont="1" applyBorder="1" applyAlignment="1">
      <alignment wrapText="1"/>
    </xf>
    <xf numFmtId="0" fontId="24" fillId="10" borderId="1" xfId="5" applyFont="1" applyFill="1" applyBorder="1" applyAlignment="1">
      <alignment wrapText="1"/>
    </xf>
    <xf numFmtId="0" fontId="29" fillId="12" borderId="18" xfId="5" applyFont="1" applyFill="1" applyBorder="1" applyAlignment="1">
      <alignment wrapText="1"/>
    </xf>
    <xf numFmtId="0" fontId="24" fillId="12" borderId="18" xfId="5" applyFont="1" applyFill="1" applyBorder="1" applyAlignment="1">
      <alignment horizontal="right" wrapText="1"/>
    </xf>
    <xf numFmtId="0" fontId="24" fillId="9" borderId="18" xfId="5" applyFont="1" applyFill="1" applyBorder="1" applyAlignment="1">
      <alignment vertical="center" wrapText="1"/>
    </xf>
    <xf numFmtId="0" fontId="24" fillId="9" borderId="18" xfId="5" applyFont="1" applyFill="1" applyBorder="1" applyAlignment="1">
      <alignment wrapText="1"/>
    </xf>
    <xf numFmtId="0" fontId="24" fillId="9" borderId="11" xfId="5" applyFont="1" applyFill="1" applyBorder="1" applyAlignment="1">
      <alignment wrapText="1"/>
    </xf>
    <xf numFmtId="1" fontId="34" fillId="6" borderId="18" xfId="5" applyNumberFormat="1" applyFont="1" applyFill="1" applyBorder="1" applyAlignment="1">
      <alignment horizontal="center" wrapText="1"/>
    </xf>
    <xf numFmtId="1" fontId="34" fillId="6" borderId="18" xfId="5" applyNumberFormat="1" applyFont="1" applyFill="1" applyBorder="1" applyAlignment="1">
      <alignment horizontal="center" vertical="center" wrapText="1"/>
    </xf>
    <xf numFmtId="1" fontId="34" fillId="6" borderId="11" xfId="5" applyNumberFormat="1" applyFont="1" applyFill="1" applyBorder="1" applyAlignment="1">
      <alignment horizontal="center" wrapText="1"/>
    </xf>
    <xf numFmtId="1" fontId="24" fillId="9" borderId="10" xfId="5" applyNumberFormat="1" applyFont="1" applyFill="1" applyBorder="1" applyAlignment="1">
      <alignment vertical="center" wrapText="1"/>
    </xf>
    <xf numFmtId="0" fontId="24" fillId="13" borderId="18" xfId="5" applyFont="1" applyFill="1" applyBorder="1" applyAlignment="1">
      <alignment horizontal="right" wrapText="1"/>
    </xf>
    <xf numFmtId="1" fontId="24" fillId="0" borderId="11" xfId="5" applyNumberFormat="1" applyFont="1" applyBorder="1" applyAlignment="1">
      <alignment vertical="center" wrapText="1"/>
    </xf>
    <xf numFmtId="0" fontId="24" fillId="12" borderId="18" xfId="5" applyFont="1" applyFill="1" applyBorder="1" applyAlignment="1">
      <alignment wrapText="1"/>
    </xf>
    <xf numFmtId="0" fontId="35" fillId="7" borderId="18" xfId="5" applyFont="1" applyFill="1" applyBorder="1" applyAlignment="1">
      <alignment wrapText="1"/>
    </xf>
    <xf numFmtId="0" fontId="29" fillId="14" borderId="18" xfId="5" applyFont="1" applyFill="1" applyBorder="1" applyAlignment="1">
      <alignment wrapText="1"/>
    </xf>
    <xf numFmtId="1" fontId="24" fillId="10" borderId="11" xfId="5" applyNumberFormat="1" applyFont="1" applyFill="1" applyBorder="1" applyAlignment="1">
      <alignment wrapText="1"/>
    </xf>
    <xf numFmtId="0" fontId="24" fillId="14" borderId="18" xfId="5" applyFont="1" applyFill="1" applyBorder="1" applyAlignment="1">
      <alignment wrapText="1"/>
    </xf>
    <xf numFmtId="0" fontId="36" fillId="0" borderId="24" xfId="5" applyFont="1" applyBorder="1"/>
    <xf numFmtId="0" fontId="24" fillId="7" borderId="12" xfId="5" applyFont="1" applyFill="1" applyBorder="1" applyAlignment="1">
      <alignment wrapText="1"/>
    </xf>
    <xf numFmtId="0" fontId="34" fillId="6" borderId="12" xfId="5" applyFont="1" applyFill="1" applyBorder="1" applyAlignment="1">
      <alignment horizontal="center" wrapText="1"/>
    </xf>
    <xf numFmtId="0" fontId="36" fillId="0" borderId="0" xfId="5" applyFont="1"/>
    <xf numFmtId="0" fontId="36" fillId="0" borderId="25" xfId="5" applyFont="1" applyBorder="1"/>
    <xf numFmtId="0" fontId="36" fillId="14" borderId="20" xfId="5" applyFont="1" applyFill="1" applyBorder="1"/>
    <xf numFmtId="0" fontId="34" fillId="6" borderId="20" xfId="5" applyFont="1" applyFill="1" applyBorder="1" applyAlignment="1">
      <alignment horizontal="center" wrapText="1"/>
    </xf>
    <xf numFmtId="0" fontId="34" fillId="6" borderId="26" xfId="5" applyFont="1" applyFill="1" applyBorder="1" applyAlignment="1">
      <alignment horizontal="center" wrapText="1"/>
    </xf>
    <xf numFmtId="0" fontId="24" fillId="15" borderId="11" xfId="5" applyFont="1" applyFill="1" applyBorder="1" applyAlignment="1">
      <alignment wrapText="1"/>
    </xf>
    <xf numFmtId="0" fontId="24" fillId="0" borderId="27" xfId="5" applyFont="1" applyBorder="1" applyAlignment="1">
      <alignment wrapText="1"/>
    </xf>
    <xf numFmtId="0" fontId="32" fillId="16" borderId="1" xfId="5" applyFont="1" applyFill="1" applyBorder="1" applyAlignment="1">
      <alignment wrapText="1"/>
    </xf>
    <xf numFmtId="1" fontId="24" fillId="0" borderId="12" xfId="5" applyNumberFormat="1" applyFont="1" applyBorder="1" applyAlignment="1">
      <alignment wrapText="1"/>
    </xf>
    <xf numFmtId="0" fontId="24" fillId="10" borderId="17" xfId="5" applyFont="1" applyFill="1" applyBorder="1" applyAlignment="1">
      <alignment wrapText="1"/>
    </xf>
    <xf numFmtId="0" fontId="32" fillId="16" borderId="0" xfId="5" applyFont="1" applyFill="1" applyAlignment="1">
      <alignment wrapText="1"/>
    </xf>
    <xf numFmtId="0" fontId="32" fillId="10" borderId="1" xfId="5" applyFont="1" applyFill="1" applyBorder="1" applyAlignment="1">
      <alignment wrapText="1"/>
    </xf>
    <xf numFmtId="1" fontId="24" fillId="17" borderId="18" xfId="5" applyNumberFormat="1" applyFont="1" applyFill="1" applyBorder="1" applyAlignment="1">
      <alignment vertical="center" wrapText="1"/>
    </xf>
    <xf numFmtId="1" fontId="24" fillId="18" borderId="18" xfId="5" applyNumberFormat="1" applyFont="1" applyFill="1" applyBorder="1" applyAlignment="1">
      <alignment vertical="center" wrapText="1"/>
    </xf>
    <xf numFmtId="0" fontId="24" fillId="18" borderId="6" xfId="5" quotePrefix="1" applyFont="1" applyFill="1" applyBorder="1" applyAlignment="1">
      <alignment wrapText="1"/>
    </xf>
    <xf numFmtId="1" fontId="24" fillId="19" borderId="18" xfId="5" applyNumberFormat="1" applyFont="1" applyFill="1" applyBorder="1" applyAlignment="1">
      <alignment wrapText="1"/>
    </xf>
    <xf numFmtId="1" fontId="24" fillId="20" borderId="18" xfId="5" applyNumberFormat="1" applyFont="1" applyFill="1" applyBorder="1" applyAlignment="1">
      <alignment wrapText="1"/>
    </xf>
    <xf numFmtId="1" fontId="24" fillId="20" borderId="11" xfId="5" applyNumberFormat="1" applyFont="1" applyFill="1" applyBorder="1" applyAlignment="1">
      <alignment wrapText="1"/>
    </xf>
    <xf numFmtId="1" fontId="24" fillId="19" borderId="10" xfId="5" applyNumberFormat="1" applyFont="1" applyFill="1" applyBorder="1" applyAlignment="1">
      <alignment vertical="center" wrapText="1"/>
    </xf>
    <xf numFmtId="1" fontId="24" fillId="20" borderId="10" xfId="5" applyNumberFormat="1" applyFont="1" applyFill="1" applyBorder="1" applyAlignment="1">
      <alignment vertical="center" wrapText="1"/>
    </xf>
    <xf numFmtId="1" fontId="24" fillId="20" borderId="14" xfId="5" applyNumberFormat="1" applyFont="1" applyFill="1" applyBorder="1" applyAlignment="1">
      <alignment vertical="center" wrapText="1"/>
    </xf>
    <xf numFmtId="1" fontId="24" fillId="19" borderId="1" xfId="5" applyNumberFormat="1" applyFont="1" applyFill="1" applyBorder="1" applyAlignment="1">
      <alignment vertical="center" wrapText="1"/>
    </xf>
    <xf numFmtId="1" fontId="24" fillId="20" borderId="1" xfId="5" applyNumberFormat="1" applyFont="1" applyFill="1" applyBorder="1" applyAlignment="1">
      <alignment vertical="center" wrapText="1"/>
    </xf>
    <xf numFmtId="1" fontId="24" fillId="20" borderId="21" xfId="5" applyNumberFormat="1" applyFont="1" applyFill="1" applyBorder="1" applyAlignment="1">
      <alignment vertical="center" wrapText="1"/>
    </xf>
    <xf numFmtId="1" fontId="24" fillId="0" borderId="0" xfId="5" applyNumberFormat="1" applyFont="1" applyAlignment="1">
      <alignment wrapText="1"/>
    </xf>
    <xf numFmtId="0" fontId="34" fillId="6" borderId="10" xfId="5" applyFont="1" applyFill="1" applyBorder="1" applyAlignment="1">
      <alignment horizontal="center" vertical="center" wrapText="1"/>
    </xf>
    <xf numFmtId="1" fontId="24" fillId="0" borderId="1" xfId="5" applyNumberFormat="1" applyFont="1" applyBorder="1" applyAlignment="1">
      <alignment wrapText="1"/>
    </xf>
    <xf numFmtId="1" fontId="24" fillId="9" borderId="1" xfId="5" applyNumberFormat="1" applyFont="1" applyFill="1" applyBorder="1" applyAlignment="1">
      <alignment wrapText="1"/>
    </xf>
    <xf numFmtId="0" fontId="24" fillId="0" borderId="13" xfId="5" applyFont="1" applyBorder="1" applyAlignment="1">
      <alignment wrapText="1"/>
    </xf>
    <xf numFmtId="1" fontId="24" fillId="10" borderId="1" xfId="5" applyNumberFormat="1" applyFont="1" applyFill="1" applyBorder="1" applyAlignment="1">
      <alignment vertical="center" wrapText="1"/>
    </xf>
    <xf numFmtId="0" fontId="24" fillId="10" borderId="13" xfId="5" applyFont="1" applyFill="1" applyBorder="1" applyAlignment="1">
      <alignment wrapText="1"/>
    </xf>
    <xf numFmtId="0" fontId="24" fillId="10" borderId="11" xfId="5" applyFont="1" applyFill="1" applyBorder="1" applyAlignment="1">
      <alignment wrapText="1"/>
    </xf>
    <xf numFmtId="1" fontId="24" fillId="11" borderId="1" xfId="5" applyNumberFormat="1" applyFont="1" applyFill="1" applyBorder="1" applyAlignment="1">
      <alignment wrapText="1"/>
    </xf>
    <xf numFmtId="0" fontId="23" fillId="10" borderId="1" xfId="5" applyFill="1" applyBorder="1"/>
    <xf numFmtId="0" fontId="24" fillId="10" borderId="18" xfId="5" applyFont="1" applyFill="1" applyBorder="1" applyAlignment="1">
      <alignment wrapText="1"/>
    </xf>
    <xf numFmtId="1" fontId="24" fillId="11" borderId="17" xfId="5" applyNumberFormat="1" applyFont="1" applyFill="1" applyBorder="1" applyAlignment="1">
      <alignment wrapText="1"/>
    </xf>
    <xf numFmtId="1" fontId="24" fillId="21" borderId="18" xfId="5" applyNumberFormat="1" applyFont="1" applyFill="1" applyBorder="1" applyAlignment="1">
      <alignment vertical="center" wrapText="1"/>
    </xf>
    <xf numFmtId="1" fontId="24" fillId="22" borderId="18" xfId="5" applyNumberFormat="1" applyFont="1" applyFill="1" applyBorder="1" applyAlignment="1">
      <alignment vertical="center" wrapText="1"/>
    </xf>
    <xf numFmtId="0" fontId="24" fillId="23" borderId="18" xfId="5" applyFont="1" applyFill="1" applyBorder="1" applyAlignment="1">
      <alignment wrapText="1"/>
    </xf>
    <xf numFmtId="0" fontId="24" fillId="0" borderId="11" xfId="5" applyFont="1" applyBorder="1" applyAlignment="1">
      <alignment vertical="center" wrapText="1"/>
    </xf>
    <xf numFmtId="2" fontId="24" fillId="15" borderId="18" xfId="5" applyNumberFormat="1" applyFont="1" applyFill="1" applyBorder="1" applyAlignment="1">
      <alignment wrapText="1"/>
    </xf>
    <xf numFmtId="1" fontId="24" fillId="17" borderId="18" xfId="5" applyNumberFormat="1" applyFont="1" applyFill="1" applyBorder="1" applyAlignment="1">
      <alignment wrapText="1"/>
    </xf>
    <xf numFmtId="0" fontId="24" fillId="17" borderId="28" xfId="5" quotePrefix="1" applyFont="1" applyFill="1" applyBorder="1" applyAlignment="1">
      <alignment wrapText="1"/>
    </xf>
    <xf numFmtId="0" fontId="24" fillId="0" borderId="28" xfId="5" applyFont="1" applyBorder="1" applyAlignment="1">
      <alignment wrapText="1"/>
    </xf>
    <xf numFmtId="0" fontId="24" fillId="0" borderId="29" xfId="5" applyFont="1" applyBorder="1" applyAlignment="1">
      <alignment wrapText="1"/>
    </xf>
    <xf numFmtId="1" fontId="24" fillId="19" borderId="11" xfId="5" applyNumberFormat="1" applyFont="1" applyFill="1" applyBorder="1" applyAlignment="1">
      <alignment wrapText="1"/>
    </xf>
    <xf numFmtId="1" fontId="24" fillId="19" borderId="14" xfId="5" applyNumberFormat="1" applyFont="1" applyFill="1" applyBorder="1" applyAlignment="1">
      <alignment vertical="center" wrapText="1"/>
    </xf>
    <xf numFmtId="1" fontId="24" fillId="19" borderId="21" xfId="5" applyNumberFormat="1" applyFont="1" applyFill="1" applyBorder="1" applyAlignment="1">
      <alignment vertical="center" wrapText="1"/>
    </xf>
    <xf numFmtId="2" fontId="24" fillId="10" borderId="18" xfId="5" applyNumberFormat="1" applyFont="1" applyFill="1" applyBorder="1" applyAlignment="1">
      <alignment wrapText="1"/>
    </xf>
    <xf numFmtId="0" fontId="24" fillId="11" borderId="23" xfId="5" applyFont="1" applyFill="1" applyBorder="1" applyAlignment="1">
      <alignment wrapText="1"/>
    </xf>
    <xf numFmtId="0" fontId="24" fillId="11" borderId="9" xfId="5" applyFont="1" applyFill="1" applyBorder="1" applyAlignment="1">
      <alignment wrapText="1"/>
    </xf>
    <xf numFmtId="0" fontId="24" fillId="9" borderId="5" xfId="5" applyFont="1" applyFill="1" applyBorder="1" applyAlignment="1">
      <alignment wrapText="1"/>
    </xf>
    <xf numFmtId="0" fontId="24" fillId="9" borderId="6" xfId="5" applyFont="1" applyFill="1" applyBorder="1" applyAlignment="1">
      <alignment wrapText="1"/>
    </xf>
    <xf numFmtId="1" fontId="24" fillId="11" borderId="10" xfId="5" applyNumberFormat="1" applyFont="1" applyFill="1" applyBorder="1" applyAlignment="1">
      <alignment wrapText="1"/>
    </xf>
    <xf numFmtId="1" fontId="24" fillId="11" borderId="14" xfId="5" applyNumberFormat="1" applyFont="1" applyFill="1" applyBorder="1" applyAlignment="1">
      <alignment wrapText="1"/>
    </xf>
    <xf numFmtId="1" fontId="24" fillId="10" borderId="10" xfId="5" applyNumberFormat="1" applyFont="1" applyFill="1" applyBorder="1" applyAlignment="1">
      <alignment vertical="center" wrapText="1"/>
    </xf>
    <xf numFmtId="1" fontId="24" fillId="10" borderId="14" xfId="5" applyNumberFormat="1" applyFont="1" applyFill="1" applyBorder="1" applyAlignment="1">
      <alignment vertical="center" wrapText="1"/>
    </xf>
    <xf numFmtId="1" fontId="24" fillId="10" borderId="21" xfId="5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5" borderId="21" xfId="0" applyNumberFormat="1" applyFont="1" applyFill="1" applyBorder="1" applyAlignment="1">
      <alignment horizontal="centerContinuous"/>
    </xf>
    <xf numFmtId="3" fontId="0" fillId="5" borderId="34" xfId="0" applyNumberFormat="1" applyFill="1" applyBorder="1" applyAlignment="1">
      <alignment horizontal="centerContinuous"/>
    </xf>
    <xf numFmtId="3" fontId="0" fillId="5" borderId="22" xfId="0" applyNumberFormat="1" applyFill="1" applyBorder="1" applyAlignment="1">
      <alignment horizontal="centerContinuous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3" fontId="7" fillId="3" borderId="21" xfId="0" applyNumberFormat="1" applyFont="1" applyFill="1" applyBorder="1" applyAlignment="1">
      <alignment horizontal="centerContinuous"/>
    </xf>
    <xf numFmtId="3" fontId="0" fillId="3" borderId="34" xfId="0" applyNumberFormat="1" applyFill="1" applyBorder="1" applyAlignment="1">
      <alignment horizontal="centerContinuous"/>
    </xf>
    <xf numFmtId="3" fontId="0" fillId="3" borderId="22" xfId="0" applyNumberFormat="1" applyFill="1" applyBorder="1" applyAlignment="1">
      <alignment horizontal="centerContinuous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3" fontId="15" fillId="0" borderId="30" xfId="2" applyNumberFormat="1" applyFont="1" applyFill="1" applyBorder="1" applyAlignment="1"/>
    <xf numFmtId="3" fontId="17" fillId="0" borderId="30" xfId="2" applyNumberFormat="1" applyFont="1" applyFill="1" applyBorder="1" applyAlignment="1"/>
    <xf numFmtId="3" fontId="17" fillId="0" borderId="31" xfId="2" applyNumberFormat="1" applyFont="1" applyFill="1" applyBorder="1" applyAlignment="1"/>
    <xf numFmtId="3" fontId="17" fillId="0" borderId="32" xfId="2" applyNumberFormat="1" applyFont="1" applyFill="1" applyBorder="1" applyAlignment="1"/>
    <xf numFmtId="3" fontId="0" fillId="0" borderId="30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0" fontId="7" fillId="24" borderId="30" xfId="1" applyFont="1" applyFill="1" applyBorder="1" applyAlignment="1">
      <alignment horizontal="center"/>
    </xf>
    <xf numFmtId="3" fontId="0" fillId="24" borderId="30" xfId="0" applyNumberFormat="1" applyFill="1" applyBorder="1"/>
    <xf numFmtId="0" fontId="7" fillId="24" borderId="31" xfId="1" applyFont="1" applyFill="1" applyBorder="1" applyAlignment="1">
      <alignment horizontal="center"/>
    </xf>
    <xf numFmtId="3" fontId="0" fillId="24" borderId="31" xfId="0" applyNumberFormat="1" applyFill="1" applyBorder="1"/>
    <xf numFmtId="0" fontId="7" fillId="24" borderId="32" xfId="1" applyFont="1" applyFill="1" applyBorder="1" applyAlignment="1">
      <alignment horizontal="center"/>
    </xf>
    <xf numFmtId="3" fontId="0" fillId="24" borderId="32" xfId="0" applyNumberFormat="1" applyFill="1" applyBorder="1"/>
    <xf numFmtId="3" fontId="0" fillId="24" borderId="33" xfId="0" applyNumberFormat="1" applyFill="1" applyBorder="1"/>
    <xf numFmtId="0" fontId="7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7" fillId="2" borderId="1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9" fontId="16" fillId="0" borderId="1" xfId="4" applyFont="1" applyBorder="1"/>
    <xf numFmtId="9" fontId="16" fillId="0" borderId="1" xfId="0" applyNumberFormat="1" applyFont="1" applyBorder="1"/>
    <xf numFmtId="166" fontId="10" fillId="0" borderId="1" xfId="2" applyNumberFormat="1" applyFont="1" applyBorder="1" applyAlignment="1">
      <alignment horizontal="center"/>
    </xf>
    <xf numFmtId="9" fontId="38" fillId="0" borderId="1" xfId="4" applyFont="1" applyBorder="1"/>
    <xf numFmtId="9" fontId="38" fillId="0" borderId="1" xfId="0" applyNumberFormat="1" applyFont="1" applyBorder="1"/>
    <xf numFmtId="0" fontId="7" fillId="0" borderId="1" xfId="0" applyFont="1" applyBorder="1" applyAlignment="1">
      <alignment horizontal="center"/>
    </xf>
    <xf numFmtId="9" fontId="15" fillId="0" borderId="1" xfId="0" applyNumberFormat="1" applyFont="1" applyBorder="1"/>
    <xf numFmtId="0" fontId="8" fillId="0" borderId="0" xfId="1" applyFont="1" applyAlignment="1">
      <alignment horizontal="left"/>
    </xf>
    <xf numFmtId="3" fontId="0" fillId="5" borderId="0" xfId="0" applyNumberFormat="1" applyFill="1"/>
    <xf numFmtId="3" fontId="0" fillId="5" borderId="0" xfId="0" applyNumberFormat="1" applyFill="1" applyAlignment="1">
      <alignment horizontal="centerContinuous"/>
    </xf>
    <xf numFmtId="0" fontId="0" fillId="5" borderId="0" xfId="0" applyFill="1" applyAlignment="1">
      <alignment horizontal="centerContinuous"/>
    </xf>
    <xf numFmtId="3" fontId="0" fillId="3" borderId="0" xfId="0" applyNumberFormat="1" applyFill="1" applyAlignment="1">
      <alignment horizontal="centerContinuous"/>
    </xf>
    <xf numFmtId="0" fontId="0" fillId="3" borderId="0" xfId="0" applyFill="1" applyAlignment="1">
      <alignment horizontal="centerContinuous"/>
    </xf>
    <xf numFmtId="3" fontId="0" fillId="3" borderId="0" xfId="0" applyNumberFormat="1" applyFill="1"/>
    <xf numFmtId="0" fontId="3" fillId="0" borderId="1" xfId="1" applyFont="1" applyBorder="1"/>
    <xf numFmtId="3" fontId="0" fillId="25" borderId="30" xfId="0" applyNumberFormat="1" applyFill="1" applyBorder="1"/>
    <xf numFmtId="3" fontId="0" fillId="25" borderId="31" xfId="0" applyNumberFormat="1" applyFill="1" applyBorder="1"/>
    <xf numFmtId="3" fontId="0" fillId="25" borderId="32" xfId="0" applyNumberFormat="1" applyFill="1" applyBorder="1"/>
    <xf numFmtId="3" fontId="0" fillId="26" borderId="30" xfId="0" applyNumberFormat="1" applyFill="1" applyBorder="1"/>
    <xf numFmtId="3" fontId="0" fillId="26" borderId="31" xfId="0" applyNumberFormat="1" applyFill="1" applyBorder="1"/>
    <xf numFmtId="3" fontId="0" fillId="26" borderId="32" xfId="0" applyNumberFormat="1" applyFill="1" applyBorder="1"/>
    <xf numFmtId="3" fontId="0" fillId="26" borderId="33" xfId="0" applyNumberFormat="1" applyFill="1" applyBorder="1"/>
    <xf numFmtId="3" fontId="0" fillId="26" borderId="40" xfId="0" applyNumberFormat="1" applyFill="1" applyBorder="1"/>
    <xf numFmtId="1" fontId="0" fillId="26" borderId="31" xfId="0" applyNumberFormat="1" applyFill="1" applyBorder="1"/>
    <xf numFmtId="1" fontId="0" fillId="26" borderId="40" xfId="0" applyNumberFormat="1" applyFill="1" applyBorder="1"/>
    <xf numFmtId="1" fontId="0" fillId="26" borderId="30" xfId="0" applyNumberFormat="1" applyFill="1" applyBorder="1"/>
    <xf numFmtId="1" fontId="0" fillId="26" borderId="32" xfId="0" applyNumberFormat="1" applyFill="1" applyBorder="1"/>
    <xf numFmtId="0" fontId="15" fillId="0" borderId="0" xfId="0" applyFont="1"/>
    <xf numFmtId="9" fontId="15" fillId="0" borderId="1" xfId="4" applyFont="1" applyBorder="1"/>
    <xf numFmtId="166" fontId="0" fillId="0" borderId="0" xfId="3" applyNumberFormat="1" applyFont="1"/>
    <xf numFmtId="9" fontId="0" fillId="0" borderId="0" xfId="4" applyFont="1"/>
    <xf numFmtId="0" fontId="0" fillId="0" borderId="1" xfId="0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1" applyFont="1" applyBorder="1"/>
    <xf numFmtId="0" fontId="40" fillId="0" borderId="0" xfId="0" applyFont="1" applyAlignment="1">
      <alignment vertical="center" wrapText="1"/>
    </xf>
    <xf numFmtId="43" fontId="0" fillId="0" borderId="0" xfId="2" applyFont="1" applyBorder="1"/>
    <xf numFmtId="166" fontId="0" fillId="0" borderId="0" xfId="2" applyNumberFormat="1" applyFont="1" applyBorder="1"/>
    <xf numFmtId="166" fontId="15" fillId="0" borderId="0" xfId="2" applyNumberFormat="1" applyFont="1" applyFill="1" applyBorder="1"/>
    <xf numFmtId="166" fontId="0" fillId="0" borderId="1" xfId="2" applyNumberFormat="1" applyFont="1" applyBorder="1" applyAlignment="1">
      <alignment horizontal="center"/>
    </xf>
    <xf numFmtId="166" fontId="2" fillId="0" borderId="1" xfId="6" applyNumberFormat="1" applyBorder="1"/>
    <xf numFmtId="3" fontId="0" fillId="0" borderId="1" xfId="0" applyNumberFormat="1" applyBorder="1" applyAlignment="1">
      <alignment horizontal="center"/>
    </xf>
    <xf numFmtId="0" fontId="1" fillId="0" borderId="1" xfId="1" applyFont="1" applyBorder="1"/>
    <xf numFmtId="166" fontId="0" fillId="0" borderId="0" xfId="3" applyNumberFormat="1" applyFont="1" applyFill="1" applyBorder="1"/>
    <xf numFmtId="166" fontId="19" fillId="0" borderId="1" xfId="2" applyNumberFormat="1" applyFont="1" applyFill="1" applyBorder="1"/>
    <xf numFmtId="166" fontId="19" fillId="0" borderId="1" xfId="2" applyNumberFormat="1" applyFont="1" applyBorder="1" applyAlignment="1">
      <alignment horizontal="center"/>
    </xf>
    <xf numFmtId="166" fontId="1" fillId="0" borderId="1" xfId="6" applyNumberFormat="1" applyFont="1" applyBorder="1"/>
    <xf numFmtId="166" fontId="19" fillId="0" borderId="1" xfId="2" applyNumberFormat="1" applyFont="1" applyBorder="1"/>
    <xf numFmtId="9" fontId="0" fillId="0" borderId="0" xfId="4" applyFont="1" applyAlignment="1">
      <alignment horizontal="center"/>
    </xf>
    <xf numFmtId="43" fontId="0" fillId="0" borderId="0" xfId="3" applyFont="1"/>
    <xf numFmtId="43" fontId="0" fillId="0" borderId="0" xfId="3" applyFont="1" applyAlignment="1">
      <alignment horizontal="left" indent="1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43" fontId="6" fillId="5" borderId="1" xfId="2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center" vertical="center"/>
    </xf>
    <xf numFmtId="43" fontId="0" fillId="0" borderId="4" xfId="2" applyFont="1" applyBorder="1" applyAlignment="1">
      <alignment horizontal="center" vertical="center"/>
    </xf>
    <xf numFmtId="43" fontId="0" fillId="0" borderId="38" xfId="2" applyFont="1" applyBorder="1" applyAlignment="1">
      <alignment horizontal="center" vertical="center"/>
    </xf>
    <xf numFmtId="43" fontId="0" fillId="0" borderId="39" xfId="2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0" fontId="34" fillId="6" borderId="10" xfId="5" applyFont="1" applyFill="1" applyBorder="1" applyAlignment="1">
      <alignment horizontal="center" wrapText="1"/>
    </xf>
    <xf numFmtId="0" fontId="26" fillId="0" borderId="17" xfId="5" applyFont="1" applyBorder="1"/>
    <xf numFmtId="0" fontId="34" fillId="6" borderId="17" xfId="5" applyFont="1" applyFill="1" applyBorder="1" applyAlignment="1">
      <alignment horizontal="center" wrapText="1"/>
    </xf>
    <xf numFmtId="1" fontId="34" fillId="6" borderId="10" xfId="5" applyNumberFormat="1" applyFont="1" applyFill="1" applyBorder="1" applyAlignment="1">
      <alignment horizontal="center" wrapText="1"/>
    </xf>
    <xf numFmtId="0" fontId="34" fillId="6" borderId="15" xfId="5" applyFont="1" applyFill="1" applyBorder="1" applyAlignment="1">
      <alignment horizontal="center" wrapText="1"/>
    </xf>
    <xf numFmtId="0" fontId="26" fillId="0" borderId="20" xfId="5" applyFont="1" applyBorder="1"/>
    <xf numFmtId="0" fontId="25" fillId="0" borderId="7" xfId="5" applyFont="1" applyBorder="1" applyAlignment="1">
      <alignment horizontal="center" vertical="center" wrapText="1"/>
    </xf>
    <xf numFmtId="0" fontId="26" fillId="0" borderId="8" xfId="5" applyFont="1" applyBorder="1"/>
    <xf numFmtId="0" fontId="27" fillId="6" borderId="10" xfId="5" applyFont="1" applyFill="1" applyBorder="1" applyAlignment="1">
      <alignment horizontal="center" vertical="center" wrapText="1"/>
    </xf>
    <xf numFmtId="0" fontId="28" fillId="6" borderId="11" xfId="5" applyFont="1" applyFill="1" applyBorder="1" applyAlignment="1">
      <alignment horizontal="center" vertical="center" wrapText="1"/>
    </xf>
    <xf numFmtId="0" fontId="26" fillId="0" borderId="12" xfId="5" applyFont="1" applyBorder="1"/>
    <xf numFmtId="0" fontId="26" fillId="0" borderId="13" xfId="5" applyFont="1" applyBorder="1"/>
  </cellXfs>
  <cellStyles count="7">
    <cellStyle name="Comma" xfId="3" builtinId="3"/>
    <cellStyle name="Comma 2" xfId="2" xr:uid="{0CC508B1-10EA-4ACB-97A5-679063946328}"/>
    <cellStyle name="Normal" xfId="0" builtinId="0"/>
    <cellStyle name="Normal 2" xfId="1" xr:uid="{664D6E6D-93AC-495A-8EB6-FA896C435B09}"/>
    <cellStyle name="Normal 3" xfId="5" xr:uid="{D9B92914-B40F-4319-B8D7-C1FBD8B8EC12}"/>
    <cellStyle name="Normal 4" xfId="6" xr:uid="{CC8FD5CB-689A-4004-AE29-EFA8FC5C263B}"/>
    <cellStyle name="Percent" xfId="4" builtinId="5"/>
  </cellStyles>
  <dxfs count="2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76640</xdr:rowOff>
    </xdr:from>
    <xdr:to>
      <xdr:col>21</xdr:col>
      <xdr:colOff>397952</xdr:colOff>
      <xdr:row>88</xdr:row>
      <xdr:rowOff>134963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39DCE-4E13-7EFD-68DD-3396367A4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3" t="11175" r="12845"/>
        <a:stretch/>
      </xdr:blipFill>
      <xdr:spPr>
        <a:xfrm>
          <a:off x="0" y="6909792"/>
          <a:ext cx="13488753" cy="8656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47127</xdr:rowOff>
    </xdr:from>
    <xdr:to>
      <xdr:col>21</xdr:col>
      <xdr:colOff>591212</xdr:colOff>
      <xdr:row>138</xdr:row>
      <xdr:rowOff>112645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8E4A5-00C5-0C99-1BCE-E54E2A9CF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581" t="11089" r="14560" b="-569"/>
        <a:stretch/>
      </xdr:blipFill>
      <xdr:spPr>
        <a:xfrm>
          <a:off x="0" y="15853105"/>
          <a:ext cx="13680108" cy="867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200025</xdr:rowOff>
    </xdr:from>
    <xdr:ext cx="2714625" cy="514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4D96F5B7-67B8-4B41-93C6-026D5B4479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7230" y="201930"/>
          <a:ext cx="27146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0</xdr:row>
      <xdr:rowOff>971550</xdr:rowOff>
    </xdr:from>
    <xdr:ext cx="1828800" cy="50673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604B7236-2746-4DBB-8706-7949B4DCD06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79215" y="967740"/>
          <a:ext cx="1828800" cy="506730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rikreetha%20-%20Price%20List%20V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iam%20-%20Price%20List%20V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Ramintra%20-%20Price%20List%20V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ma%209%20-%20Price%20List%20V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Ladprao%20-%20Price%20List%20V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Patong%20-%20Price%20List%20V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Pattaya%20-%20Price%20List%20V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Bangsue%20-%20Price%20List%20V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tchada%20-%20Price%20List%20V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65683680556" createdVersion="8" refreshedVersion="8" minRefreshableVersion="3" recordCount="54" xr:uid="{8B1784D0-DC2B-4DB7-96E5-D3722B5FA226}">
  <cacheSource type="worksheet">
    <worksheetSource ref="A1:K55" sheet="Sheet1" r:id="rId2"/>
  </cacheSource>
  <cacheFields count="11">
    <cacheField name="SiteID" numFmtId="0">
      <sharedItems containsSemiMixedTypes="0" containsString="0" containsNumber="1" containsInteger="1" minValue="33118" maxValue="33118"/>
    </cacheField>
    <cacheField name="Type" numFmtId="0">
      <sharedItems count="10">
        <s v="Locker non air M lower"/>
        <s v="Locker non air M upper"/>
        <s v="PO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0" maxValue="6.5"/>
    </cacheField>
    <cacheField name="dcLength" numFmtId="0">
      <sharedItems containsSemiMixedTypes="0" containsString="0" containsNumber="1" minValue="0" maxValue="5.7"/>
    </cacheField>
    <cacheField name="UnitSize" numFmtId="0">
      <sharedItems count="51">
        <s v="1x0.6"/>
        <s v="0x0"/>
        <s v="2.5x4.5"/>
        <s v="3x4.5"/>
        <s v="3x4.8"/>
        <s v="3.2x4.5"/>
        <s v="3x5.2"/>
        <s v="3.5x4.5"/>
        <s v="3.6x4.5"/>
        <s v="3.4x4.8"/>
        <s v="2.5x2"/>
        <s v="2.8x1.8"/>
        <s v="2.3x2.2"/>
        <s v="2.6x2.3"/>
        <s v="3x2.3"/>
        <s v="2.4x3.1"/>
        <s v="2.5x3.1"/>
        <s v="3.6x2.2"/>
        <s v="2.6x3.1"/>
        <s v="2.6x3.2"/>
        <s v="2x4.4"/>
        <s v="2.6x3.6"/>
        <s v="2.3x1.3"/>
        <s v="1.5x2"/>
        <s v="2x1.5"/>
        <s v="1.5x2.5"/>
        <s v="2.5x1.5"/>
        <s v="1.7x2.3"/>
        <s v="2x2"/>
        <s v="2.8x1.5"/>
        <s v="2.5x1.7"/>
        <s v="2x2.2"/>
        <s v="2x2.3"/>
        <s v="2.3x2.1"/>
        <s v="4.9x4.4"/>
        <s v="6x4"/>
        <s v="4.3x5.7"/>
        <s v="4.8x5.2"/>
        <s v="5.4x4.8"/>
        <s v="6x4.4"/>
        <s v="1.4x1.1"/>
        <s v="1.2x1.5"/>
        <s v="1.1x1.8"/>
        <s v="1x2"/>
        <s v="1.3x1.6"/>
        <s v="1.1x1.9"/>
        <s v="2x1.2"/>
        <s v="6.5x5.7"/>
        <s v="1x1"/>
        <s v="1.1x1"/>
        <s v="1.4x1"/>
      </sharedItems>
    </cacheField>
    <cacheField name="Area" numFmtId="0">
      <sharedItems containsSemiMixedTypes="0" containsString="0" containsNumber="1" minValue="0" maxValue="37.049999999999997" count="48">
        <n v="0.6"/>
        <n v="0"/>
        <n v="11.25"/>
        <n v="13.5"/>
        <n v="14.4"/>
        <n v="15.6"/>
        <n v="15.75"/>
        <n v="16.2"/>
        <n v="16.32"/>
        <n v="5"/>
        <n v="5.04"/>
        <n v="5.0599999999999996"/>
        <n v="5.98"/>
        <n v="6.9"/>
        <n v="7.44"/>
        <n v="7.75"/>
        <n v="7.92"/>
        <n v="8.06"/>
        <n v="8.32"/>
        <n v="8.8000000000000007"/>
        <n v="9.36"/>
        <n v="2.99"/>
        <n v="3"/>
        <n v="3.75"/>
        <n v="3.91"/>
        <n v="4"/>
        <n v="4.2"/>
        <n v="4.25"/>
        <n v="4.4000000000000004"/>
        <n v="4.5999999999999996"/>
        <n v="4.83"/>
        <n v="21.56"/>
        <n v="24"/>
        <n v="24.51"/>
        <n v="24.96"/>
        <n v="25.92"/>
        <n v="26.4"/>
        <n v="1.54"/>
        <n v="1.8"/>
        <n v="1.98"/>
        <n v="2"/>
        <n v="2.08"/>
        <n v="2.09"/>
        <n v="2.4"/>
        <n v="37.049999999999997"/>
        <n v="1"/>
        <n v="1.1000000000000001"/>
        <n v="1.4"/>
      </sharedItems>
    </cacheField>
    <cacheField name="MonthlyRatePerSF" numFmtId="0">
      <sharedItems containsSemiMixedTypes="0" containsString="0" containsNumber="1" minValue="0" maxValue="2000"/>
    </cacheField>
    <cacheField name="PushRate" numFmtId="0">
      <sharedItems containsSemiMixedTypes="0" containsString="0" containsNumber="1" containsInteger="1" minValue="0" maxValue="24990"/>
    </cacheField>
    <cacheField name="StandardRate" numFmtId="0">
      <sharedItems containsSemiMixedTypes="0" containsString="0" containsNumber="1" minValue="0" maxValue="31800"/>
    </cacheField>
    <cacheField name="MonthlyTax" numFmtId="0">
      <sharedItems containsSemiMixedTypes="0" containsString="0" containsNumber="1" minValue="0" maxValue="2226"/>
    </cacheField>
    <cacheField name="MonthlyTotal" numFmtId="0">
      <sharedItems containsSemiMixedTypes="0" containsString="0" containsNumber="1" minValue="0" maxValue="34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360127315" createdVersion="8" refreshedVersion="8" minRefreshableVersion="3" recordCount="118" xr:uid="{EABF183D-7CE9-4601-9102-CB0CAA4C6080}">
  <cacheSource type="worksheet">
    <worksheetSource ref="A1:K119" sheet="Sheet1" r:id="rId2"/>
  </cacheSource>
  <cacheFields count="11">
    <cacheField name="SiteID" numFmtId="0">
      <sharedItems containsSemiMixedTypes="0" containsString="0" containsNumber="1" containsInteger="1" minValue="33598" maxValue="33598"/>
    </cacheField>
    <cacheField name="Type" numFmtId="0">
      <sharedItems count="16">
        <s v="Locker air cond L lower"/>
        <s v="Locker air cond L upper"/>
        <s v="Locker air cond M lower"/>
        <s v="Locker air cond M upper"/>
        <s v="Mini air cond  S"/>
        <s v="Mini air cond  XS"/>
        <s v="Mini air cond  XXS"/>
        <s v="POS"/>
        <s v="Sublet floor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8.1999999999999993"/>
    </cacheField>
    <cacheField name="UnitSize" numFmtId="0">
      <sharedItems count="110">
        <s v="1x1"/>
        <s v="1x0.6"/>
        <s v="2.5x1.1"/>
        <s v="2.5x1.2"/>
        <s v="2.1x1.5"/>
        <s v="1x1.5"/>
        <s v="1.5x1"/>
        <s v="1.4x1.1"/>
        <s v="1.6x1"/>
        <s v="1.5x1.1"/>
        <s v="1.7x1"/>
        <s v="1.6x1.1"/>
        <s v="1.5x1.2"/>
        <s v="1.8x1"/>
        <s v="1.9x1"/>
        <s v="1.6x1.2"/>
        <s v="2x1"/>
        <s v="2.3x0.9"/>
        <s v="1.5x1.4"/>
        <s v="1.6x1.4"/>
        <s v="2.3x1"/>
        <s v="1x0.8"/>
        <s v="1x0.9"/>
        <s v="1x1.1"/>
        <s v="1.1x1"/>
        <s v="1.5x0.8"/>
        <s v="1.4x0.9"/>
        <s v="1.5x0.9"/>
        <s v="1x1.4"/>
        <s v="1.4x1"/>
        <s v="0x0"/>
        <s v="0.1x0.1"/>
        <s v="2.3x4.8"/>
        <s v="3.4x3.3"/>
        <s v="3.8x3"/>
        <s v="4.1x2.8"/>
        <s v="2.4x4.8"/>
        <s v="4.2x2.8"/>
        <s v="4.6x2.8"/>
        <s v="3x4.3"/>
        <s v="4.7x2.8"/>
        <s v="4.8x2.8"/>
        <s v="5x2.8"/>
        <s v="5.1x2.8"/>
        <s v="4.8x3"/>
        <s v="3.4x4.5"/>
        <s v="6x2.8"/>
        <s v="3.1x5.9"/>
        <s v="4.2x4.4"/>
        <s v="6.7x2.8"/>
        <s v="3.2x5.9"/>
        <s v="6.8x2.8"/>
        <s v="1.8x2.8"/>
        <s v="2.1x2.5"/>
        <s v="2.5x2.1"/>
        <s v="2.3x2.3"/>
        <s v="2.3x2.4"/>
        <s v="1.7x3.4"/>
        <s v="1.8x3.4"/>
        <s v="2.3x2.7"/>
        <s v="2.4x2.6"/>
        <s v="2x3.2"/>
        <s v="2.5x2.6"/>
        <s v="2.1x3.1"/>
        <s v="2.1x3.2"/>
        <s v="2.4x3"/>
        <s v="4x2.3"/>
        <s v="2.1x4.4"/>
        <s v="2.2x4.4"/>
        <s v="4x2.6"/>
        <s v="2.2x4.9"/>
        <s v="1.6x1.6"/>
        <s v="1.7x1.6"/>
        <s v="2.1x1.3"/>
        <s v="2.3x1.2"/>
        <s v="1.5x1.9"/>
        <s v="2.4x1.2"/>
        <s v="2x1.5"/>
        <s v="1.6x1.9"/>
        <s v="1.8x1.7"/>
        <s v="1.5x2.2"/>
        <s v="1.5x2.3"/>
        <s v="1.4x2.5"/>
        <s v="1.3x2.7"/>
        <s v="1.6x2.2"/>
        <s v="2.1x1.7"/>
        <s v="2.2x1.7"/>
        <s v="1.4x2.7"/>
        <s v="1.6x2.7"/>
        <s v="2x2.2"/>
        <s v="2.5x1.8"/>
        <s v="2x2.3"/>
        <s v="1.8x2.6"/>
        <s v="2.4x2"/>
        <s v="4.7x4.4"/>
        <s v="8x2.8"/>
        <s v="3.5x7.1"/>
        <s v="6.7x4.3"/>
        <s v="1.3x1.2"/>
        <s v="1x1.6"/>
        <s v="1.2x1.5"/>
        <s v="1.2x1.6"/>
        <s v="1.5x1.5"/>
        <s v="1.8x1.3"/>
        <s v="1.5x1.6"/>
        <s v="1.6x1.5"/>
        <s v="4.3x8.2"/>
        <s v="7.4x4.9"/>
        <s v="10x4.2"/>
        <s v="1.2x1.2"/>
      </sharedItems>
    </cacheField>
    <cacheField name="Area" numFmtId="0">
      <sharedItems containsSemiMixedTypes="0" containsString="0" containsNumber="1" minValue="0" maxValue="42" count="100">
        <n v="1"/>
        <n v="0.6"/>
        <n v="2.75"/>
        <n v="3"/>
        <n v="3.15"/>
        <n v="1.5"/>
        <n v="1.54"/>
        <n v="1.6"/>
        <n v="1.65"/>
        <n v="1.7"/>
        <n v="1.76"/>
        <n v="1.8"/>
        <n v="1.9"/>
        <n v="1.92"/>
        <n v="2"/>
        <n v="2.0699999999999998"/>
        <n v="2.1"/>
        <n v="2.2400000000000002"/>
        <n v="2.2999999999999998"/>
        <n v="0.8"/>
        <n v="0.9"/>
        <n v="1.1000000000000001"/>
        <n v="1.2"/>
        <n v="1.26"/>
        <n v="1.35"/>
        <n v="1.4"/>
        <n v="0"/>
        <n v="0.01"/>
        <n v="11.04"/>
        <n v="11.22"/>
        <n v="11.4"/>
        <n v="11.48"/>
        <n v="11.52"/>
        <n v="11.76"/>
        <n v="12.88"/>
        <n v="12.9"/>
        <n v="13.16"/>
        <n v="13.44"/>
        <n v="14"/>
        <n v="14.28"/>
        <n v="14.4"/>
        <n v="15.3"/>
        <n v="16.8"/>
        <n v="18.29"/>
        <n v="18.48"/>
        <n v="18.760000000000002"/>
        <n v="18.88"/>
        <n v="19.04"/>
        <n v="5.04"/>
        <n v="5.25"/>
        <n v="5.29"/>
        <n v="5.52"/>
        <n v="5.78"/>
        <n v="6.12"/>
        <n v="6.21"/>
        <n v="6.24"/>
        <n v="6.4"/>
        <n v="6.5"/>
        <n v="6.51"/>
        <n v="6.72"/>
        <n v="7.2"/>
        <n v="9.1999999999999993"/>
        <n v="9.24"/>
        <n v="9.68"/>
        <n v="10.4"/>
        <n v="10.78"/>
        <n v="2.56"/>
        <n v="2.72"/>
        <n v="2.73"/>
        <n v="2.76"/>
        <n v="2.85"/>
        <n v="2.88"/>
        <n v="3.04"/>
        <n v="3.06"/>
        <n v="3.3"/>
        <n v="3.45"/>
        <n v="3.5"/>
        <n v="3.51"/>
        <n v="3.52"/>
        <n v="3.57"/>
        <n v="3.74"/>
        <n v="3.78"/>
        <n v="4.32"/>
        <n v="4.4000000000000004"/>
        <n v="4.5"/>
        <n v="4.5999999999999996"/>
        <n v="4.68"/>
        <n v="4.8"/>
        <n v="20.68"/>
        <n v="22.4"/>
        <n v="24.85"/>
        <n v="28.81"/>
        <n v="1.56"/>
        <n v="2.25"/>
        <n v="2.34"/>
        <n v="2.4"/>
        <n v="35.26"/>
        <n v="36.26"/>
        <n v="42"/>
        <n v="1.44"/>
      </sharedItems>
    </cacheField>
    <cacheField name="MonthlyRatePerSF" numFmtId="0">
      <sharedItems containsSemiMixedTypes="0" containsString="0" containsNumber="1" minValue="0" maxValue="1875"/>
    </cacheField>
    <cacheField name="PushRate" numFmtId="0">
      <sharedItems containsSemiMixedTypes="0" containsString="0" containsNumber="1" containsInteger="1" minValue="0" maxValue="28928"/>
    </cacheField>
    <cacheField name="StandardRate" numFmtId="0">
      <sharedItems containsSemiMixedTypes="0" containsString="0" containsNumber="1" minValue="0" maxValue="45000"/>
    </cacheField>
    <cacheField name="MonthlyTax" numFmtId="0">
      <sharedItems containsSemiMixedTypes="0" containsString="0" containsNumber="1" minValue="0" maxValue="3150"/>
    </cacheField>
    <cacheField name="MonthlyTotal" numFmtId="0">
      <sharedItems containsSemiMixedTypes="0" containsString="0" containsNumber="1" minValue="0" maxValue="48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1518171294" createdVersion="8" refreshedVersion="8" minRefreshableVersion="3" recordCount="62" xr:uid="{2FBE4C28-B182-49CC-BFB5-BE929490001E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38603" maxValue="38603"/>
    </cacheField>
    <cacheField name="Type" numFmtId="0">
      <sharedItems count="14">
        <s v="Locker non air L lower"/>
        <s v="Locker non air L upper"/>
        <s v="PoS"/>
        <s v="Walk in air cond  L"/>
        <s v="Walk in air cond  M"/>
        <s v="Walk in air cond  S"/>
        <s v="Walk in air cond  XS"/>
        <s v="Walk in air cond  XXS"/>
        <s v="Walk in non air  L"/>
        <s v="Walk in non air  M"/>
        <s v="Walk in non air  S"/>
        <s v="Walk in non air  XL"/>
        <s v="Walk in non air  XS"/>
        <s v="Walk in non air  XXS"/>
      </sharedItems>
    </cacheField>
    <cacheField name="dcWidth" numFmtId="0">
      <sharedItems containsSemiMixedTypes="0" containsString="0" containsNumber="1" minValue="0" maxValue="5.5"/>
    </cacheField>
    <cacheField name="dcLength" numFmtId="0">
      <sharedItems containsSemiMixedTypes="0" containsString="0" containsNumber="1" minValue="0" maxValue="6.6"/>
    </cacheField>
    <cacheField name="UnitSize" numFmtId="0">
      <sharedItems count="58">
        <s v="1x0.9"/>
        <s v="0x0"/>
        <s v="2.7x4.6"/>
        <s v="1.9x6.6"/>
        <s v="2.7x4.7"/>
        <s v="2.9x4.6"/>
        <s v="2.9x5.1"/>
        <s v="3.5x4.6"/>
        <s v="3x5.4"/>
        <s v="3.5x5.4"/>
        <s v="3.5x5.5"/>
        <s v="1.5x4.1"/>
        <s v="2.1x1.2"/>
        <s v="1.5x2"/>
        <s v="2.1x1.5"/>
        <s v="2.7x1.2"/>
        <s v="2.4x1.5"/>
        <s v="2.1x2"/>
        <s v="1x1.7"/>
        <s v="1.2x1.7"/>
        <s v="1x1.1"/>
        <s v="2.6x4.4"/>
        <s v="4.4x2.6"/>
        <s v="3.7x4"/>
        <s v="2.8x5.4"/>
        <s v="2.6x6.6"/>
        <s v="3.6x5.1"/>
        <s v="5.5x3.6"/>
        <s v="2.2x2.6"/>
        <s v="2x3.4"/>
        <s v="2.1x4"/>
        <s v="1.7x5.1"/>
        <s v="2.1x4.6"/>
        <s v="2.2x4.6"/>
        <s v="3x3.4"/>
        <s v="2.7x4"/>
        <s v="1.3x2.2"/>
        <s v="2.2x1.3"/>
        <s v="1.1x3.2"/>
        <s v="2x2.1"/>
        <s v="3.9x1.1"/>
        <s v="2.2x2"/>
        <s v="1.7x2.6"/>
        <s v="2.6x1.7"/>
        <s v="4.5x4.6"/>
        <s v="5.4x5.3"/>
        <s v="1x1.5"/>
        <s v="2.2x0.7"/>
        <s v="2x0.8"/>
        <s v="1x1.8"/>
        <s v="1x2"/>
        <s v="1x2.2"/>
        <s v="2x1.2"/>
        <s v="1x0.8"/>
        <s v="1x1"/>
        <s v="1.3x0.8"/>
        <s v="1x1.4"/>
        <s v="1.4x1"/>
      </sharedItems>
    </cacheField>
    <cacheField name="Area" numFmtId="0">
      <sharedItems containsSemiMixedTypes="0" containsString="0" containsNumber="1" minValue="0" maxValue="28.62" count="53">
        <n v="0.9"/>
        <n v="0"/>
        <n v="12.42"/>
        <n v="12.54"/>
        <n v="12.69"/>
        <n v="13.34"/>
        <n v="14.79"/>
        <n v="16.100000000000001"/>
        <n v="16.2"/>
        <n v="18.899999999999999"/>
        <n v="19.25"/>
        <n v="6.15"/>
        <n v="2.52"/>
        <n v="3"/>
        <n v="3.15"/>
        <n v="3.24"/>
        <n v="3.6"/>
        <n v="4.2"/>
        <n v="1.7"/>
        <n v="2.04"/>
        <n v="1.1000000000000001"/>
        <n v="11.44"/>
        <n v="14.8"/>
        <n v="15.12"/>
        <n v="17.16"/>
        <n v="18.36"/>
        <n v="19.8"/>
        <n v="5.72"/>
        <n v="6.8"/>
        <n v="8.4"/>
        <n v="8.67"/>
        <n v="9.66"/>
        <n v="10.119999999999999"/>
        <n v="10.199999999999999"/>
        <n v="10.8"/>
        <n v="2.86"/>
        <n v="3.52"/>
        <n v="4.29"/>
        <n v="4.4000000000000004"/>
        <n v="4.42"/>
        <n v="20.7"/>
        <n v="28.62"/>
        <n v="1.5"/>
        <n v="1.54"/>
        <n v="1.6"/>
        <n v="1.8"/>
        <n v="2"/>
        <n v="2.2000000000000002"/>
        <n v="2.4"/>
        <n v="0.8"/>
        <n v="1"/>
        <n v="1.04"/>
        <n v="1.4"/>
      </sharedItems>
    </cacheField>
    <cacheField name="MonthlyRatePerSF" numFmtId="0">
      <sharedItems containsSemiMixedTypes="0" containsString="0" containsNumber="1" minValue="0" maxValue="1562.5"/>
    </cacheField>
    <cacheField name="PushRate" numFmtId="0">
      <sharedItems containsSemiMixedTypes="0" containsString="0" containsNumber="1" containsInteger="1" minValue="0" maxValue="18480"/>
    </cacheField>
    <cacheField name="StandardRate" numFmtId="0">
      <sharedItems containsSemiMixedTypes="0" containsString="0" containsNumber="1" minValue="0" maxValue="27000"/>
    </cacheField>
    <cacheField name="MonthlyTax" numFmtId="0">
      <sharedItems containsSemiMixedTypes="0" containsString="0" containsNumber="1" minValue="0" maxValue="1890"/>
    </cacheField>
    <cacheField name="MonthlyTotal" numFmtId="0">
      <sharedItems containsSemiMixedTypes="0" containsString="0" containsNumber="1" minValue="0" maxValue="28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7329282409" createdVersion="8" refreshedVersion="8" minRefreshableVersion="3" recordCount="64" xr:uid="{DDE25EFE-FA81-4049-8160-4F230B56428A}">
  <cacheSource type="worksheet">
    <worksheetSource ref="A1:K65" sheet="Sheet1" r:id="rId2"/>
  </cacheSource>
  <cacheFields count="11">
    <cacheField name="SiteID" numFmtId="0">
      <sharedItems containsSemiMixedTypes="0" containsString="0" containsNumber="1" containsInteger="1" minValue="39821" maxValue="39821"/>
    </cacheField>
    <cacheField name="Type" numFmtId="0">
      <sharedItems count="10">
        <s v="Locker air cond L lower"/>
        <s v="Locker air cond L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6.5"/>
    </cacheField>
    <cacheField name="UnitSize" numFmtId="0">
      <sharedItems/>
    </cacheField>
    <cacheField name="Area" numFmtId="0">
      <sharedItems containsSemiMixedTypes="0" containsString="0" containsNumber="1" minValue="0" maxValue="51" count="62">
        <n v="1"/>
        <n v="0"/>
        <n v="11.4"/>
        <n v="12.35"/>
        <n v="12.69"/>
        <n v="12.96"/>
        <n v="16.25"/>
        <n v="17.399999999999999"/>
        <n v="19.2"/>
        <n v="5.04"/>
        <n v="5.51"/>
        <n v="6.12"/>
        <n v="6.58"/>
        <n v="7.05"/>
        <n v="7.65"/>
        <n v="7.83"/>
        <n v="7.99"/>
        <n v="8.0500000000000007"/>
        <n v="8.4"/>
        <n v="8.6999999999999993"/>
        <n v="8.99"/>
        <n v="9.4499999999999993"/>
        <n v="9.86"/>
        <n v="2.9"/>
        <n v="2.99"/>
        <n v="3"/>
        <n v="3.15"/>
        <n v="3.3"/>
        <n v="3.45"/>
        <n v="3.52"/>
        <n v="3.6"/>
        <n v="3.77"/>
        <n v="4.03"/>
        <n v="4.0599999999999996"/>
        <n v="4.32"/>
        <n v="4.8"/>
        <n v="4.93"/>
        <n v="20.149999999999999"/>
        <n v="20.48"/>
        <n v="20.8"/>
        <n v="22.95"/>
        <n v="26"/>
        <n v="1.56"/>
        <n v="1.6"/>
        <n v="1.65"/>
        <n v="1.7"/>
        <n v="1.9"/>
        <n v="1.95"/>
        <n v="2"/>
        <n v="2.08"/>
        <n v="2.09"/>
        <n v="2.1"/>
        <n v="33.6"/>
        <n v="34"/>
        <n v="36.4"/>
        <n v="51"/>
        <n v="1.1000000000000001"/>
        <n v="1.2"/>
        <n v="1.3"/>
        <n v="1.32"/>
        <n v="1.4"/>
        <n v="1.44"/>
      </sharedItems>
    </cacheField>
    <cacheField name="MonthlyRatePerSF" numFmtId="0">
      <sharedItems containsSemiMixedTypes="0" containsString="0" containsNumber="1" minValue="0" maxValue="1500"/>
    </cacheField>
    <cacheField name="PushRate" numFmtId="0">
      <sharedItems containsSemiMixedTypes="0" containsString="0" containsNumber="1" containsInteger="1" minValue="0" maxValue="26085"/>
    </cacheField>
    <cacheField name="StandardRate" numFmtId="0">
      <sharedItems containsSemiMixedTypes="0" containsString="0" containsNumber="1" minValue="0" maxValue="55000"/>
    </cacheField>
    <cacheField name="MonthlyTax" numFmtId="0">
      <sharedItems containsSemiMixedTypes="0" containsString="0" containsNumber="1" minValue="0" maxValue="3850"/>
    </cacheField>
    <cacheField name="MonthlyTotal" numFmtId="0">
      <sharedItems containsSemiMixedTypes="0" containsString="0" containsNumber="1" minValue="0" maxValue="58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0163194445" createdVersion="8" refreshedVersion="8" minRefreshableVersion="3" recordCount="62" xr:uid="{95049405-CB97-4099-82FB-8551C14F77D6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46299" maxValue="46299"/>
    </cacheField>
    <cacheField name="Type" numFmtId="0">
      <sharedItems count="11">
        <s v="Garage non air  L"/>
        <s v="Locker air cond M lower"/>
        <s v="Locker air cond M upper"/>
        <s v="Showroom air cond  XL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1" maxValue="5.9"/>
    </cacheField>
    <cacheField name="dcLength" numFmtId="0">
      <sharedItems containsSemiMixedTypes="0" containsString="0" containsNumber="1" minValue="0.6" maxValue="7.9"/>
    </cacheField>
    <cacheField name="UnitSize" numFmtId="0">
      <sharedItems/>
    </cacheField>
    <cacheField name="Area" numFmtId="0">
      <sharedItems containsSemiMixedTypes="0" containsString="0" containsNumber="1" minValue="0.6" maxValue="46.61" count="44">
        <n v="14.58"/>
        <n v="15.9"/>
        <n v="16.2"/>
        <n v="18.899999999999999"/>
        <n v="19.079999999999998"/>
        <n v="0.6"/>
        <n v="28.32"/>
        <n v="14.85"/>
        <n v="19.5"/>
        <n v="5.29"/>
        <n v="5.46"/>
        <n v="6.67"/>
        <n v="7.56"/>
        <n v="7.79"/>
        <n v="8.4"/>
        <n v="9.1"/>
        <n v="9.2799999999999994"/>
        <n v="2.64"/>
        <n v="2.88"/>
        <n v="3.06"/>
        <n v="3.08"/>
        <n v="3.22"/>
        <n v="3.61"/>
        <n v="3.74"/>
        <n v="3.92"/>
        <n v="4.08"/>
        <n v="4.5999999999999996"/>
        <n v="24.36"/>
        <n v="1.5"/>
        <n v="1.6"/>
        <n v="1.76"/>
        <n v="1.82"/>
        <n v="1.9"/>
        <n v="1.92"/>
        <n v="1.96"/>
        <n v="2"/>
        <n v="2.04"/>
        <n v="2.1"/>
        <n v="2.16"/>
        <n v="46.61"/>
        <n v="0.98"/>
        <n v="1"/>
        <n v="1.2"/>
        <n v="1.44"/>
      </sharedItems>
    </cacheField>
    <cacheField name="MonthlyRatePerSF" numFmtId="0">
      <sharedItems containsSemiMixedTypes="0" containsString="0" containsNumber="1" minValue="776.83609999999999" maxValue="1836.734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801.12" maxValue="57100"/>
    </cacheField>
    <cacheField name="MonthlyTax" numFmtId="0">
      <sharedItems containsSemiMixedTypes="0" containsString="0" containsNumber="1" minValue="56.078400000000002" maxValue="3997"/>
    </cacheField>
    <cacheField name="MonthlyTotal" numFmtId="0">
      <sharedItems containsSemiMixedTypes="0" containsString="0" containsNumber="1" minValue="857.19839999999999" maxValue="6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4488657409" createdVersion="8" refreshedVersion="8" minRefreshableVersion="3" recordCount="63" xr:uid="{B6F2B88E-3850-4EEB-B0A0-32FDF79E68E9}">
  <cacheSource type="worksheet">
    <worksheetSource ref="A1:K64" sheet="Sheet1" r:id="rId2"/>
  </cacheSource>
  <cacheFields count="11">
    <cacheField name="SiteID" numFmtId="0">
      <sharedItems containsSemiMixedTypes="0" containsString="0" containsNumber="1" containsInteger="1" minValue="49446" maxValue="49446"/>
    </cacheField>
    <cacheField name="Type" numFmtId="0">
      <sharedItems count="10">
        <s v="Garage non air  XL"/>
        <s v="Locker non air L lower"/>
        <s v="Locker non air L upper"/>
        <s v="Locker non air S lower"/>
        <s v="Locker non air S upper"/>
        <s v="POS"/>
        <s v="Walk in non air  L"/>
        <s v="Walk in non air  M"/>
        <s v="Walk in non air  S"/>
        <s v="Walk in non air  XS"/>
      </sharedItems>
    </cacheField>
    <cacheField name="dcWidth" numFmtId="0">
      <sharedItems containsSemiMixedTypes="0" containsString="0" containsNumber="1" minValue="0" maxValue="4.0999999999999996"/>
    </cacheField>
    <cacheField name="dcLength" numFmtId="0">
      <sharedItems containsSemiMixedTypes="0" containsString="0" containsNumber="1" minValue="0" maxValue="6.1"/>
    </cacheField>
    <cacheField name="UnitSize" numFmtId="0">
      <sharedItems/>
    </cacheField>
    <cacheField name="Area" numFmtId="0">
      <sharedItems containsSemiMixedTypes="0" containsString="0" containsNumber="1" minValue="0" maxValue="25.01" count="56">
        <n v="19.52"/>
        <n v="20.74"/>
        <n v="25.01"/>
        <n v="0.9"/>
        <n v="1"/>
        <n v="1.04"/>
        <n v="0.12"/>
        <n v="0"/>
        <n v="12.21"/>
        <n v="12.6"/>
        <n v="13.95"/>
        <n v="15.3"/>
        <n v="5.04"/>
        <n v="5.0599999999999996"/>
        <n v="5.94"/>
        <n v="6.24"/>
        <n v="6.76"/>
        <n v="6.82"/>
        <n v="6.84"/>
        <n v="6.9"/>
        <n v="7.04"/>
        <n v="7.5"/>
        <n v="7.56"/>
        <n v="7.6"/>
        <n v="8.17"/>
        <n v="8.9600000000000009"/>
        <n v="9.24"/>
        <n v="9.61"/>
        <n v="9.9"/>
        <n v="2.4700000000000002"/>
        <n v="2.56"/>
        <n v="3.08"/>
        <n v="3.2"/>
        <n v="3.3"/>
        <n v="3.84"/>
        <n v="4.1399999999999997"/>
        <n v="4.18"/>
        <n v="4.42"/>
        <n v="4.4800000000000004"/>
        <n v="4.5"/>
        <n v="4.5599999999999996"/>
        <n v="4.59"/>
        <n v="4.68"/>
        <n v="4.8"/>
        <n v="4.9400000000000004"/>
        <n v="2.0699999999999998"/>
        <n v="2.08"/>
        <n v="2.1"/>
        <n v="2.16"/>
        <n v="2.2400000000000002"/>
        <n v="2.2799999999999998"/>
        <n v="2.31"/>
        <n v="2.34"/>
        <n v="2.38"/>
        <n v="2.4"/>
        <n v="2.42"/>
      </sharedItems>
    </cacheField>
    <cacheField name="MonthlyRatePerSF" numFmtId="0">
      <sharedItems containsSemiMixedTypes="0" containsString="0" containsNumber="1" minValue="0" maxValue="4125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containsInteger="1" minValue="0" maxValue="17500"/>
    </cacheField>
    <cacheField name="MonthlyTax" numFmtId="0">
      <sharedItems containsSemiMixedTypes="0" containsString="0" containsNumber="1" containsInteger="1" minValue="0" maxValue="0"/>
    </cacheField>
    <cacheField name="MonthlyTotal" numFmtId="0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679085648" createdVersion="8" refreshedVersion="8" minRefreshableVersion="3" recordCount="39" xr:uid="{58CBAA8B-E767-49D2-BCF1-72EBA3651C1D}">
  <cacheSource type="worksheet">
    <worksheetSource ref="A1:K40" sheet="Sheet1" r:id="rId2"/>
  </cacheSource>
  <cacheFields count="11">
    <cacheField name="SiteID" numFmtId="0">
      <sharedItems containsSemiMixedTypes="0" containsString="0" containsNumber="1" containsInteger="1" minValue="50531" maxValue="50531"/>
    </cacheField>
    <cacheField name="Type" numFmtId="0">
      <sharedItems count="10">
        <s v="Locker air cond M lower"/>
        <s v="Locker air cond M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7.3"/>
    </cacheField>
    <cacheField name="dcLength" numFmtId="0">
      <sharedItems containsSemiMixedTypes="0" containsString="0" containsNumber="1" minValue="0" maxValue="5.6"/>
    </cacheField>
    <cacheField name="UnitSize" numFmtId="0">
      <sharedItems/>
    </cacheField>
    <cacheField name="Area" numFmtId="0">
      <sharedItems containsSemiMixedTypes="0" containsString="0" containsNumber="1" minValue="0" maxValue="35.04" count="35">
        <n v="0.6"/>
        <n v="3"/>
        <n v="0"/>
        <n v="16.555"/>
        <n v="16.77"/>
        <n v="4.8"/>
        <n v="4.95"/>
        <n v="5.98"/>
        <n v="9.6"/>
        <n v="10.23"/>
        <n v="2.7"/>
        <n v="2.76"/>
        <n v="2.85"/>
        <n v="2.9249999999999998"/>
        <n v="3.0154999999999998"/>
        <n v="3.04"/>
        <n v="3.08"/>
        <n v="3.12"/>
        <n v="3.7730000000000001"/>
        <n v="3.87"/>
        <n v="4.5590000000000002"/>
        <n v="24.99"/>
        <n v="1.04"/>
        <n v="1.5"/>
        <n v="1.92"/>
        <n v="1.9734"/>
        <n v="2.04"/>
        <n v="2.08"/>
        <n v="2.1"/>
        <n v="2.38"/>
        <n v="33.6"/>
        <n v="35.04"/>
        <n v="0.88"/>
        <n v="1"/>
        <n v="1.35"/>
      </sharedItems>
    </cacheField>
    <cacheField name="MonthlyRatePerSF" numFmtId="0">
      <sharedItems containsSemiMixedTypes="0" containsString="0" containsNumber="1" minValue="0" maxValue="1818.1818000000001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5300"/>
    </cacheField>
    <cacheField name="MonthlyTax" numFmtId="0">
      <sharedItems containsSemiMixedTypes="0" containsString="0" containsNumber="1" minValue="0" maxValue="1771"/>
    </cacheField>
    <cacheField name="MonthlyTotal" numFmtId="0">
      <sharedItems containsSemiMixedTypes="0" containsString="0" containsNumber="1" minValue="0" maxValue="2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8951273148" createdVersion="8" refreshedVersion="8" minRefreshableVersion="3" recordCount="69" xr:uid="{F1C76236-704E-45C1-AFB2-900370FB271D}">
  <cacheSource type="worksheet">
    <worksheetSource ref="A1:K70" sheet="Sheet1" r:id="rId2"/>
  </cacheSource>
  <cacheFields count="11">
    <cacheField name="SiteID" numFmtId="0">
      <sharedItems containsSemiMixedTypes="0" containsString="0" containsNumber="1" containsInteger="1" minValue="51119" maxValue="51119"/>
    </cacheField>
    <cacheField name="Type" numFmtId="0">
      <sharedItems count="20">
        <s v="Garage non air  L"/>
        <s v="Garage non air  XXL"/>
        <s v="Locker air cond M lower"/>
        <s v="Locker air cond M upper"/>
        <s v="Locker non air M lower"/>
        <s v="Locker non air M upper"/>
        <s v="Walk in air cond  L"/>
        <s v="Walk in air cond  M"/>
        <s v="Walk in air cond  S"/>
        <s v="Walk in air cond  XL"/>
        <s v="Walk in air cond  XS"/>
        <s v="Walk in air cond  XXL"/>
        <s v="Walk in air cond  XX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1" maxValue="7.5"/>
    </cacheField>
    <cacheField name="dcLength" numFmtId="0">
      <sharedItems containsSemiMixedTypes="0" containsString="0" containsNumber="1" minValue="0.6" maxValue="12.8"/>
    </cacheField>
    <cacheField name="UnitSize" numFmtId="0">
      <sharedItems/>
    </cacheField>
    <cacheField name="Area" numFmtId="0">
      <sharedItems containsSemiMixedTypes="0" containsString="0" containsNumber="1" minValue="0.6" maxValue="51.2" count="40">
        <n v="15.08"/>
        <n v="30.16"/>
        <n v="0.6"/>
        <n v="14.1"/>
        <n v="14.57"/>
        <n v="15.05"/>
        <n v="15.91"/>
        <n v="17.5"/>
        <n v="5.04"/>
        <n v="6"/>
        <n v="7.84"/>
        <n v="9.0299999999999994"/>
        <n v="10.08"/>
        <n v="10.5"/>
        <n v="2.88"/>
        <n v="26.25"/>
        <n v="26.46"/>
        <n v="1.8"/>
        <n v="1.9"/>
        <n v="1.92"/>
        <n v="1.98"/>
        <n v="2.04"/>
        <n v="51.2"/>
        <n v="1"/>
        <n v="1.1000000000000001"/>
        <n v="1.2"/>
        <n v="1.3"/>
        <n v="1.44"/>
        <n v="14.19"/>
        <n v="14.7"/>
        <n v="14.96"/>
        <n v="5.75"/>
        <n v="7.29"/>
        <n v="9.8000000000000007"/>
        <n v="10.15"/>
        <n v="10.32"/>
        <n v="25.9"/>
        <n v="2.09"/>
        <n v="0.99"/>
        <n v="1.08"/>
      </sharedItems>
    </cacheField>
    <cacheField name="MonthlyRatePerSF" numFmtId="0">
      <sharedItems containsSemiMixedTypes="0" containsString="0" containsNumber="1" minValue="857.42179999999996" maxValue="1500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614.21" maxValue="51200"/>
    </cacheField>
    <cacheField name="MonthlyTax" numFmtId="0">
      <sharedItems containsSemiMixedTypes="0" containsString="0" containsNumber="1" minValue="42.994700000000002" maxValue="3584"/>
    </cacheField>
    <cacheField name="MonthlyTotal" numFmtId="0">
      <sharedItems containsSemiMixedTypes="0" containsString="0" containsNumber="1" minValue="657.2047" maxValue="54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0233564817" createdVersion="8" refreshedVersion="8" minRefreshableVersion="3" recordCount="55" xr:uid="{86B575A0-541E-4235-9E5E-E77E0A20AA68}">
  <cacheSource type="worksheet">
    <worksheetSource ref="A1:K56" sheet="Sheet1" r:id="rId2"/>
  </cacheSource>
  <cacheFields count="11">
    <cacheField name="SiteID" numFmtId="0">
      <sharedItems containsSemiMixedTypes="0" containsString="0" containsNumber="1" containsInteger="1" minValue="51752" maxValue="51752"/>
    </cacheField>
    <cacheField name="Type" numFmtId="0">
      <sharedItems count="14">
        <s v="Locker air cond L lower"/>
        <s v="Locker air cond L upper"/>
        <s v="Locker air cond M lower"/>
        <s v="Locker air cond M upper"/>
        <s v="POS"/>
        <s v="POS2"/>
        <s v="POS3"/>
        <s v="walk in"/>
        <s v="Walk in air cond  L"/>
        <s v="Walk in air cond  M"/>
        <s v="Walk in air cond  S"/>
        <s v="Walk in air cond  XL"/>
        <s v="Walk in air cond  XS"/>
        <s v="Walk in air cond  XXS"/>
      </sharedItems>
    </cacheField>
    <cacheField name="dcWidth" numFmtId="0">
      <sharedItems containsSemiMixedTypes="0" containsString="0" containsNumber="1" minValue="0" maxValue="5.6"/>
    </cacheField>
    <cacheField name="dcLength" numFmtId="0">
      <sharedItems containsSemiMixedTypes="0" containsString="0" containsNumber="1" minValue="0" maxValue="5.2"/>
    </cacheField>
    <cacheField name="UnitSize" numFmtId="0">
      <sharedItems/>
    </cacheField>
    <cacheField name="Area" numFmtId="0">
      <sharedItems containsSemiMixedTypes="0" containsString="0" containsNumber="1" minValue="0" maxValue="25.48" count="38">
        <n v="1.02"/>
        <n v="0.6"/>
        <n v="0.78"/>
        <n v="0"/>
        <n v="1"/>
        <n v="11.16"/>
        <n v="11.61"/>
        <n v="13.6"/>
        <n v="14.06"/>
        <n v="15.54"/>
        <n v="17.760000000000002"/>
        <n v="5"/>
        <n v="5.46"/>
        <n v="8"/>
        <n v="9.7200000000000006"/>
        <n v="10.15"/>
        <n v="10.36"/>
        <n v="2.52"/>
        <n v="2.7"/>
        <n v="2.94"/>
        <n v="3"/>
        <n v="3.25"/>
        <n v="4"/>
        <n v="4.62"/>
        <n v="4.8"/>
        <n v="24.96"/>
        <n v="25.2"/>
        <n v="25.48"/>
        <n v="1.5"/>
        <n v="1.8"/>
        <n v="1.9"/>
        <n v="1.98"/>
        <n v="2"/>
        <n v="2.1"/>
        <n v="2.16"/>
        <n v="2.25"/>
        <n v="2.34"/>
        <n v="0.99"/>
      </sharedItems>
    </cacheField>
    <cacheField name="MonthlyRatePerSF" numFmtId="0">
      <sharedItems containsSemiMixedTypes="0" containsString="0" containsNumber="1" minValue="0" maxValue="1666.666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7300"/>
    </cacheField>
    <cacheField name="MonthlyTax" numFmtId="0">
      <sharedItems containsSemiMixedTypes="0" containsString="0" containsNumber="1" minValue="0" maxValue="1911"/>
    </cacheField>
    <cacheField name="MonthlyTotal" numFmtId="0">
      <sharedItems containsSemiMixedTypes="0" containsString="0" containsNumber="1" minValue="0" maxValue="29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33118"/>
    <x v="0"/>
    <n v="1"/>
    <n v="0.6"/>
    <x v="0"/>
    <x v="0"/>
    <n v="1101.55"/>
    <n v="0"/>
    <n v="660.93"/>
    <n v="46.265099999999997"/>
    <n v="707.19510000000002"/>
  </r>
  <r>
    <n v="33118"/>
    <x v="1"/>
    <n v="1"/>
    <n v="0.6"/>
    <x v="0"/>
    <x v="0"/>
    <n v="945.8"/>
    <n v="0"/>
    <n v="567.48"/>
    <n v="39.723599999999998"/>
    <n v="607.20360000000005"/>
  </r>
  <r>
    <n v="33118"/>
    <x v="2"/>
    <n v="0"/>
    <n v="0"/>
    <x v="1"/>
    <x v="1"/>
    <n v="0"/>
    <n v="0"/>
    <n v="0"/>
    <n v="0"/>
    <n v="0"/>
  </r>
  <r>
    <n v="33118"/>
    <x v="3"/>
    <n v="2.5"/>
    <n v="4.5"/>
    <x v="2"/>
    <x v="2"/>
    <n v="933.33330000000001"/>
    <n v="11340"/>
    <n v="10500"/>
    <n v="735"/>
    <n v="11235"/>
  </r>
  <r>
    <n v="33118"/>
    <x v="3"/>
    <n v="3"/>
    <n v="4.5"/>
    <x v="3"/>
    <x v="3"/>
    <n v="925.92589999999996"/>
    <n v="12750"/>
    <n v="12500"/>
    <n v="875"/>
    <n v="13375"/>
  </r>
  <r>
    <n v="33118"/>
    <x v="3"/>
    <n v="3"/>
    <n v="4.8"/>
    <x v="4"/>
    <x v="4"/>
    <n v="930.55550000000005"/>
    <n v="14204"/>
    <n v="13400"/>
    <n v="938"/>
    <n v="14338"/>
  </r>
  <r>
    <n v="33118"/>
    <x v="3"/>
    <n v="3.2"/>
    <n v="4.5"/>
    <x v="5"/>
    <x v="4"/>
    <n v="930.55550000000005"/>
    <n v="0"/>
    <n v="13400"/>
    <n v="938"/>
    <n v="14338"/>
  </r>
  <r>
    <n v="33118"/>
    <x v="3"/>
    <n v="3"/>
    <n v="5.2"/>
    <x v="6"/>
    <x v="5"/>
    <n v="948.71789999999999"/>
    <n v="0"/>
    <n v="14800"/>
    <n v="1036"/>
    <n v="15836"/>
  </r>
  <r>
    <n v="33118"/>
    <x v="3"/>
    <n v="3.5"/>
    <n v="4.5"/>
    <x v="7"/>
    <x v="6"/>
    <n v="939.6825"/>
    <n v="15096"/>
    <n v="14800"/>
    <n v="1036"/>
    <n v="15836"/>
  </r>
  <r>
    <n v="33118"/>
    <x v="3"/>
    <n v="3.6"/>
    <n v="4.5"/>
    <x v="8"/>
    <x v="7"/>
    <n v="938.27160000000003"/>
    <n v="0"/>
    <n v="15200"/>
    <n v="1064"/>
    <n v="16264"/>
  </r>
  <r>
    <n v="33118"/>
    <x v="3"/>
    <n v="3.4"/>
    <n v="4.8"/>
    <x v="9"/>
    <x v="8"/>
    <n v="931.37249999999995"/>
    <n v="16416"/>
    <n v="15200"/>
    <n v="1064"/>
    <n v="16264"/>
  </r>
  <r>
    <n v="33118"/>
    <x v="4"/>
    <n v="2.5"/>
    <n v="2"/>
    <x v="10"/>
    <x v="9"/>
    <n v="1040"/>
    <n v="0"/>
    <n v="5200"/>
    <n v="364"/>
    <n v="5564"/>
  </r>
  <r>
    <n v="33118"/>
    <x v="4"/>
    <n v="2.8"/>
    <n v="1.8"/>
    <x v="11"/>
    <x v="10"/>
    <n v="1031.7460000000001"/>
    <n v="0"/>
    <n v="5200"/>
    <n v="364"/>
    <n v="5564"/>
  </r>
  <r>
    <n v="33118"/>
    <x v="4"/>
    <n v="2.2999999999999998"/>
    <n v="2.2000000000000002"/>
    <x v="12"/>
    <x v="11"/>
    <n v="1027.6678999999999"/>
    <n v="5564"/>
    <n v="5200"/>
    <n v="364"/>
    <n v="5564"/>
  </r>
  <r>
    <n v="33118"/>
    <x v="4"/>
    <n v="2.6"/>
    <n v="2.2999999999999998"/>
    <x v="13"/>
    <x v="12"/>
    <n v="1036.7891999999999"/>
    <n v="0"/>
    <n v="6200"/>
    <n v="434"/>
    <n v="6634"/>
  </r>
  <r>
    <n v="33118"/>
    <x v="4"/>
    <n v="3"/>
    <n v="2.2999999999999998"/>
    <x v="14"/>
    <x v="13"/>
    <n v="1028.9855"/>
    <n v="0"/>
    <n v="7100"/>
    <n v="497"/>
    <n v="7597"/>
  </r>
  <r>
    <n v="33118"/>
    <x v="4"/>
    <n v="2.4"/>
    <n v="3.1"/>
    <x v="15"/>
    <x v="14"/>
    <n v="1048.3869999999999"/>
    <n v="0"/>
    <n v="7800"/>
    <n v="546"/>
    <n v="8346"/>
  </r>
  <r>
    <n v="33118"/>
    <x v="4"/>
    <n v="2.5"/>
    <n v="3.1"/>
    <x v="16"/>
    <x v="15"/>
    <n v="1032.258"/>
    <n v="0"/>
    <n v="8000"/>
    <n v="560"/>
    <n v="8560"/>
  </r>
  <r>
    <n v="33118"/>
    <x v="4"/>
    <n v="3.6"/>
    <n v="2.2000000000000002"/>
    <x v="17"/>
    <x v="16"/>
    <n v="1010.101"/>
    <n v="0"/>
    <n v="8000"/>
    <n v="560"/>
    <n v="8560"/>
  </r>
  <r>
    <n v="33118"/>
    <x v="4"/>
    <n v="2.6"/>
    <n v="3.1"/>
    <x v="18"/>
    <x v="17"/>
    <n v="1017.3697"/>
    <n v="8364"/>
    <n v="8200"/>
    <n v="574"/>
    <n v="8774"/>
  </r>
  <r>
    <n v="33118"/>
    <x v="4"/>
    <n v="2.6"/>
    <n v="3.2"/>
    <x v="19"/>
    <x v="18"/>
    <n v="997.59609999999998"/>
    <n v="0"/>
    <n v="8300"/>
    <n v="581"/>
    <n v="8881"/>
  </r>
  <r>
    <n v="33118"/>
    <x v="4"/>
    <n v="2"/>
    <n v="4.4000000000000004"/>
    <x v="20"/>
    <x v="19"/>
    <n v="1000"/>
    <n v="9064"/>
    <n v="8800"/>
    <n v="616"/>
    <n v="9416"/>
  </r>
  <r>
    <n v="33118"/>
    <x v="4"/>
    <n v="2.6"/>
    <n v="3.6"/>
    <x v="21"/>
    <x v="20"/>
    <n v="993.58969999999999"/>
    <n v="0"/>
    <n v="9300"/>
    <n v="651"/>
    <n v="9951"/>
  </r>
  <r>
    <n v="33118"/>
    <x v="5"/>
    <n v="2.2999999999999998"/>
    <n v="1.3"/>
    <x v="22"/>
    <x v="21"/>
    <n v="1204.0133000000001"/>
    <n v="3744"/>
    <n v="3600"/>
    <n v="252"/>
    <n v="3852"/>
  </r>
  <r>
    <n v="33118"/>
    <x v="5"/>
    <n v="1.5"/>
    <n v="2"/>
    <x v="23"/>
    <x v="22"/>
    <n v="1200"/>
    <n v="0"/>
    <n v="3600"/>
    <n v="252"/>
    <n v="3852"/>
  </r>
  <r>
    <n v="33118"/>
    <x v="5"/>
    <n v="2"/>
    <n v="1.5"/>
    <x v="24"/>
    <x v="22"/>
    <n v="1200"/>
    <n v="0"/>
    <n v="3600"/>
    <n v="252"/>
    <n v="3852"/>
  </r>
  <r>
    <n v="33118"/>
    <x v="5"/>
    <n v="1.5"/>
    <n v="2.5"/>
    <x v="25"/>
    <x v="23"/>
    <n v="1066.6666"/>
    <n v="0"/>
    <n v="4000"/>
    <n v="280"/>
    <n v="4280"/>
  </r>
  <r>
    <n v="33118"/>
    <x v="5"/>
    <n v="2.5"/>
    <n v="1.5"/>
    <x v="26"/>
    <x v="23"/>
    <n v="1066.6666"/>
    <n v="0"/>
    <n v="4000"/>
    <n v="280"/>
    <n v="4280"/>
  </r>
  <r>
    <n v="33118"/>
    <x v="5"/>
    <n v="1.7"/>
    <n v="2.2999999999999998"/>
    <x v="27"/>
    <x v="24"/>
    <n v="1023.0179000000001"/>
    <n v="0"/>
    <n v="4000"/>
    <n v="280"/>
    <n v="4280"/>
  </r>
  <r>
    <n v="33118"/>
    <x v="5"/>
    <n v="2"/>
    <n v="2"/>
    <x v="28"/>
    <x v="25"/>
    <n v="1125"/>
    <n v="0"/>
    <n v="4500"/>
    <n v="315"/>
    <n v="4815"/>
  </r>
  <r>
    <n v="33118"/>
    <x v="5"/>
    <n v="2.8"/>
    <n v="1.5"/>
    <x v="29"/>
    <x v="26"/>
    <n v="1071.4285"/>
    <n v="0"/>
    <n v="4500"/>
    <n v="315"/>
    <n v="4815"/>
  </r>
  <r>
    <n v="33118"/>
    <x v="5"/>
    <n v="2.5"/>
    <n v="1.7"/>
    <x v="30"/>
    <x v="27"/>
    <n v="1058.8235"/>
    <n v="0"/>
    <n v="4500"/>
    <n v="315"/>
    <n v="4815"/>
  </r>
  <r>
    <n v="33118"/>
    <x v="5"/>
    <n v="2"/>
    <n v="2.2000000000000002"/>
    <x v="31"/>
    <x v="28"/>
    <n v="1068.1818000000001"/>
    <n v="0"/>
    <n v="4700"/>
    <n v="329"/>
    <n v="5029"/>
  </r>
  <r>
    <n v="33118"/>
    <x v="5"/>
    <n v="2"/>
    <n v="2.2999999999999998"/>
    <x v="32"/>
    <x v="29"/>
    <n v="1021.7391"/>
    <n v="0"/>
    <n v="4700"/>
    <n v="329"/>
    <n v="5029"/>
  </r>
  <r>
    <n v="33118"/>
    <x v="5"/>
    <n v="2.2999999999999998"/>
    <n v="2.1"/>
    <x v="33"/>
    <x v="30"/>
    <n v="973.08479999999997"/>
    <n v="0"/>
    <n v="4700"/>
    <n v="329"/>
    <n v="5029"/>
  </r>
  <r>
    <n v="33118"/>
    <x v="6"/>
    <n v="4.9000000000000004"/>
    <n v="4.4000000000000004"/>
    <x v="34"/>
    <x v="31"/>
    <n v="932.28200000000004"/>
    <n v="0"/>
    <n v="20100"/>
    <n v="1407"/>
    <n v="21507"/>
  </r>
  <r>
    <n v="33118"/>
    <x v="6"/>
    <n v="6"/>
    <n v="4"/>
    <x v="35"/>
    <x v="32"/>
    <n v="916.66660000000002"/>
    <n v="0"/>
    <n v="22000"/>
    <n v="1540"/>
    <n v="23540"/>
  </r>
  <r>
    <n v="33118"/>
    <x v="6"/>
    <n v="4.3"/>
    <n v="5.7"/>
    <x v="36"/>
    <x v="33"/>
    <n v="897.59280000000001"/>
    <n v="0"/>
    <n v="22000"/>
    <n v="1540"/>
    <n v="23540"/>
  </r>
  <r>
    <n v="33118"/>
    <x v="6"/>
    <n v="4.8"/>
    <n v="5.2"/>
    <x v="37"/>
    <x v="34"/>
    <n v="929.48710000000005"/>
    <n v="0"/>
    <n v="23200"/>
    <n v="1624"/>
    <n v="24824"/>
  </r>
  <r>
    <n v="33118"/>
    <x v="6"/>
    <n v="5.4"/>
    <n v="4.8"/>
    <x v="38"/>
    <x v="35"/>
    <n v="933.64189999999996"/>
    <n v="0"/>
    <n v="24200"/>
    <n v="1694"/>
    <n v="25894"/>
  </r>
  <r>
    <n v="33118"/>
    <x v="6"/>
    <n v="6"/>
    <n v="4.4000000000000004"/>
    <x v="39"/>
    <x v="36"/>
    <n v="928.03030000000001"/>
    <n v="24990"/>
    <n v="24500"/>
    <n v="1715"/>
    <n v="26215"/>
  </r>
  <r>
    <n v="33118"/>
    <x v="7"/>
    <n v="1.4"/>
    <n v="1.1000000000000001"/>
    <x v="40"/>
    <x v="37"/>
    <n v="974.02589999999998"/>
    <n v="1620"/>
    <n v="1500"/>
    <n v="105"/>
    <n v="1605"/>
  </r>
  <r>
    <n v="33118"/>
    <x v="7"/>
    <n v="1.2"/>
    <n v="1.5"/>
    <x v="41"/>
    <x v="38"/>
    <n v="1000"/>
    <n v="0"/>
    <n v="1800"/>
    <n v="126"/>
    <n v="1926"/>
  </r>
  <r>
    <n v="33118"/>
    <x v="7"/>
    <n v="1.1000000000000001"/>
    <n v="1.8"/>
    <x v="42"/>
    <x v="39"/>
    <n v="1111.1111000000001"/>
    <n v="2376"/>
    <n v="2200"/>
    <n v="154"/>
    <n v="2354"/>
  </r>
  <r>
    <n v="33118"/>
    <x v="7"/>
    <n v="1"/>
    <n v="2"/>
    <x v="43"/>
    <x v="40"/>
    <n v="1100"/>
    <n v="0"/>
    <n v="2200"/>
    <n v="154"/>
    <n v="2354"/>
  </r>
  <r>
    <n v="33118"/>
    <x v="7"/>
    <n v="1.3"/>
    <n v="1.6"/>
    <x v="44"/>
    <x v="41"/>
    <n v="1057.6922999999999"/>
    <n v="2376"/>
    <n v="2200"/>
    <n v="154"/>
    <n v="2354"/>
  </r>
  <r>
    <n v="33118"/>
    <x v="7"/>
    <n v="1.1000000000000001"/>
    <n v="1.9"/>
    <x v="45"/>
    <x v="42"/>
    <n v="1052.6315"/>
    <n v="2398"/>
    <n v="2200"/>
    <n v="154"/>
    <n v="2354"/>
  </r>
  <r>
    <n v="33118"/>
    <x v="7"/>
    <n v="2"/>
    <n v="1.2"/>
    <x v="46"/>
    <x v="43"/>
    <n v="1000"/>
    <n v="0"/>
    <n v="2400"/>
    <n v="168"/>
    <n v="2568"/>
  </r>
  <r>
    <n v="33118"/>
    <x v="8"/>
    <n v="6.5"/>
    <n v="5.7"/>
    <x v="47"/>
    <x v="44"/>
    <n v="858.29949999999997"/>
    <n v="0"/>
    <n v="31800"/>
    <n v="2226"/>
    <n v="34026"/>
  </r>
  <r>
    <n v="33118"/>
    <x v="9"/>
    <n v="1"/>
    <n v="0.6"/>
    <x v="0"/>
    <x v="0"/>
    <n v="2000"/>
    <n v="0"/>
    <n v="1200"/>
    <n v="84"/>
    <n v="1284"/>
  </r>
  <r>
    <n v="33118"/>
    <x v="9"/>
    <n v="1"/>
    <n v="1"/>
    <x v="48"/>
    <x v="45"/>
    <n v="1300"/>
    <n v="0"/>
    <n v="1300"/>
    <n v="91"/>
    <n v="1391"/>
  </r>
  <r>
    <n v="33118"/>
    <x v="9"/>
    <n v="1"/>
    <n v="1"/>
    <x v="48"/>
    <x v="45"/>
    <n v="1400"/>
    <n v="0"/>
    <n v="1400"/>
    <n v="98"/>
    <n v="1498"/>
  </r>
  <r>
    <n v="33118"/>
    <x v="9"/>
    <n v="1.1000000000000001"/>
    <n v="1"/>
    <x v="49"/>
    <x v="46"/>
    <n v="1181.8181"/>
    <n v="0"/>
    <n v="1300"/>
    <n v="91"/>
    <n v="1391"/>
  </r>
  <r>
    <n v="33118"/>
    <x v="9"/>
    <n v="1.4"/>
    <n v="1"/>
    <x v="50"/>
    <x v="47"/>
    <n v="1071.4285"/>
    <n v="0"/>
    <n v="1500"/>
    <n v="105"/>
    <n v="1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33598"/>
    <x v="0"/>
    <n v="1"/>
    <n v="1"/>
    <x v="0"/>
    <x v="0"/>
    <n v="988.04"/>
    <n v="0"/>
    <n v="988.04"/>
    <n v="69.162800000000004"/>
    <n v="1057.2028"/>
  </r>
  <r>
    <n v="33598"/>
    <x v="1"/>
    <n v="1"/>
    <n v="1"/>
    <x v="0"/>
    <x v="0"/>
    <n v="847.85"/>
    <n v="0"/>
    <n v="847.85"/>
    <n v="59.349499999999999"/>
    <n v="907.19949999999994"/>
  </r>
  <r>
    <n v="33598"/>
    <x v="2"/>
    <n v="1"/>
    <n v="0.6"/>
    <x v="1"/>
    <x v="1"/>
    <n v="1646.7333000000001"/>
    <n v="0"/>
    <n v="988.04"/>
    <n v="69.162800000000004"/>
    <n v="1057.2028"/>
  </r>
  <r>
    <n v="33598"/>
    <x v="3"/>
    <n v="1"/>
    <n v="0.6"/>
    <x v="1"/>
    <x v="1"/>
    <n v="1023.6833"/>
    <n v="0"/>
    <n v="614.21"/>
    <n v="42.994700000000002"/>
    <n v="657.2047"/>
  </r>
  <r>
    <n v="33598"/>
    <x v="3"/>
    <n v="1"/>
    <n v="0.6"/>
    <x v="1"/>
    <x v="1"/>
    <n v="1413.0833"/>
    <n v="0"/>
    <n v="847.85"/>
    <n v="59.349499999999999"/>
    <n v="907.19949999999994"/>
  </r>
  <r>
    <n v="33598"/>
    <x v="4"/>
    <n v="2.5"/>
    <n v="1.1000000000000001"/>
    <x v="2"/>
    <x v="2"/>
    <n v="1127.2727"/>
    <n v="0"/>
    <n v="3100"/>
    <n v="217"/>
    <n v="3317"/>
  </r>
  <r>
    <n v="33598"/>
    <x v="4"/>
    <n v="2.5"/>
    <n v="1.2"/>
    <x v="3"/>
    <x v="3"/>
    <n v="1133.3333"/>
    <n v="0"/>
    <n v="3400"/>
    <n v="238"/>
    <n v="3638"/>
  </r>
  <r>
    <n v="33598"/>
    <x v="4"/>
    <n v="2.1"/>
    <n v="1.5"/>
    <x v="4"/>
    <x v="4"/>
    <n v="1079.365"/>
    <n v="0"/>
    <n v="3400"/>
    <n v="238"/>
    <n v="3638"/>
  </r>
  <r>
    <n v="33598"/>
    <x v="5"/>
    <n v="1"/>
    <n v="1.5"/>
    <x v="5"/>
    <x v="5"/>
    <n v="1200"/>
    <n v="0"/>
    <n v="1800"/>
    <n v="126"/>
    <n v="1926"/>
  </r>
  <r>
    <n v="33598"/>
    <x v="5"/>
    <n v="1.5"/>
    <n v="1"/>
    <x v="6"/>
    <x v="5"/>
    <n v="1200"/>
    <n v="0"/>
    <n v="1800"/>
    <n v="126"/>
    <n v="1926"/>
  </r>
  <r>
    <n v="33598"/>
    <x v="5"/>
    <n v="1.4"/>
    <n v="1.1000000000000001"/>
    <x v="7"/>
    <x v="6"/>
    <n v="1168.8311000000001"/>
    <n v="0"/>
    <n v="1800"/>
    <n v="126"/>
    <n v="1926"/>
  </r>
  <r>
    <n v="33598"/>
    <x v="5"/>
    <n v="1.6"/>
    <n v="1"/>
    <x v="8"/>
    <x v="7"/>
    <n v="1187.5"/>
    <n v="0"/>
    <n v="1900"/>
    <n v="133"/>
    <n v="2033"/>
  </r>
  <r>
    <n v="33598"/>
    <x v="5"/>
    <n v="1.5"/>
    <n v="1.1000000000000001"/>
    <x v="9"/>
    <x v="8"/>
    <n v="1181.8181"/>
    <n v="0"/>
    <n v="1950"/>
    <n v="136.5"/>
    <n v="2086.5"/>
  </r>
  <r>
    <n v="33598"/>
    <x v="5"/>
    <n v="1.7"/>
    <n v="1"/>
    <x v="10"/>
    <x v="9"/>
    <n v="1147.0588"/>
    <n v="0"/>
    <n v="1950"/>
    <n v="136.5"/>
    <n v="2086.5"/>
  </r>
  <r>
    <n v="33598"/>
    <x v="5"/>
    <n v="1.6"/>
    <n v="1.1000000000000001"/>
    <x v="11"/>
    <x v="10"/>
    <n v="1136.3635999999999"/>
    <n v="0"/>
    <n v="2000"/>
    <n v="140"/>
    <n v="2140"/>
  </r>
  <r>
    <n v="33598"/>
    <x v="5"/>
    <n v="1.5"/>
    <n v="1.2"/>
    <x v="12"/>
    <x v="11"/>
    <n v="1111.1111000000001"/>
    <n v="0"/>
    <n v="2000"/>
    <n v="140"/>
    <n v="2140"/>
  </r>
  <r>
    <n v="33598"/>
    <x v="5"/>
    <n v="1.5"/>
    <n v="1.2"/>
    <x v="12"/>
    <x v="11"/>
    <n v="1277.7777000000001"/>
    <n v="0"/>
    <n v="2300"/>
    <n v="161"/>
    <n v="2461"/>
  </r>
  <r>
    <n v="33598"/>
    <x v="5"/>
    <n v="1.8"/>
    <n v="1"/>
    <x v="13"/>
    <x v="11"/>
    <n v="1111.1111000000001"/>
    <n v="0"/>
    <n v="2000"/>
    <n v="140"/>
    <n v="2140"/>
  </r>
  <r>
    <n v="33598"/>
    <x v="5"/>
    <n v="1.9"/>
    <n v="1"/>
    <x v="14"/>
    <x v="12"/>
    <n v="1052.6315"/>
    <n v="0"/>
    <n v="2000"/>
    <n v="140"/>
    <n v="2140"/>
  </r>
  <r>
    <n v="33598"/>
    <x v="5"/>
    <n v="1.6"/>
    <n v="1.2"/>
    <x v="15"/>
    <x v="13"/>
    <n v="1041.6666"/>
    <n v="0"/>
    <n v="2000"/>
    <n v="140"/>
    <n v="2140"/>
  </r>
  <r>
    <n v="33598"/>
    <x v="5"/>
    <n v="2"/>
    <n v="1"/>
    <x v="16"/>
    <x v="14"/>
    <n v="1200"/>
    <n v="0"/>
    <n v="2400"/>
    <n v="168"/>
    <n v="2568"/>
  </r>
  <r>
    <n v="33598"/>
    <x v="5"/>
    <n v="2.2999999999999998"/>
    <n v="0.9"/>
    <x v="17"/>
    <x v="15"/>
    <n v="1352.6569999999999"/>
    <n v="0"/>
    <n v="2800"/>
    <n v="196"/>
    <n v="2996"/>
  </r>
  <r>
    <n v="33598"/>
    <x v="5"/>
    <n v="1.5"/>
    <n v="1.4"/>
    <x v="18"/>
    <x v="16"/>
    <n v="1333.3333"/>
    <n v="0"/>
    <n v="2800"/>
    <n v="196"/>
    <n v="2996"/>
  </r>
  <r>
    <n v="33598"/>
    <x v="5"/>
    <n v="1.6"/>
    <n v="1.4"/>
    <x v="19"/>
    <x v="17"/>
    <n v="1250"/>
    <n v="0"/>
    <n v="2800"/>
    <n v="196"/>
    <n v="2996"/>
  </r>
  <r>
    <n v="33598"/>
    <x v="5"/>
    <n v="2.2999999999999998"/>
    <n v="1"/>
    <x v="20"/>
    <x v="18"/>
    <n v="1217.3913"/>
    <n v="0"/>
    <n v="2800"/>
    <n v="196"/>
    <n v="2996"/>
  </r>
  <r>
    <n v="33598"/>
    <x v="6"/>
    <n v="1"/>
    <n v="0.8"/>
    <x v="21"/>
    <x v="19"/>
    <n v="1875"/>
    <n v="0"/>
    <n v="1500"/>
    <n v="105"/>
    <n v="1605"/>
  </r>
  <r>
    <n v="33598"/>
    <x v="6"/>
    <n v="1"/>
    <n v="0.9"/>
    <x v="22"/>
    <x v="20"/>
    <n v="1666.6666"/>
    <n v="0"/>
    <n v="1500"/>
    <n v="105"/>
    <n v="1605"/>
  </r>
  <r>
    <n v="33598"/>
    <x v="6"/>
    <n v="1"/>
    <n v="1"/>
    <x v="0"/>
    <x v="0"/>
    <n v="1550"/>
    <n v="0"/>
    <n v="1550"/>
    <n v="108.5"/>
    <n v="1658.5"/>
  </r>
  <r>
    <n v="33598"/>
    <x v="6"/>
    <n v="1"/>
    <n v="1.1000000000000001"/>
    <x v="23"/>
    <x v="21"/>
    <n v="1409.0908999999999"/>
    <n v="0"/>
    <n v="1550"/>
    <n v="108.5"/>
    <n v="1658.5"/>
  </r>
  <r>
    <n v="33598"/>
    <x v="6"/>
    <n v="1.1000000000000001"/>
    <n v="1"/>
    <x v="24"/>
    <x v="21"/>
    <n v="1409.0908999999999"/>
    <n v="0"/>
    <n v="1550"/>
    <n v="108.5"/>
    <n v="1658.5"/>
  </r>
  <r>
    <n v="33598"/>
    <x v="6"/>
    <n v="1.5"/>
    <n v="0.8"/>
    <x v="25"/>
    <x v="22"/>
    <n v="1333.3333"/>
    <n v="0"/>
    <n v="1600"/>
    <n v="112"/>
    <n v="1712"/>
  </r>
  <r>
    <n v="33598"/>
    <x v="6"/>
    <n v="1.4"/>
    <n v="0.9"/>
    <x v="26"/>
    <x v="23"/>
    <n v="1349.2063000000001"/>
    <n v="0"/>
    <n v="1700"/>
    <n v="119"/>
    <n v="1819"/>
  </r>
  <r>
    <n v="33598"/>
    <x v="6"/>
    <n v="1.5"/>
    <n v="0.9"/>
    <x v="27"/>
    <x v="24"/>
    <n v="1333.3333"/>
    <n v="0"/>
    <n v="1800"/>
    <n v="126"/>
    <n v="1926"/>
  </r>
  <r>
    <n v="33598"/>
    <x v="6"/>
    <n v="1"/>
    <n v="1.4"/>
    <x v="28"/>
    <x v="25"/>
    <n v="1285.7141999999999"/>
    <n v="0"/>
    <n v="1800"/>
    <n v="126"/>
    <n v="1926"/>
  </r>
  <r>
    <n v="33598"/>
    <x v="6"/>
    <n v="1.4"/>
    <n v="1"/>
    <x v="29"/>
    <x v="25"/>
    <n v="1285.7141999999999"/>
    <n v="0"/>
    <n v="1800"/>
    <n v="126"/>
    <n v="1926"/>
  </r>
  <r>
    <n v="33598"/>
    <x v="7"/>
    <n v="0"/>
    <n v="0"/>
    <x v="30"/>
    <x v="26"/>
    <n v="0"/>
    <n v="0"/>
    <n v="0"/>
    <n v="0"/>
    <n v="0"/>
  </r>
  <r>
    <n v="33598"/>
    <x v="8"/>
    <n v="0.1"/>
    <n v="0.1"/>
    <x v="31"/>
    <x v="27"/>
    <n v="0"/>
    <n v="0"/>
    <n v="0"/>
    <n v="0"/>
    <n v="0"/>
  </r>
  <r>
    <n v="33598"/>
    <x v="9"/>
    <n v="2.2999999999999998"/>
    <n v="4.8"/>
    <x v="32"/>
    <x v="28"/>
    <n v="1259.0579"/>
    <n v="15707"/>
    <n v="13900"/>
    <n v="973"/>
    <n v="14873"/>
  </r>
  <r>
    <n v="33598"/>
    <x v="9"/>
    <n v="3.4"/>
    <n v="3.3"/>
    <x v="33"/>
    <x v="29"/>
    <n v="1238.8590999999999"/>
    <n v="0"/>
    <n v="13900"/>
    <n v="973"/>
    <n v="14873"/>
  </r>
  <r>
    <n v="33598"/>
    <x v="9"/>
    <n v="3.8"/>
    <n v="3"/>
    <x v="34"/>
    <x v="30"/>
    <n v="1245.614"/>
    <n v="0"/>
    <n v="14200"/>
    <n v="994"/>
    <n v="15194"/>
  </r>
  <r>
    <n v="33598"/>
    <x v="9"/>
    <n v="4.0999999999999996"/>
    <n v="2.8"/>
    <x v="35"/>
    <x v="31"/>
    <n v="1236.9337"/>
    <n v="0"/>
    <n v="14200"/>
    <n v="994"/>
    <n v="15194"/>
  </r>
  <r>
    <n v="33598"/>
    <x v="9"/>
    <n v="2.4"/>
    <n v="4.8"/>
    <x v="36"/>
    <x v="32"/>
    <n v="1232.6387999999999"/>
    <n v="0"/>
    <n v="14200"/>
    <n v="994"/>
    <n v="15194"/>
  </r>
  <r>
    <n v="33598"/>
    <x v="9"/>
    <n v="4.2"/>
    <n v="2.8"/>
    <x v="37"/>
    <x v="33"/>
    <n v="1232.9930999999999"/>
    <n v="16385"/>
    <n v="14500"/>
    <n v="1015"/>
    <n v="15515"/>
  </r>
  <r>
    <n v="33598"/>
    <x v="9"/>
    <n v="4.2"/>
    <n v="2.8"/>
    <x v="37"/>
    <x v="33"/>
    <n v="1275.5101999999999"/>
    <n v="16950"/>
    <n v="15000"/>
    <n v="1050"/>
    <n v="16050"/>
  </r>
  <r>
    <n v="33598"/>
    <x v="9"/>
    <n v="4.5999999999999996"/>
    <n v="2.8"/>
    <x v="38"/>
    <x v="34"/>
    <n v="1343.1677"/>
    <n v="0"/>
    <n v="17300"/>
    <n v="1211"/>
    <n v="18511"/>
  </r>
  <r>
    <n v="33598"/>
    <x v="9"/>
    <n v="3"/>
    <n v="4.3"/>
    <x v="39"/>
    <x v="35"/>
    <n v="1155.0387000000001"/>
    <n v="17135"/>
    <n v="14900"/>
    <n v="1043"/>
    <n v="15943"/>
  </r>
  <r>
    <n v="33598"/>
    <x v="9"/>
    <n v="4.7"/>
    <n v="2.8"/>
    <x v="40"/>
    <x v="36"/>
    <n v="1344.9848"/>
    <n v="0"/>
    <n v="17700"/>
    <n v="1239"/>
    <n v="18939"/>
  </r>
  <r>
    <n v="33598"/>
    <x v="9"/>
    <n v="4.8"/>
    <n v="2.8"/>
    <x v="41"/>
    <x v="37"/>
    <n v="1220.2380000000001"/>
    <n v="18696"/>
    <n v="16400"/>
    <n v="1148"/>
    <n v="17548"/>
  </r>
  <r>
    <n v="33598"/>
    <x v="9"/>
    <n v="5"/>
    <n v="2.8"/>
    <x v="42"/>
    <x v="38"/>
    <n v="1214.2856999999999"/>
    <n v="0"/>
    <n v="17000"/>
    <n v="1190"/>
    <n v="18190"/>
  </r>
  <r>
    <n v="33598"/>
    <x v="9"/>
    <n v="5.0999999999999996"/>
    <n v="2.8"/>
    <x v="43"/>
    <x v="39"/>
    <n v="1225.4901"/>
    <n v="0"/>
    <n v="17500"/>
    <n v="1225"/>
    <n v="18725"/>
  </r>
  <r>
    <n v="33598"/>
    <x v="9"/>
    <n v="4.8"/>
    <n v="3"/>
    <x v="44"/>
    <x v="40"/>
    <n v="1215.2777000000001"/>
    <n v="8300"/>
    <n v="17500"/>
    <n v="1225"/>
    <n v="18725"/>
  </r>
  <r>
    <n v="33598"/>
    <x v="9"/>
    <n v="3.4"/>
    <n v="4.5"/>
    <x v="45"/>
    <x v="41"/>
    <n v="1209.1503"/>
    <n v="0"/>
    <n v="18500"/>
    <n v="1295"/>
    <n v="19795"/>
  </r>
  <r>
    <n v="33598"/>
    <x v="9"/>
    <n v="6"/>
    <n v="2.8"/>
    <x v="46"/>
    <x v="42"/>
    <n v="1208.3333"/>
    <n v="0"/>
    <n v="20300"/>
    <n v="1421"/>
    <n v="21721"/>
  </r>
  <r>
    <n v="33598"/>
    <x v="9"/>
    <n v="3.1"/>
    <n v="5.9"/>
    <x v="47"/>
    <x v="43"/>
    <n v="1142.7009"/>
    <n v="0"/>
    <n v="20900"/>
    <n v="1463"/>
    <n v="22363"/>
  </r>
  <r>
    <n v="33598"/>
    <x v="9"/>
    <n v="4.2"/>
    <n v="4.4000000000000004"/>
    <x v="48"/>
    <x v="44"/>
    <n v="1130.9522999999999"/>
    <n v="0"/>
    <n v="20900"/>
    <n v="1463"/>
    <n v="22363"/>
  </r>
  <r>
    <n v="33598"/>
    <x v="9"/>
    <n v="6.7"/>
    <n v="2.8"/>
    <x v="49"/>
    <x v="45"/>
    <n v="1114.0724"/>
    <n v="0"/>
    <n v="20900"/>
    <n v="1463"/>
    <n v="22363"/>
  </r>
  <r>
    <n v="33598"/>
    <x v="9"/>
    <n v="3.2"/>
    <n v="5.9"/>
    <x v="50"/>
    <x v="46"/>
    <n v="1106.9915000000001"/>
    <n v="0"/>
    <n v="20900"/>
    <n v="1463"/>
    <n v="22363"/>
  </r>
  <r>
    <n v="33598"/>
    <x v="9"/>
    <n v="6.8"/>
    <n v="2.8"/>
    <x v="51"/>
    <x v="47"/>
    <n v="1102.9411"/>
    <n v="0"/>
    <n v="21000"/>
    <n v="1470"/>
    <n v="22470"/>
  </r>
  <r>
    <n v="33598"/>
    <x v="10"/>
    <n v="1.8"/>
    <n v="2.8"/>
    <x v="52"/>
    <x v="48"/>
    <n v="1250"/>
    <n v="7119"/>
    <n v="6300"/>
    <n v="441"/>
    <n v="6741"/>
  </r>
  <r>
    <n v="33598"/>
    <x v="10"/>
    <n v="2.1"/>
    <n v="2.5"/>
    <x v="53"/>
    <x v="49"/>
    <n v="1295.2380000000001"/>
    <n v="0"/>
    <n v="6800"/>
    <n v="476"/>
    <n v="7276"/>
  </r>
  <r>
    <n v="33598"/>
    <x v="10"/>
    <n v="2.5"/>
    <n v="2.1"/>
    <x v="54"/>
    <x v="49"/>
    <n v="1295.2380000000001"/>
    <n v="7684"/>
    <n v="6800"/>
    <n v="476"/>
    <n v="7276"/>
  </r>
  <r>
    <n v="33598"/>
    <x v="10"/>
    <n v="2.2999999999999998"/>
    <n v="2.2999999999999998"/>
    <x v="55"/>
    <x v="50"/>
    <n v="1285.4441999999999"/>
    <n v="7684"/>
    <n v="6800"/>
    <n v="476"/>
    <n v="7276"/>
  </r>
  <r>
    <n v="33598"/>
    <x v="10"/>
    <n v="2.2999999999999998"/>
    <n v="2.4"/>
    <x v="56"/>
    <x v="51"/>
    <n v="1250"/>
    <n v="0"/>
    <n v="6900"/>
    <n v="483"/>
    <n v="7383"/>
  </r>
  <r>
    <n v="33598"/>
    <x v="10"/>
    <n v="1.7"/>
    <n v="3.4"/>
    <x v="57"/>
    <x v="52"/>
    <n v="1193.7716"/>
    <n v="0"/>
    <n v="6900"/>
    <n v="483"/>
    <n v="7383"/>
  </r>
  <r>
    <n v="33598"/>
    <x v="10"/>
    <n v="1.8"/>
    <n v="3.4"/>
    <x v="58"/>
    <x v="53"/>
    <n v="1176.4704999999999"/>
    <n v="8136"/>
    <n v="7200"/>
    <n v="504"/>
    <n v="7704"/>
  </r>
  <r>
    <n v="33598"/>
    <x v="10"/>
    <n v="2.2999999999999998"/>
    <n v="2.7"/>
    <x v="59"/>
    <x v="54"/>
    <n v="1159.4202"/>
    <n v="0"/>
    <n v="7200"/>
    <n v="504"/>
    <n v="7704"/>
  </r>
  <r>
    <n v="33598"/>
    <x v="10"/>
    <n v="2.4"/>
    <n v="2.6"/>
    <x v="60"/>
    <x v="55"/>
    <n v="1153.8461"/>
    <n v="0"/>
    <n v="7200"/>
    <n v="504"/>
    <n v="7704"/>
  </r>
  <r>
    <n v="33598"/>
    <x v="10"/>
    <n v="2"/>
    <n v="3.2"/>
    <x v="61"/>
    <x v="56"/>
    <n v="1218.75"/>
    <n v="0"/>
    <n v="7800"/>
    <n v="546"/>
    <n v="8346"/>
  </r>
  <r>
    <n v="33598"/>
    <x v="10"/>
    <n v="2.5"/>
    <n v="2.6"/>
    <x v="62"/>
    <x v="57"/>
    <n v="1200"/>
    <n v="0"/>
    <n v="7800"/>
    <n v="546"/>
    <n v="8346"/>
  </r>
  <r>
    <n v="33598"/>
    <x v="10"/>
    <n v="2.1"/>
    <n v="3.1"/>
    <x v="63"/>
    <x v="58"/>
    <n v="1198.1566"/>
    <n v="0"/>
    <n v="7800"/>
    <n v="546"/>
    <n v="8346"/>
  </r>
  <r>
    <n v="33598"/>
    <x v="10"/>
    <n v="2.1"/>
    <n v="3.2"/>
    <x v="64"/>
    <x v="59"/>
    <n v="1190.4761000000001"/>
    <n v="0"/>
    <n v="8000"/>
    <n v="560"/>
    <n v="8560"/>
  </r>
  <r>
    <n v="33598"/>
    <x v="10"/>
    <n v="2.4"/>
    <n v="3"/>
    <x v="65"/>
    <x v="60"/>
    <n v="1152.7777000000001"/>
    <n v="9462"/>
    <n v="8300"/>
    <n v="581"/>
    <n v="8881"/>
  </r>
  <r>
    <n v="33598"/>
    <x v="10"/>
    <n v="4"/>
    <n v="2.2999999999999998"/>
    <x v="66"/>
    <x v="61"/>
    <n v="1304.3478"/>
    <n v="0"/>
    <n v="12000"/>
    <n v="840"/>
    <n v="12840"/>
  </r>
  <r>
    <n v="33598"/>
    <x v="10"/>
    <n v="2.1"/>
    <n v="4.4000000000000004"/>
    <x v="67"/>
    <x v="62"/>
    <n v="1298.7012"/>
    <n v="0"/>
    <n v="12000"/>
    <n v="840"/>
    <n v="12840"/>
  </r>
  <r>
    <n v="33598"/>
    <x v="10"/>
    <n v="2.2000000000000002"/>
    <n v="4.4000000000000004"/>
    <x v="68"/>
    <x v="63"/>
    <n v="1311.9834000000001"/>
    <n v="14351"/>
    <n v="12700"/>
    <n v="889"/>
    <n v="13589"/>
  </r>
  <r>
    <n v="33598"/>
    <x v="10"/>
    <n v="4"/>
    <n v="2.6"/>
    <x v="69"/>
    <x v="64"/>
    <n v="1403.8461"/>
    <n v="13600"/>
    <n v="14600"/>
    <n v="1022"/>
    <n v="15622"/>
  </r>
  <r>
    <n v="33598"/>
    <x v="10"/>
    <n v="2.2000000000000002"/>
    <n v="4.9000000000000004"/>
    <x v="70"/>
    <x v="65"/>
    <n v="1261.5954999999999"/>
    <n v="15368"/>
    <n v="13600"/>
    <n v="952"/>
    <n v="14552"/>
  </r>
  <r>
    <n v="33598"/>
    <x v="11"/>
    <n v="1.6"/>
    <n v="1.6"/>
    <x v="71"/>
    <x v="66"/>
    <n v="1367.1875"/>
    <n v="3955"/>
    <n v="3500"/>
    <n v="245"/>
    <n v="3745"/>
  </r>
  <r>
    <n v="33598"/>
    <x v="11"/>
    <n v="1.7"/>
    <n v="1.6"/>
    <x v="72"/>
    <x v="67"/>
    <n v="1286.7646999999999"/>
    <n v="3955"/>
    <n v="3500"/>
    <n v="245"/>
    <n v="3745"/>
  </r>
  <r>
    <n v="33598"/>
    <x v="11"/>
    <n v="2.1"/>
    <n v="1.3"/>
    <x v="73"/>
    <x v="68"/>
    <n v="1282.0512000000001"/>
    <n v="3955"/>
    <n v="3500"/>
    <n v="245"/>
    <n v="3745"/>
  </r>
  <r>
    <n v="33598"/>
    <x v="11"/>
    <n v="2.2999999999999998"/>
    <n v="1.2"/>
    <x v="74"/>
    <x v="69"/>
    <n v="1268.1159"/>
    <n v="3955"/>
    <n v="3500"/>
    <n v="245"/>
    <n v="3745"/>
  </r>
  <r>
    <n v="33598"/>
    <x v="11"/>
    <n v="1.5"/>
    <n v="1.9"/>
    <x v="75"/>
    <x v="70"/>
    <n v="1333.3333"/>
    <n v="0"/>
    <n v="3800"/>
    <n v="266"/>
    <n v="4066"/>
  </r>
  <r>
    <n v="33598"/>
    <x v="11"/>
    <n v="2.4"/>
    <n v="1.2"/>
    <x v="76"/>
    <x v="71"/>
    <n v="1319.4444000000001"/>
    <n v="0"/>
    <n v="3800"/>
    <n v="266"/>
    <n v="4066"/>
  </r>
  <r>
    <n v="33598"/>
    <x v="11"/>
    <n v="2"/>
    <n v="1.5"/>
    <x v="77"/>
    <x v="3"/>
    <n v="1266.6666"/>
    <n v="0"/>
    <n v="3800"/>
    <n v="266"/>
    <n v="4066"/>
  </r>
  <r>
    <n v="33598"/>
    <x v="11"/>
    <n v="1.6"/>
    <n v="1.9"/>
    <x v="78"/>
    <x v="72"/>
    <n v="1250"/>
    <n v="4104"/>
    <n v="3800"/>
    <n v="266"/>
    <n v="4066"/>
  </r>
  <r>
    <n v="33598"/>
    <x v="11"/>
    <n v="1.8"/>
    <n v="1.7"/>
    <x v="79"/>
    <x v="73"/>
    <n v="1241.83"/>
    <n v="4180"/>
    <n v="3800"/>
    <n v="266"/>
    <n v="4066"/>
  </r>
  <r>
    <n v="33598"/>
    <x v="11"/>
    <n v="1.5"/>
    <n v="2.2000000000000002"/>
    <x v="80"/>
    <x v="74"/>
    <n v="1151.5151000000001"/>
    <n v="0"/>
    <n v="3800"/>
    <n v="266"/>
    <n v="4066"/>
  </r>
  <r>
    <n v="33598"/>
    <x v="11"/>
    <n v="1.5"/>
    <n v="2.2999999999999998"/>
    <x v="81"/>
    <x v="75"/>
    <n v="1159.4202"/>
    <n v="4520"/>
    <n v="4000"/>
    <n v="280"/>
    <n v="4280"/>
  </r>
  <r>
    <n v="33598"/>
    <x v="11"/>
    <n v="1.4"/>
    <n v="2.5"/>
    <x v="82"/>
    <x v="76"/>
    <n v="1142.8570999999999"/>
    <n v="0"/>
    <n v="4000"/>
    <n v="280"/>
    <n v="4280"/>
  </r>
  <r>
    <n v="33598"/>
    <x v="11"/>
    <n v="1.3"/>
    <n v="2.7"/>
    <x v="83"/>
    <x v="77"/>
    <n v="1139.6011000000001"/>
    <n v="4520"/>
    <n v="4000"/>
    <n v="280"/>
    <n v="4280"/>
  </r>
  <r>
    <n v="33598"/>
    <x v="11"/>
    <n v="1.6"/>
    <n v="2.2000000000000002"/>
    <x v="84"/>
    <x v="78"/>
    <n v="1136.3635999999999"/>
    <n v="0"/>
    <n v="4000"/>
    <n v="280"/>
    <n v="4280"/>
  </r>
  <r>
    <n v="33598"/>
    <x v="11"/>
    <n v="2.1"/>
    <n v="1.7"/>
    <x v="85"/>
    <x v="79"/>
    <n v="1120.4481000000001"/>
    <n v="0"/>
    <n v="4000"/>
    <n v="280"/>
    <n v="4280"/>
  </r>
  <r>
    <n v="33598"/>
    <x v="11"/>
    <n v="2.2000000000000002"/>
    <n v="1.7"/>
    <x v="86"/>
    <x v="80"/>
    <n v="1203.2085"/>
    <n v="0"/>
    <n v="4500"/>
    <n v="315"/>
    <n v="4815"/>
  </r>
  <r>
    <n v="33598"/>
    <x v="11"/>
    <n v="1.4"/>
    <n v="2.7"/>
    <x v="87"/>
    <x v="81"/>
    <n v="1190.4761000000001"/>
    <n v="0"/>
    <n v="4500"/>
    <n v="315"/>
    <n v="4815"/>
  </r>
  <r>
    <n v="33598"/>
    <x v="11"/>
    <n v="1.6"/>
    <n v="2.7"/>
    <x v="88"/>
    <x v="82"/>
    <n v="1388.8887999999999"/>
    <n v="6900"/>
    <n v="6000"/>
    <n v="420"/>
    <n v="6420"/>
  </r>
  <r>
    <n v="33598"/>
    <x v="11"/>
    <n v="2"/>
    <n v="2.2000000000000002"/>
    <x v="89"/>
    <x v="83"/>
    <n v="1363.6362999999999"/>
    <n v="6780"/>
    <n v="6000"/>
    <n v="420"/>
    <n v="6420"/>
  </r>
  <r>
    <n v="33598"/>
    <x v="11"/>
    <n v="2.5"/>
    <n v="1.8"/>
    <x v="90"/>
    <x v="84"/>
    <n v="1355.5554999999999"/>
    <n v="0"/>
    <n v="6100"/>
    <n v="427"/>
    <n v="6527"/>
  </r>
  <r>
    <n v="33598"/>
    <x v="11"/>
    <n v="2"/>
    <n v="2.2999999999999998"/>
    <x v="91"/>
    <x v="85"/>
    <n v="1326.0869"/>
    <n v="6954"/>
    <n v="6100"/>
    <n v="427"/>
    <n v="6527"/>
  </r>
  <r>
    <n v="33598"/>
    <x v="11"/>
    <n v="1.8"/>
    <n v="2.6"/>
    <x v="92"/>
    <x v="86"/>
    <n v="1324.7863"/>
    <n v="6820"/>
    <n v="6200"/>
    <n v="434"/>
    <n v="6634"/>
  </r>
  <r>
    <n v="33598"/>
    <x v="11"/>
    <n v="2.4"/>
    <n v="2"/>
    <x v="93"/>
    <x v="87"/>
    <n v="1291.6666"/>
    <n v="0"/>
    <n v="6200"/>
    <n v="434"/>
    <n v="6634"/>
  </r>
  <r>
    <n v="33598"/>
    <x v="12"/>
    <n v="4.7"/>
    <n v="4.4000000000000004"/>
    <x v="94"/>
    <x v="88"/>
    <n v="1146.0347999999999"/>
    <n v="0"/>
    <n v="23700"/>
    <n v="1659"/>
    <n v="25359"/>
  </r>
  <r>
    <n v="33598"/>
    <x v="12"/>
    <n v="8"/>
    <n v="2.8"/>
    <x v="95"/>
    <x v="89"/>
    <n v="1142.8570999999999"/>
    <n v="28928"/>
    <n v="25600"/>
    <n v="1792"/>
    <n v="27392"/>
  </r>
  <r>
    <n v="33598"/>
    <x v="12"/>
    <n v="3.5"/>
    <n v="7.1"/>
    <x v="96"/>
    <x v="90"/>
    <n v="1146.8812"/>
    <n v="0"/>
    <n v="28500"/>
    <n v="1995"/>
    <n v="30495"/>
  </r>
  <r>
    <n v="33598"/>
    <x v="12"/>
    <n v="6.7"/>
    <n v="4.3"/>
    <x v="97"/>
    <x v="91"/>
    <n v="1145.4356"/>
    <n v="0"/>
    <n v="33000"/>
    <n v="2310"/>
    <n v="35310"/>
  </r>
  <r>
    <n v="33598"/>
    <x v="13"/>
    <n v="1"/>
    <n v="1.5"/>
    <x v="5"/>
    <x v="5"/>
    <n v="1400"/>
    <n v="2394"/>
    <n v="2100"/>
    <n v="147"/>
    <n v="2247"/>
  </r>
  <r>
    <n v="33598"/>
    <x v="13"/>
    <n v="1.3"/>
    <n v="1.2"/>
    <x v="98"/>
    <x v="92"/>
    <n v="1410.2564"/>
    <n v="0"/>
    <n v="2200"/>
    <n v="154"/>
    <n v="2354"/>
  </r>
  <r>
    <n v="33598"/>
    <x v="13"/>
    <n v="1"/>
    <n v="1.6"/>
    <x v="99"/>
    <x v="7"/>
    <n v="1375"/>
    <n v="2486"/>
    <n v="2200"/>
    <n v="154"/>
    <n v="2354"/>
  </r>
  <r>
    <n v="33598"/>
    <x v="13"/>
    <n v="1.2"/>
    <n v="1.5"/>
    <x v="100"/>
    <x v="11"/>
    <n v="1277.7777000000001"/>
    <n v="2530"/>
    <n v="2300"/>
    <n v="161"/>
    <n v="2461"/>
  </r>
  <r>
    <n v="33598"/>
    <x v="13"/>
    <n v="1.2"/>
    <n v="1.6"/>
    <x v="101"/>
    <x v="13"/>
    <n v="1197.9166"/>
    <n v="2530"/>
    <n v="2300"/>
    <n v="161"/>
    <n v="2461"/>
  </r>
  <r>
    <n v="33598"/>
    <x v="13"/>
    <n v="1.5"/>
    <n v="1.5"/>
    <x v="102"/>
    <x v="93"/>
    <n v="1333.3333"/>
    <n v="0"/>
    <n v="3000"/>
    <n v="210"/>
    <n v="3210"/>
  </r>
  <r>
    <n v="33598"/>
    <x v="13"/>
    <n v="1.8"/>
    <n v="1.3"/>
    <x v="103"/>
    <x v="94"/>
    <n v="1282.0512000000001"/>
    <n v="3360"/>
    <n v="3000"/>
    <n v="210"/>
    <n v="3210"/>
  </r>
  <r>
    <n v="33598"/>
    <x v="13"/>
    <n v="1.5"/>
    <n v="1.6"/>
    <x v="104"/>
    <x v="95"/>
    <n v="1250"/>
    <n v="0"/>
    <n v="3000"/>
    <n v="210"/>
    <n v="3210"/>
  </r>
  <r>
    <n v="33598"/>
    <x v="13"/>
    <n v="1.6"/>
    <n v="1.5"/>
    <x v="105"/>
    <x v="95"/>
    <n v="1250"/>
    <n v="0"/>
    <n v="3000"/>
    <n v="210"/>
    <n v="3210"/>
  </r>
  <r>
    <n v="33598"/>
    <x v="14"/>
    <n v="4.3"/>
    <n v="8.1999999999999993"/>
    <x v="106"/>
    <x v="96"/>
    <n v="1035.1673000000001"/>
    <n v="0"/>
    <n v="36500"/>
    <n v="2555"/>
    <n v="39055"/>
  </r>
  <r>
    <n v="33598"/>
    <x v="14"/>
    <n v="7.4"/>
    <n v="4.9000000000000004"/>
    <x v="107"/>
    <x v="97"/>
    <n v="1006.6188"/>
    <n v="0"/>
    <n v="36500"/>
    <n v="2555"/>
    <n v="39055"/>
  </r>
  <r>
    <n v="33598"/>
    <x v="14"/>
    <n v="10"/>
    <n v="4.2"/>
    <x v="108"/>
    <x v="98"/>
    <n v="1071.4285"/>
    <n v="0"/>
    <n v="45000"/>
    <n v="3150"/>
    <n v="48150"/>
  </r>
  <r>
    <n v="33598"/>
    <x v="15"/>
    <n v="1.2"/>
    <n v="1.2"/>
    <x v="109"/>
    <x v="99"/>
    <n v="1388.8887999999999"/>
    <n v="2200"/>
    <n v="2000"/>
    <n v="140"/>
    <n v="2140"/>
  </r>
  <r>
    <n v="33598"/>
    <x v="15"/>
    <n v="1.2"/>
    <n v="1.2"/>
    <x v="109"/>
    <x v="99"/>
    <n v="1458.3333"/>
    <n v="2352"/>
    <n v="2100"/>
    <n v="147"/>
    <n v="2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38603"/>
    <x v="0"/>
    <n v="1"/>
    <n v="0.9"/>
    <x v="0"/>
    <x v="0"/>
    <n v="630.53330000000005"/>
    <n v="0"/>
    <n v="567.48"/>
    <n v="39.723599999999998"/>
    <n v="607.20360000000005"/>
  </r>
  <r>
    <n v="38603"/>
    <x v="1"/>
    <n v="1"/>
    <n v="0.9"/>
    <x v="0"/>
    <x v="0"/>
    <n v="526.68880000000001"/>
    <n v="0"/>
    <n v="474.02"/>
    <n v="33.181399999999996"/>
    <n v="507.20139999999998"/>
  </r>
  <r>
    <n v="38603"/>
    <x v="2"/>
    <n v="0"/>
    <n v="0"/>
    <x v="1"/>
    <x v="1"/>
    <n v="0"/>
    <n v="0"/>
    <n v="0"/>
    <n v="0"/>
    <n v="0"/>
  </r>
  <r>
    <n v="38603"/>
    <x v="3"/>
    <n v="2.7"/>
    <n v="4.5999999999999996"/>
    <x v="2"/>
    <x v="2"/>
    <n v="1143.3172"/>
    <n v="0"/>
    <n v="14200"/>
    <n v="994"/>
    <n v="15194"/>
  </r>
  <r>
    <n v="38603"/>
    <x v="3"/>
    <n v="1.9"/>
    <n v="6.6"/>
    <x v="3"/>
    <x v="3"/>
    <n v="1132.3762999999999"/>
    <n v="0"/>
    <n v="14200"/>
    <n v="994"/>
    <n v="15194"/>
  </r>
  <r>
    <n v="38603"/>
    <x v="3"/>
    <n v="2.7"/>
    <n v="4.7"/>
    <x v="4"/>
    <x v="4"/>
    <n v="1118.9912999999999"/>
    <n v="0"/>
    <n v="14200"/>
    <n v="994"/>
    <n v="15194"/>
  </r>
  <r>
    <n v="38603"/>
    <x v="3"/>
    <n v="2.9"/>
    <n v="4.5999999999999996"/>
    <x v="5"/>
    <x v="5"/>
    <n v="1109.4452000000001"/>
    <n v="0"/>
    <n v="14800"/>
    <n v="1036"/>
    <n v="15836"/>
  </r>
  <r>
    <n v="38603"/>
    <x v="3"/>
    <n v="2.9"/>
    <n v="5.0999999999999996"/>
    <x v="6"/>
    <x v="6"/>
    <n v="1081.8119999999999"/>
    <n v="0"/>
    <n v="16000"/>
    <n v="1120"/>
    <n v="17120"/>
  </r>
  <r>
    <n v="38603"/>
    <x v="3"/>
    <n v="3.5"/>
    <n v="4.5999999999999996"/>
    <x v="7"/>
    <x v="7"/>
    <n v="1105.5899999999999"/>
    <n v="0"/>
    <n v="17800"/>
    <n v="1246"/>
    <n v="19046"/>
  </r>
  <r>
    <n v="38603"/>
    <x v="3"/>
    <n v="3"/>
    <n v="5.4"/>
    <x v="8"/>
    <x v="8"/>
    <n v="1098.7654"/>
    <n v="0"/>
    <n v="17800"/>
    <n v="1246"/>
    <n v="19046"/>
  </r>
  <r>
    <n v="38603"/>
    <x v="3"/>
    <n v="3.5"/>
    <n v="5.4"/>
    <x v="9"/>
    <x v="9"/>
    <n v="1089.9469999999999"/>
    <n v="0"/>
    <n v="20600"/>
    <n v="1442"/>
    <n v="22042"/>
  </r>
  <r>
    <n v="38603"/>
    <x v="3"/>
    <n v="3.5"/>
    <n v="5.5"/>
    <x v="10"/>
    <x v="10"/>
    <n v="1070.1297999999999"/>
    <n v="0"/>
    <n v="20600"/>
    <n v="1442"/>
    <n v="22042"/>
  </r>
  <r>
    <n v="38603"/>
    <x v="4"/>
    <n v="1.5"/>
    <n v="4.0999999999999996"/>
    <x v="11"/>
    <x v="11"/>
    <n v="1138.2112999999999"/>
    <n v="0"/>
    <n v="7000"/>
    <n v="490"/>
    <n v="7490"/>
  </r>
  <r>
    <n v="38603"/>
    <x v="5"/>
    <n v="2.1"/>
    <n v="1.2"/>
    <x v="12"/>
    <x v="12"/>
    <n v="992.0634"/>
    <n v="0"/>
    <n v="2500"/>
    <n v="175"/>
    <n v="2675"/>
  </r>
  <r>
    <n v="38603"/>
    <x v="5"/>
    <n v="1.5"/>
    <n v="2"/>
    <x v="13"/>
    <x v="13"/>
    <n v="1100"/>
    <n v="3630"/>
    <n v="3300"/>
    <n v="231"/>
    <n v="3531"/>
  </r>
  <r>
    <n v="38603"/>
    <x v="5"/>
    <n v="2.1"/>
    <n v="1.5"/>
    <x v="14"/>
    <x v="14"/>
    <n v="1111.1111000000001"/>
    <n v="3850"/>
    <n v="3500"/>
    <n v="245"/>
    <n v="3745"/>
  </r>
  <r>
    <n v="38603"/>
    <x v="5"/>
    <n v="2.7"/>
    <n v="1.2"/>
    <x v="15"/>
    <x v="15"/>
    <n v="1080.2469000000001"/>
    <n v="0"/>
    <n v="3500"/>
    <n v="245"/>
    <n v="3745"/>
  </r>
  <r>
    <n v="38603"/>
    <x v="5"/>
    <n v="2.4"/>
    <n v="1.5"/>
    <x v="16"/>
    <x v="16"/>
    <n v="1055.5554999999999"/>
    <n v="0"/>
    <n v="3800"/>
    <n v="266"/>
    <n v="4066"/>
  </r>
  <r>
    <n v="38603"/>
    <x v="5"/>
    <n v="2.1"/>
    <n v="2"/>
    <x v="17"/>
    <x v="17"/>
    <n v="1071.4285"/>
    <n v="0"/>
    <n v="4500"/>
    <n v="315"/>
    <n v="4815"/>
  </r>
  <r>
    <n v="38603"/>
    <x v="6"/>
    <n v="1"/>
    <n v="1.7"/>
    <x v="18"/>
    <x v="18"/>
    <n v="1117.6469999999999"/>
    <n v="2090"/>
    <n v="1900"/>
    <n v="133"/>
    <n v="2033"/>
  </r>
  <r>
    <n v="38603"/>
    <x v="6"/>
    <n v="1.2"/>
    <n v="1.7"/>
    <x v="19"/>
    <x v="19"/>
    <n v="1078.4313"/>
    <n v="0"/>
    <n v="2200"/>
    <n v="154"/>
    <n v="2354"/>
  </r>
  <r>
    <n v="38603"/>
    <x v="7"/>
    <n v="1"/>
    <n v="0.9"/>
    <x v="0"/>
    <x v="0"/>
    <n v="1444.4444000000001"/>
    <n v="1430"/>
    <n v="1300"/>
    <n v="91"/>
    <n v="1391"/>
  </r>
  <r>
    <n v="38603"/>
    <x v="7"/>
    <n v="1"/>
    <n v="1.1000000000000001"/>
    <x v="20"/>
    <x v="20"/>
    <n v="1272.7272"/>
    <n v="1540"/>
    <n v="1400"/>
    <n v="98"/>
    <n v="1498"/>
  </r>
  <r>
    <n v="38603"/>
    <x v="8"/>
    <n v="2.6"/>
    <n v="4.4000000000000004"/>
    <x v="21"/>
    <x v="21"/>
    <n v="961.53840000000002"/>
    <n v="0"/>
    <n v="11000"/>
    <n v="770"/>
    <n v="11770"/>
  </r>
  <r>
    <n v="38603"/>
    <x v="8"/>
    <n v="4.4000000000000004"/>
    <n v="2.6"/>
    <x v="22"/>
    <x v="21"/>
    <n v="961.53840000000002"/>
    <n v="0"/>
    <n v="11000"/>
    <n v="770"/>
    <n v="11770"/>
  </r>
  <r>
    <n v="38603"/>
    <x v="8"/>
    <n v="3.7"/>
    <n v="4"/>
    <x v="23"/>
    <x v="22"/>
    <n v="932.43240000000003"/>
    <n v="0"/>
    <n v="13800"/>
    <n v="966"/>
    <n v="14766"/>
  </r>
  <r>
    <n v="38603"/>
    <x v="8"/>
    <n v="2.8"/>
    <n v="5.4"/>
    <x v="24"/>
    <x v="23"/>
    <n v="912.69839999999999"/>
    <n v="0"/>
    <n v="13800"/>
    <n v="966"/>
    <n v="14766"/>
  </r>
  <r>
    <n v="38603"/>
    <x v="8"/>
    <n v="2.6"/>
    <n v="6.6"/>
    <x v="25"/>
    <x v="24"/>
    <n v="909.09090000000003"/>
    <n v="0"/>
    <n v="15600"/>
    <n v="1092"/>
    <n v="16692"/>
  </r>
  <r>
    <n v="38603"/>
    <x v="8"/>
    <n v="3.6"/>
    <n v="5.0999999999999996"/>
    <x v="26"/>
    <x v="25"/>
    <n v="915.0326"/>
    <n v="18480"/>
    <n v="16800"/>
    <n v="1176"/>
    <n v="17976"/>
  </r>
  <r>
    <n v="38603"/>
    <x v="8"/>
    <n v="5.5"/>
    <n v="3.6"/>
    <x v="27"/>
    <x v="26"/>
    <n v="792.92920000000004"/>
    <n v="0"/>
    <n v="15700"/>
    <n v="1099"/>
    <n v="16799"/>
  </r>
  <r>
    <n v="38603"/>
    <x v="9"/>
    <n v="2.2000000000000002"/>
    <n v="2.6"/>
    <x v="28"/>
    <x v="27"/>
    <n v="874.12580000000003"/>
    <n v="0"/>
    <n v="5000"/>
    <n v="350"/>
    <n v="5350"/>
  </r>
  <r>
    <n v="38603"/>
    <x v="9"/>
    <n v="2"/>
    <n v="3.4"/>
    <x v="29"/>
    <x v="28"/>
    <n v="955.88229999999999"/>
    <n v="7150"/>
    <n v="6500"/>
    <n v="455"/>
    <n v="6955"/>
  </r>
  <r>
    <n v="38603"/>
    <x v="9"/>
    <n v="2.1"/>
    <n v="4"/>
    <x v="30"/>
    <x v="29"/>
    <n v="857.14279999999997"/>
    <n v="0"/>
    <n v="7200"/>
    <n v="504"/>
    <n v="7704"/>
  </r>
  <r>
    <n v="38603"/>
    <x v="9"/>
    <n v="1.7"/>
    <n v="5.0999999999999996"/>
    <x v="31"/>
    <x v="30"/>
    <n v="865.05190000000005"/>
    <n v="0"/>
    <n v="7500"/>
    <n v="525"/>
    <n v="8025"/>
  </r>
  <r>
    <n v="38603"/>
    <x v="9"/>
    <n v="2.1"/>
    <n v="4.5999999999999996"/>
    <x v="32"/>
    <x v="31"/>
    <n v="993.78880000000004"/>
    <n v="10752"/>
    <n v="9600"/>
    <n v="672"/>
    <n v="10272"/>
  </r>
  <r>
    <n v="38603"/>
    <x v="9"/>
    <n v="2.2000000000000002"/>
    <n v="4.5999999999999996"/>
    <x v="33"/>
    <x v="32"/>
    <n v="968.37940000000003"/>
    <n v="0"/>
    <n v="9800"/>
    <n v="686"/>
    <n v="10486"/>
  </r>
  <r>
    <n v="38603"/>
    <x v="9"/>
    <n v="3"/>
    <n v="3.4"/>
    <x v="34"/>
    <x v="33"/>
    <n v="960.78430000000003"/>
    <n v="10780"/>
    <n v="9800"/>
    <n v="686"/>
    <n v="10486"/>
  </r>
  <r>
    <n v="38603"/>
    <x v="9"/>
    <n v="2.7"/>
    <n v="4"/>
    <x v="35"/>
    <x v="34"/>
    <n v="925.92589999999996"/>
    <n v="0"/>
    <n v="10000"/>
    <n v="700"/>
    <n v="10700"/>
  </r>
  <r>
    <n v="38603"/>
    <x v="10"/>
    <n v="1.3"/>
    <n v="2.2000000000000002"/>
    <x v="36"/>
    <x v="35"/>
    <n v="874.12580000000003"/>
    <n v="0"/>
    <n v="2500"/>
    <n v="175"/>
    <n v="2675"/>
  </r>
  <r>
    <n v="38603"/>
    <x v="10"/>
    <n v="2.2000000000000002"/>
    <n v="1.3"/>
    <x v="37"/>
    <x v="35"/>
    <n v="874.12580000000003"/>
    <n v="0"/>
    <n v="2500"/>
    <n v="175"/>
    <n v="2675"/>
  </r>
  <r>
    <n v="38603"/>
    <x v="10"/>
    <n v="1.5"/>
    <n v="2"/>
    <x v="13"/>
    <x v="13"/>
    <n v="866.66660000000002"/>
    <n v="2860"/>
    <n v="2600"/>
    <n v="182"/>
    <n v="2782"/>
  </r>
  <r>
    <n v="38603"/>
    <x v="10"/>
    <n v="1.1000000000000001"/>
    <n v="3.2"/>
    <x v="38"/>
    <x v="36"/>
    <n v="852.27269999999999"/>
    <n v="0"/>
    <n v="3000"/>
    <n v="210"/>
    <n v="3210"/>
  </r>
  <r>
    <n v="38603"/>
    <x v="10"/>
    <n v="2"/>
    <n v="2.1"/>
    <x v="39"/>
    <x v="17"/>
    <n v="1000"/>
    <n v="4620"/>
    <n v="4200"/>
    <n v="294"/>
    <n v="4494"/>
  </r>
  <r>
    <n v="38603"/>
    <x v="10"/>
    <n v="3.9"/>
    <n v="1.1000000000000001"/>
    <x v="40"/>
    <x v="37"/>
    <n v="979.02089999999998"/>
    <n v="0"/>
    <n v="4200"/>
    <n v="294"/>
    <n v="4494"/>
  </r>
  <r>
    <n v="38603"/>
    <x v="10"/>
    <n v="2.2000000000000002"/>
    <n v="2"/>
    <x v="41"/>
    <x v="38"/>
    <n v="954.54539999999997"/>
    <n v="0"/>
    <n v="4200"/>
    <n v="294"/>
    <n v="4494"/>
  </r>
  <r>
    <n v="38603"/>
    <x v="10"/>
    <n v="1.7"/>
    <n v="2.6"/>
    <x v="42"/>
    <x v="39"/>
    <n v="950.22619999999995"/>
    <n v="0"/>
    <n v="4200"/>
    <n v="294"/>
    <n v="4494"/>
  </r>
  <r>
    <n v="38603"/>
    <x v="10"/>
    <n v="2.6"/>
    <n v="1.7"/>
    <x v="43"/>
    <x v="39"/>
    <n v="950.22619999999995"/>
    <n v="0"/>
    <n v="4200"/>
    <n v="294"/>
    <n v="4494"/>
  </r>
  <r>
    <n v="38603"/>
    <x v="11"/>
    <n v="4.5"/>
    <n v="4.5999999999999996"/>
    <x v="44"/>
    <x v="40"/>
    <n v="908.21249999999998"/>
    <n v="0"/>
    <n v="18800"/>
    <n v="1316"/>
    <n v="20116"/>
  </r>
  <r>
    <n v="38603"/>
    <x v="11"/>
    <n v="5.4"/>
    <n v="5.3"/>
    <x v="45"/>
    <x v="41"/>
    <n v="943.39620000000002"/>
    <n v="0"/>
    <n v="27000"/>
    <n v="1890"/>
    <n v="28890"/>
  </r>
  <r>
    <n v="38603"/>
    <x v="12"/>
    <n v="1"/>
    <n v="1.5"/>
    <x v="46"/>
    <x v="42"/>
    <n v="1066.6666"/>
    <n v="0"/>
    <n v="1600"/>
    <n v="112"/>
    <n v="1712"/>
  </r>
  <r>
    <n v="38603"/>
    <x v="12"/>
    <n v="2.2000000000000002"/>
    <n v="0.7"/>
    <x v="47"/>
    <x v="43"/>
    <n v="1038.961"/>
    <n v="0"/>
    <n v="1600"/>
    <n v="112"/>
    <n v="1712"/>
  </r>
  <r>
    <n v="38603"/>
    <x v="12"/>
    <n v="2"/>
    <n v="0.8"/>
    <x v="48"/>
    <x v="44"/>
    <n v="1062.5"/>
    <n v="0"/>
    <n v="1700"/>
    <n v="119"/>
    <n v="1819"/>
  </r>
  <r>
    <n v="38603"/>
    <x v="12"/>
    <n v="1"/>
    <n v="1.7"/>
    <x v="18"/>
    <x v="18"/>
    <n v="1058.8235"/>
    <n v="1980"/>
    <n v="1800"/>
    <n v="126"/>
    <n v="1926"/>
  </r>
  <r>
    <n v="38603"/>
    <x v="12"/>
    <n v="1"/>
    <n v="1.8"/>
    <x v="49"/>
    <x v="45"/>
    <n v="1000"/>
    <n v="0"/>
    <n v="1800"/>
    <n v="126"/>
    <n v="1926"/>
  </r>
  <r>
    <n v="38603"/>
    <x v="12"/>
    <n v="1"/>
    <n v="2"/>
    <x v="50"/>
    <x v="46"/>
    <n v="1000"/>
    <n v="2240"/>
    <n v="2000"/>
    <n v="140"/>
    <n v="2140"/>
  </r>
  <r>
    <n v="38603"/>
    <x v="12"/>
    <n v="1"/>
    <n v="2.2000000000000002"/>
    <x v="51"/>
    <x v="47"/>
    <n v="954.54539999999997"/>
    <n v="0"/>
    <n v="2100"/>
    <n v="147"/>
    <n v="2247"/>
  </r>
  <r>
    <n v="38603"/>
    <x v="12"/>
    <n v="2"/>
    <n v="1.2"/>
    <x v="52"/>
    <x v="48"/>
    <n v="875"/>
    <n v="0"/>
    <n v="2100"/>
    <n v="147"/>
    <n v="2247"/>
  </r>
  <r>
    <n v="38603"/>
    <x v="13"/>
    <n v="1"/>
    <n v="0.8"/>
    <x v="53"/>
    <x v="49"/>
    <n v="1562.5"/>
    <n v="0"/>
    <n v="1250"/>
    <n v="87.5"/>
    <n v="1337.5"/>
  </r>
  <r>
    <n v="38603"/>
    <x v="13"/>
    <n v="1"/>
    <n v="1"/>
    <x v="54"/>
    <x v="50"/>
    <n v="1300"/>
    <n v="1404"/>
    <n v="1300"/>
    <n v="91"/>
    <n v="1391"/>
  </r>
  <r>
    <n v="38603"/>
    <x v="13"/>
    <n v="1.3"/>
    <n v="0.8"/>
    <x v="55"/>
    <x v="51"/>
    <n v="1250"/>
    <n v="0"/>
    <n v="1300"/>
    <n v="91"/>
    <n v="1391"/>
  </r>
  <r>
    <n v="38603"/>
    <x v="13"/>
    <n v="1"/>
    <n v="1.4"/>
    <x v="56"/>
    <x v="52"/>
    <n v="1071.4285"/>
    <n v="1650"/>
    <n v="1500"/>
    <n v="105"/>
    <n v="1605"/>
  </r>
  <r>
    <n v="38603"/>
    <x v="13"/>
    <n v="1.4"/>
    <n v="1"/>
    <x v="57"/>
    <x v="52"/>
    <n v="1071.4285"/>
    <n v="0"/>
    <n v="1500"/>
    <n v="105"/>
    <n v="16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39821"/>
    <x v="0"/>
    <n v="1"/>
    <n v="1"/>
    <s v="1x1"/>
    <x v="0"/>
    <n v="894.58"/>
    <n v="0"/>
    <n v="894.58"/>
    <n v="62.620600000000003"/>
    <n v="957.20060000000001"/>
  </r>
  <r>
    <n v="39821"/>
    <x v="1"/>
    <n v="1"/>
    <n v="1"/>
    <s v="1x1"/>
    <x v="0"/>
    <n v="801.12"/>
    <n v="0"/>
    <n v="801.12"/>
    <n v="56.078400000000002"/>
    <n v="857.19839999999999"/>
  </r>
  <r>
    <n v="39821"/>
    <x v="2"/>
    <n v="0"/>
    <n v="0"/>
    <s v="0x0"/>
    <x v="1"/>
    <n v="0"/>
    <n v="0"/>
    <n v="0"/>
    <n v="0"/>
    <n v="0"/>
  </r>
  <r>
    <n v="39821"/>
    <x v="3"/>
    <n v="3.8"/>
    <n v="3"/>
    <s v="3.8x3"/>
    <x v="2"/>
    <n v="1271.9297999999999"/>
    <n v="0"/>
    <n v="14500"/>
    <n v="1015"/>
    <n v="15515"/>
  </r>
  <r>
    <n v="39821"/>
    <x v="3"/>
    <n v="1.9"/>
    <n v="6.5"/>
    <s v="1.9x6.5"/>
    <x v="3"/>
    <n v="1327.9351999999999"/>
    <n v="0"/>
    <n v="16400"/>
    <n v="1148"/>
    <n v="17548"/>
  </r>
  <r>
    <n v="39821"/>
    <x v="3"/>
    <n v="2.7"/>
    <n v="4.7"/>
    <s v="2.7x4.7"/>
    <x v="4"/>
    <n v="1292.3561"/>
    <n v="0"/>
    <n v="16400"/>
    <n v="1148"/>
    <n v="17548"/>
  </r>
  <r>
    <n v="39821"/>
    <x v="3"/>
    <n v="2.7"/>
    <n v="4.8"/>
    <s v="2.7x4.8"/>
    <x v="5"/>
    <n v="1265.432"/>
    <n v="0"/>
    <n v="16400"/>
    <n v="1148"/>
    <n v="17548"/>
  </r>
  <r>
    <n v="39821"/>
    <x v="3"/>
    <n v="2.5"/>
    <n v="6.5"/>
    <s v="2.5x6.5"/>
    <x v="6"/>
    <n v="1138.4614999999999"/>
    <n v="20535"/>
    <n v="18500"/>
    <n v="1295"/>
    <n v="19795"/>
  </r>
  <r>
    <n v="39821"/>
    <x v="3"/>
    <n v="6"/>
    <n v="2.9"/>
    <s v="6x2.9"/>
    <x v="7"/>
    <n v="1206.8965000000001"/>
    <n v="23310"/>
    <n v="21000"/>
    <n v="1470"/>
    <n v="22470"/>
  </r>
  <r>
    <n v="39821"/>
    <x v="3"/>
    <n v="6.4"/>
    <n v="3"/>
    <s v="6.4x3"/>
    <x v="8"/>
    <n v="1223.9583"/>
    <n v="0"/>
    <n v="23500"/>
    <n v="1645"/>
    <n v="25145"/>
  </r>
  <r>
    <n v="39821"/>
    <x v="4"/>
    <n v="1.4"/>
    <n v="3.6"/>
    <s v="1.4x3.6"/>
    <x v="9"/>
    <n v="1230.1587"/>
    <n v="7006"/>
    <n v="6200"/>
    <n v="434"/>
    <n v="6634"/>
  </r>
  <r>
    <n v="39821"/>
    <x v="4"/>
    <n v="1.9"/>
    <n v="2.9"/>
    <s v="1.9x2.9"/>
    <x v="10"/>
    <n v="1179.6732999999999"/>
    <n v="7215"/>
    <n v="6500"/>
    <n v="455"/>
    <n v="6955"/>
  </r>
  <r>
    <n v="39821"/>
    <x v="4"/>
    <n v="1.7"/>
    <n v="3.6"/>
    <s v="1.7x3.6"/>
    <x v="11"/>
    <n v="1176.4704999999999"/>
    <n v="0"/>
    <n v="7200"/>
    <n v="504"/>
    <n v="7704"/>
  </r>
  <r>
    <n v="39821"/>
    <x v="4"/>
    <n v="1.4"/>
    <n v="4.7"/>
    <s v="1.4x4.7"/>
    <x v="12"/>
    <n v="1215.8054"/>
    <n v="8960"/>
    <n v="8000"/>
    <n v="560"/>
    <n v="8560"/>
  </r>
  <r>
    <n v="39821"/>
    <x v="4"/>
    <n v="1.5"/>
    <n v="4.7"/>
    <s v="1.5x4.7"/>
    <x v="13"/>
    <n v="1177.3049000000001"/>
    <n v="0"/>
    <n v="8300"/>
    <n v="581"/>
    <n v="8881"/>
  </r>
  <r>
    <n v="39821"/>
    <x v="4"/>
    <n v="1.7"/>
    <n v="4.5"/>
    <s v="1.7x4.5"/>
    <x v="14"/>
    <n v="1189.5424"/>
    <n v="0"/>
    <n v="9100"/>
    <n v="637"/>
    <n v="9737"/>
  </r>
  <r>
    <n v="39821"/>
    <x v="4"/>
    <n v="2.9"/>
    <n v="2.7"/>
    <s v="2.9x2.7"/>
    <x v="15"/>
    <n v="1200.5108"/>
    <n v="0"/>
    <n v="9400"/>
    <n v="658"/>
    <n v="10058"/>
  </r>
  <r>
    <n v="39821"/>
    <x v="4"/>
    <n v="1.7"/>
    <n v="4.7"/>
    <s v="1.7x4.7"/>
    <x v="16"/>
    <n v="1239.0488"/>
    <n v="0"/>
    <n v="9900"/>
    <n v="693"/>
    <n v="10593"/>
  </r>
  <r>
    <n v="39821"/>
    <x v="4"/>
    <n v="2.2999999999999998"/>
    <n v="3.5"/>
    <s v="2.3x3.5"/>
    <x v="17"/>
    <n v="1229.8136"/>
    <n v="0"/>
    <n v="9900"/>
    <n v="693"/>
    <n v="10593"/>
  </r>
  <r>
    <n v="39821"/>
    <x v="4"/>
    <n v="3"/>
    <n v="2.8"/>
    <s v="3x2.8"/>
    <x v="18"/>
    <n v="1202.3809000000001"/>
    <n v="0"/>
    <n v="10100"/>
    <n v="707"/>
    <n v="10807"/>
  </r>
  <r>
    <n v="39821"/>
    <x v="4"/>
    <n v="3"/>
    <n v="2.9"/>
    <s v="3x2.9"/>
    <x v="19"/>
    <n v="1229.885"/>
    <n v="0"/>
    <n v="10700"/>
    <n v="749"/>
    <n v="11449"/>
  </r>
  <r>
    <n v="39821"/>
    <x v="4"/>
    <n v="3.1"/>
    <n v="2.9"/>
    <s v="3.1x2.9"/>
    <x v="20"/>
    <n v="1223.5817"/>
    <n v="0"/>
    <n v="11000"/>
    <n v="770"/>
    <n v="11770"/>
  </r>
  <r>
    <n v="39821"/>
    <x v="4"/>
    <n v="3.5"/>
    <n v="2.7"/>
    <s v="3.5x2.7"/>
    <x v="21"/>
    <n v="1227.5132000000001"/>
    <n v="0"/>
    <n v="11600"/>
    <n v="812"/>
    <n v="12412"/>
  </r>
  <r>
    <n v="39821"/>
    <x v="4"/>
    <n v="2.9"/>
    <n v="3.4"/>
    <s v="2.9x3.4"/>
    <x v="22"/>
    <n v="1298.1744000000001"/>
    <n v="0"/>
    <n v="12800"/>
    <n v="896"/>
    <n v="13696"/>
  </r>
  <r>
    <n v="39821"/>
    <x v="5"/>
    <n v="1"/>
    <n v="2.9"/>
    <s v="1x2.9"/>
    <x v="23"/>
    <n v="1206.8965000000001"/>
    <n v="3815"/>
    <n v="3500"/>
    <n v="245"/>
    <n v="3745"/>
  </r>
  <r>
    <n v="39821"/>
    <x v="5"/>
    <n v="2.2999999999999998"/>
    <n v="1.3"/>
    <s v="2.3x1.3"/>
    <x v="24"/>
    <n v="1237.4581000000001"/>
    <n v="0"/>
    <n v="3700"/>
    <n v="259"/>
    <n v="3959"/>
  </r>
  <r>
    <n v="39821"/>
    <x v="5"/>
    <n v="2"/>
    <n v="1.5"/>
    <s v="2x1.5"/>
    <x v="25"/>
    <n v="1233.3333"/>
    <n v="4033"/>
    <n v="3700"/>
    <n v="259"/>
    <n v="3959"/>
  </r>
  <r>
    <n v="39821"/>
    <x v="5"/>
    <n v="2.1"/>
    <n v="1.5"/>
    <s v="2.1x1.5"/>
    <x v="26"/>
    <n v="1238.0952"/>
    <n v="4368"/>
    <n v="3900"/>
    <n v="273"/>
    <n v="4173"/>
  </r>
  <r>
    <n v="39821"/>
    <x v="5"/>
    <n v="2.2000000000000002"/>
    <n v="1.5"/>
    <s v="2.2x1.5"/>
    <x v="27"/>
    <n v="1212.1212"/>
    <n v="4520"/>
    <n v="4000"/>
    <n v="280"/>
    <n v="4280"/>
  </r>
  <r>
    <n v="39821"/>
    <x v="5"/>
    <n v="2.2999999999999998"/>
    <n v="1.5"/>
    <s v="2.3x1.5"/>
    <x v="28"/>
    <n v="1217.3913"/>
    <n v="4704"/>
    <n v="4200"/>
    <n v="294"/>
    <n v="4494"/>
  </r>
  <r>
    <n v="39821"/>
    <x v="5"/>
    <n v="1.1000000000000001"/>
    <n v="3.2"/>
    <s v="1.1x3.2"/>
    <x v="29"/>
    <n v="1193.1818000000001"/>
    <n v="4746"/>
    <n v="4200"/>
    <n v="294"/>
    <n v="4494"/>
  </r>
  <r>
    <n v="39821"/>
    <x v="5"/>
    <n v="1.5"/>
    <n v="2.4"/>
    <s v="1.5x2.4"/>
    <x v="30"/>
    <n v="1250"/>
    <n v="4635"/>
    <n v="4500"/>
    <n v="315"/>
    <n v="4815"/>
  </r>
  <r>
    <n v="39821"/>
    <x v="5"/>
    <n v="1.3"/>
    <n v="2.9"/>
    <s v="1.3x2.9"/>
    <x v="31"/>
    <n v="1220.1591000000001"/>
    <n v="5198"/>
    <n v="4600"/>
    <n v="322"/>
    <n v="4922"/>
  </r>
  <r>
    <n v="39821"/>
    <x v="5"/>
    <n v="1.3"/>
    <n v="3.1"/>
    <s v="1.3x3.1"/>
    <x v="32"/>
    <n v="1191.0669"/>
    <n v="3120"/>
    <n v="4800"/>
    <n v="336"/>
    <n v="5136"/>
  </r>
  <r>
    <n v="39821"/>
    <x v="5"/>
    <n v="1.4"/>
    <n v="2.9"/>
    <s v="1.4x2.9"/>
    <x v="33"/>
    <n v="1182.2660000000001"/>
    <n v="5328"/>
    <n v="4800"/>
    <n v="336"/>
    <n v="5136"/>
  </r>
  <r>
    <n v="39821"/>
    <x v="5"/>
    <n v="1.2"/>
    <n v="3.6"/>
    <s v="1.2x3.6"/>
    <x v="34"/>
    <n v="1388.8887999999999"/>
    <n v="0"/>
    <n v="6000"/>
    <n v="420"/>
    <n v="6420"/>
  </r>
  <r>
    <n v="39821"/>
    <x v="5"/>
    <n v="1.6"/>
    <n v="3"/>
    <s v="1.6x3"/>
    <x v="35"/>
    <n v="1291.6666"/>
    <n v="7006"/>
    <n v="6200"/>
    <n v="434"/>
    <n v="6634"/>
  </r>
  <r>
    <n v="39821"/>
    <x v="5"/>
    <n v="1.7"/>
    <n v="2.9"/>
    <s v="1.7x2.9"/>
    <x v="36"/>
    <n v="1257.6063999999999"/>
    <n v="6882"/>
    <n v="6200"/>
    <n v="434"/>
    <n v="6634"/>
  </r>
  <r>
    <n v="39821"/>
    <x v="6"/>
    <n v="3.1"/>
    <n v="6.5"/>
    <s v="3.1x6.5"/>
    <x v="37"/>
    <n v="1166.2530999999999"/>
    <n v="0"/>
    <n v="23500"/>
    <n v="1645"/>
    <n v="25145"/>
  </r>
  <r>
    <n v="39821"/>
    <x v="6"/>
    <n v="3.2"/>
    <n v="6.4"/>
    <s v="3.2x6.4"/>
    <x v="38"/>
    <n v="1147.4609"/>
    <n v="26085"/>
    <n v="23500"/>
    <n v="1645"/>
    <n v="25145"/>
  </r>
  <r>
    <n v="39821"/>
    <x v="6"/>
    <n v="3.2"/>
    <n v="6.5"/>
    <s v="3.2x6.5"/>
    <x v="39"/>
    <n v="1129.8076000000001"/>
    <n v="0"/>
    <n v="23500"/>
    <n v="1645"/>
    <n v="25145"/>
  </r>
  <r>
    <n v="39821"/>
    <x v="6"/>
    <n v="5.0999999999999996"/>
    <n v="4.5"/>
    <s v="5.1x4.5"/>
    <x v="40"/>
    <n v="1159.0413000000001"/>
    <n v="0"/>
    <n v="26600"/>
    <n v="1862"/>
    <n v="28462"/>
  </r>
  <r>
    <n v="39821"/>
    <x v="6"/>
    <n v="4"/>
    <n v="6.5"/>
    <s v="4x6.5"/>
    <x v="41"/>
    <n v="1107.6922999999999"/>
    <n v="0"/>
    <n v="28800"/>
    <n v="2016"/>
    <n v="30816"/>
  </r>
  <r>
    <n v="39821"/>
    <x v="7"/>
    <n v="1.2"/>
    <n v="1.3"/>
    <s v="1.2x1.3"/>
    <x v="42"/>
    <n v="1410.2564"/>
    <n v="0"/>
    <n v="2200"/>
    <n v="154"/>
    <n v="2354"/>
  </r>
  <r>
    <n v="39821"/>
    <x v="7"/>
    <n v="1.6"/>
    <n v="1"/>
    <s v="1.6x1"/>
    <x v="43"/>
    <n v="1375"/>
    <n v="0"/>
    <n v="2200"/>
    <n v="154"/>
    <n v="2354"/>
  </r>
  <r>
    <n v="39821"/>
    <x v="7"/>
    <n v="1.5"/>
    <n v="1.1000000000000001"/>
    <s v="1.5x1.1"/>
    <x v="44"/>
    <n v="1333.3333"/>
    <n v="0"/>
    <n v="2200"/>
    <n v="154"/>
    <n v="2354"/>
  </r>
  <r>
    <n v="39821"/>
    <x v="7"/>
    <n v="1.7"/>
    <n v="1"/>
    <s v="1.7x1"/>
    <x v="45"/>
    <n v="1294.1176"/>
    <n v="0"/>
    <n v="2200"/>
    <n v="154"/>
    <n v="2354"/>
  </r>
  <r>
    <n v="39821"/>
    <x v="7"/>
    <n v="1.9"/>
    <n v="1"/>
    <s v="1.9x1"/>
    <x v="46"/>
    <n v="1368.421"/>
    <n v="0"/>
    <n v="2600"/>
    <n v="182"/>
    <n v="2782"/>
  </r>
  <r>
    <n v="39821"/>
    <x v="7"/>
    <n v="1.5"/>
    <n v="1.3"/>
    <s v="1.5x1.3"/>
    <x v="47"/>
    <n v="1333.3333"/>
    <n v="2938"/>
    <n v="2600"/>
    <n v="182"/>
    <n v="2782"/>
  </r>
  <r>
    <n v="39821"/>
    <x v="7"/>
    <n v="2"/>
    <n v="1"/>
    <s v="2x1"/>
    <x v="48"/>
    <n v="1300"/>
    <n v="2756"/>
    <n v="2600"/>
    <n v="182"/>
    <n v="2782"/>
  </r>
  <r>
    <n v="39821"/>
    <x v="7"/>
    <n v="1.6"/>
    <n v="1.3"/>
    <s v="1.6x1.3"/>
    <x v="49"/>
    <n v="1250"/>
    <n v="0"/>
    <n v="2600"/>
    <n v="182"/>
    <n v="2782"/>
  </r>
  <r>
    <n v="39821"/>
    <x v="7"/>
    <n v="1.1000000000000001"/>
    <n v="1.9"/>
    <s v="1.1x1.9"/>
    <x v="50"/>
    <n v="1244.0191"/>
    <n v="2886"/>
    <n v="2600"/>
    <n v="182"/>
    <n v="2782"/>
  </r>
  <r>
    <n v="39821"/>
    <x v="7"/>
    <n v="1.5"/>
    <n v="1.4"/>
    <s v="1.5x1.4"/>
    <x v="51"/>
    <n v="1238.0952"/>
    <n v="2886"/>
    <n v="2600"/>
    <n v="182"/>
    <n v="2782"/>
  </r>
  <r>
    <n v="39821"/>
    <x v="8"/>
    <n v="7"/>
    <n v="4.8"/>
    <s v="7x4.8"/>
    <x v="52"/>
    <n v="1086.3095000000001"/>
    <n v="0"/>
    <n v="36500"/>
    <n v="2555"/>
    <n v="39055"/>
  </r>
  <r>
    <n v="39821"/>
    <x v="8"/>
    <n v="6.8"/>
    <n v="5"/>
    <s v="6.8x5"/>
    <x v="53"/>
    <n v="1073.5293999999999"/>
    <n v="0"/>
    <n v="36500"/>
    <n v="2555"/>
    <n v="39055"/>
  </r>
  <r>
    <n v="39821"/>
    <x v="8"/>
    <n v="5.6"/>
    <n v="6.5"/>
    <s v="5.6x6.5"/>
    <x v="54"/>
    <n v="1057.6922999999999"/>
    <n v="0"/>
    <n v="38500"/>
    <n v="2695"/>
    <n v="41195"/>
  </r>
  <r>
    <n v="39821"/>
    <x v="8"/>
    <n v="10"/>
    <n v="5.0999999999999996"/>
    <s v="10x5.1"/>
    <x v="55"/>
    <n v="1078.4313"/>
    <n v="0"/>
    <n v="55000"/>
    <n v="3850"/>
    <n v="58850"/>
  </r>
  <r>
    <n v="39821"/>
    <x v="9"/>
    <n v="1"/>
    <n v="1"/>
    <s v="1x1"/>
    <x v="0"/>
    <n v="1500"/>
    <n v="0"/>
    <n v="1500"/>
    <n v="105"/>
    <n v="1605"/>
  </r>
  <r>
    <n v="39821"/>
    <x v="9"/>
    <n v="1.1000000000000001"/>
    <n v="1"/>
    <s v="1.1x1"/>
    <x v="56"/>
    <n v="1363.6362999999999"/>
    <n v="0"/>
    <n v="1500"/>
    <n v="105"/>
    <n v="1605"/>
  </r>
  <r>
    <n v="39821"/>
    <x v="9"/>
    <n v="1.2"/>
    <n v="1"/>
    <s v="1.2x1"/>
    <x v="57"/>
    <n v="1333.3333"/>
    <n v="1776"/>
    <n v="1600"/>
    <n v="112"/>
    <n v="1712"/>
  </r>
  <r>
    <n v="39821"/>
    <x v="9"/>
    <n v="1"/>
    <n v="1.3"/>
    <s v="1x1.3"/>
    <x v="58"/>
    <n v="1230.7692"/>
    <n v="1648"/>
    <n v="1600"/>
    <n v="112"/>
    <n v="1712"/>
  </r>
  <r>
    <n v="39821"/>
    <x v="9"/>
    <n v="1.2"/>
    <n v="1.1000000000000001"/>
    <s v="1.2x1.1"/>
    <x v="59"/>
    <n v="1212.1212"/>
    <n v="0"/>
    <n v="1600"/>
    <n v="112"/>
    <n v="1712"/>
  </r>
  <r>
    <n v="39821"/>
    <x v="9"/>
    <n v="1.4"/>
    <n v="1"/>
    <s v="1.4x1"/>
    <x v="60"/>
    <n v="1428.5714"/>
    <n v="2060"/>
    <n v="2000"/>
    <n v="140"/>
    <n v="2140"/>
  </r>
  <r>
    <n v="39821"/>
    <x v="9"/>
    <n v="1.6"/>
    <n v="0.9"/>
    <s v="1.6x0.9"/>
    <x v="61"/>
    <n v="1388.8887999999999"/>
    <n v="0"/>
    <n v="2000"/>
    <n v="140"/>
    <n v="21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46299"/>
    <x v="0"/>
    <n v="2.7"/>
    <n v="5.4"/>
    <s v="2.7x5.4"/>
    <x v="0"/>
    <n v="1001.3717"/>
    <n v="0"/>
    <n v="14600"/>
    <n v="1022"/>
    <n v="15622"/>
  </r>
  <r>
    <n v="46299"/>
    <x v="0"/>
    <n v="3"/>
    <n v="5.3"/>
    <s v="3x5.3"/>
    <x v="1"/>
    <n v="1000"/>
    <n v="0"/>
    <n v="15900"/>
    <n v="1113"/>
    <n v="17013"/>
  </r>
  <r>
    <n v="46299"/>
    <x v="0"/>
    <n v="3"/>
    <n v="5.4"/>
    <s v="3x5.4"/>
    <x v="2"/>
    <n v="1000"/>
    <n v="0"/>
    <n v="16200"/>
    <n v="1134"/>
    <n v="17334"/>
  </r>
  <r>
    <n v="46299"/>
    <x v="0"/>
    <n v="4.5"/>
    <n v="4.2"/>
    <s v="4.5x4.2"/>
    <x v="3"/>
    <n v="1010.582"/>
    <n v="0"/>
    <n v="19100"/>
    <n v="1337"/>
    <n v="20437"/>
  </r>
  <r>
    <n v="46299"/>
    <x v="0"/>
    <n v="3.6"/>
    <n v="5.3"/>
    <s v="3.6x5.3"/>
    <x v="4"/>
    <n v="1001.0482"/>
    <n v="0"/>
    <n v="19100"/>
    <n v="1337"/>
    <n v="20437"/>
  </r>
  <r>
    <n v="46299"/>
    <x v="1"/>
    <n v="1"/>
    <n v="0.6"/>
    <s v="1x0.6"/>
    <x v="5"/>
    <n v="1490.9666"/>
    <n v="0"/>
    <n v="894.58"/>
    <n v="62.620600000000003"/>
    <n v="957.20060000000001"/>
  </r>
  <r>
    <n v="46299"/>
    <x v="2"/>
    <n v="1"/>
    <n v="0.6"/>
    <s v="1x0.6"/>
    <x v="5"/>
    <n v="1335.2"/>
    <n v="0"/>
    <n v="801.12"/>
    <n v="56.078400000000002"/>
    <n v="857.19839999999999"/>
  </r>
  <r>
    <n v="46299"/>
    <x v="3"/>
    <n v="4.8"/>
    <n v="5.9"/>
    <s v="4.8x5.9"/>
    <x v="6"/>
    <n v="776.83609999999999"/>
    <n v="0"/>
    <n v="22000"/>
    <n v="1540"/>
    <n v="23540"/>
  </r>
  <r>
    <n v="46299"/>
    <x v="4"/>
    <n v="3.3"/>
    <n v="4.5"/>
    <s v="3.3x4.5"/>
    <x v="7"/>
    <n v="1212.1212"/>
    <n v="0"/>
    <n v="18000"/>
    <n v="1260"/>
    <n v="19260"/>
  </r>
  <r>
    <n v="46299"/>
    <x v="4"/>
    <n v="3"/>
    <n v="6.5"/>
    <s v="3x6.5"/>
    <x v="8"/>
    <n v="1076.923"/>
    <n v="0"/>
    <n v="21000"/>
    <n v="1470"/>
    <n v="22470"/>
  </r>
  <r>
    <n v="46299"/>
    <x v="5"/>
    <n v="2.2999999999999998"/>
    <n v="2.2999999999999998"/>
    <s v="2.3x2.3"/>
    <x v="9"/>
    <n v="1020.7939"/>
    <n v="0"/>
    <n v="5400"/>
    <n v="378"/>
    <n v="5778"/>
  </r>
  <r>
    <n v="46299"/>
    <x v="5"/>
    <n v="2.2999999999999998"/>
    <n v="2.2999999999999998"/>
    <s v="2.3x2.3"/>
    <x v="9"/>
    <n v="1096.4083000000001"/>
    <n v="0"/>
    <n v="5800"/>
    <n v="406"/>
    <n v="6206"/>
  </r>
  <r>
    <n v="46299"/>
    <x v="5"/>
    <n v="2.2999999999999998"/>
    <n v="2.2999999999999998"/>
    <s v="2.3x2.3"/>
    <x v="9"/>
    <n v="1153.1189999999999"/>
    <n v="0"/>
    <n v="6100"/>
    <n v="427"/>
    <n v="6527"/>
  </r>
  <r>
    <n v="46299"/>
    <x v="5"/>
    <n v="2.2999999999999998"/>
    <n v="2.2999999999999998"/>
    <s v="2.3x2.3"/>
    <x v="9"/>
    <n v="1228.7334000000001"/>
    <n v="0"/>
    <n v="6500"/>
    <n v="455"/>
    <n v="6955"/>
  </r>
  <r>
    <n v="46299"/>
    <x v="5"/>
    <n v="2.1"/>
    <n v="2.6"/>
    <s v="2.1x2.6"/>
    <x v="10"/>
    <n v="1062.271"/>
    <n v="0"/>
    <n v="5800"/>
    <n v="406"/>
    <n v="6206"/>
  </r>
  <r>
    <n v="46299"/>
    <x v="5"/>
    <n v="2.2999999999999998"/>
    <n v="2.9"/>
    <s v="2.3x2.9"/>
    <x v="11"/>
    <n v="1259.3703"/>
    <n v="0"/>
    <n v="8400"/>
    <n v="588"/>
    <n v="8988"/>
  </r>
  <r>
    <n v="46299"/>
    <x v="5"/>
    <n v="2.9"/>
    <n v="2.2999999999999998"/>
    <s v="2.9x2.3"/>
    <x v="11"/>
    <n v="869.5652"/>
    <n v="0"/>
    <n v="5800"/>
    <n v="406"/>
    <n v="6206"/>
  </r>
  <r>
    <n v="46299"/>
    <x v="5"/>
    <n v="2.9"/>
    <n v="2.2999999999999998"/>
    <s v="2.9x2.3"/>
    <x v="11"/>
    <n v="1259.3703"/>
    <n v="0"/>
    <n v="8400"/>
    <n v="588"/>
    <n v="8988"/>
  </r>
  <r>
    <n v="46299"/>
    <x v="5"/>
    <n v="2.8"/>
    <n v="2.7"/>
    <s v="2.8x2.7"/>
    <x v="12"/>
    <n v="1216.9312"/>
    <n v="0"/>
    <n v="9200"/>
    <n v="644"/>
    <n v="9844"/>
  </r>
  <r>
    <n v="46299"/>
    <x v="5"/>
    <n v="1.9"/>
    <n v="4.0999999999999996"/>
    <s v="1.9x4.1"/>
    <x v="13"/>
    <n v="1219.5120999999999"/>
    <n v="0"/>
    <n v="9500"/>
    <n v="665"/>
    <n v="10165"/>
  </r>
  <r>
    <n v="46299"/>
    <x v="5"/>
    <n v="2.4"/>
    <n v="3.5"/>
    <s v="2.4x3.5"/>
    <x v="14"/>
    <n v="1190.4761000000001"/>
    <n v="0"/>
    <n v="10000"/>
    <n v="700"/>
    <n v="10700"/>
  </r>
  <r>
    <n v="46299"/>
    <x v="5"/>
    <n v="3.5"/>
    <n v="2.6"/>
    <s v="3.5x2.6"/>
    <x v="15"/>
    <n v="1208.7911999999999"/>
    <n v="0"/>
    <n v="11000"/>
    <n v="770"/>
    <n v="11770"/>
  </r>
  <r>
    <n v="46299"/>
    <x v="5"/>
    <n v="2.9"/>
    <n v="3.2"/>
    <s v="2.9x3.2"/>
    <x v="16"/>
    <n v="1185.3448000000001"/>
    <n v="0"/>
    <n v="11000"/>
    <n v="770"/>
    <n v="11770"/>
  </r>
  <r>
    <n v="46299"/>
    <x v="5"/>
    <n v="3.2"/>
    <n v="2.9"/>
    <s v="3.2x2.9"/>
    <x v="16"/>
    <n v="1185.3448000000001"/>
    <n v="0"/>
    <n v="11000"/>
    <n v="770"/>
    <n v="11770"/>
  </r>
  <r>
    <n v="46299"/>
    <x v="6"/>
    <n v="2.2000000000000002"/>
    <n v="1.2"/>
    <s v="2.2x1.2"/>
    <x v="17"/>
    <n v="1287.8787"/>
    <n v="0"/>
    <n v="3400"/>
    <n v="238"/>
    <n v="3638"/>
  </r>
  <r>
    <n v="46299"/>
    <x v="6"/>
    <n v="2.4"/>
    <n v="1.1000000000000001"/>
    <s v="2.4x1.1"/>
    <x v="17"/>
    <n v="1068.1818000000001"/>
    <n v="0"/>
    <n v="2820"/>
    <n v="197.4"/>
    <n v="3017.4"/>
  </r>
  <r>
    <n v="46299"/>
    <x v="6"/>
    <n v="2.4"/>
    <n v="1.1000000000000001"/>
    <s v="2.4x1.1"/>
    <x v="17"/>
    <n v="1325.7574999999999"/>
    <n v="0"/>
    <n v="3500"/>
    <n v="245"/>
    <n v="3745"/>
  </r>
  <r>
    <n v="46299"/>
    <x v="6"/>
    <n v="1.6"/>
    <n v="1.8"/>
    <s v="1.6x1.8"/>
    <x v="18"/>
    <n v="1215.2777000000001"/>
    <n v="0"/>
    <n v="3500"/>
    <n v="245"/>
    <n v="3745"/>
  </r>
  <r>
    <n v="46299"/>
    <x v="6"/>
    <n v="2.4"/>
    <n v="1.2"/>
    <s v="2.4x1.2"/>
    <x v="18"/>
    <n v="1215.2777000000001"/>
    <n v="0"/>
    <n v="3500"/>
    <n v="245"/>
    <n v="3745"/>
  </r>
  <r>
    <n v="46299"/>
    <x v="6"/>
    <n v="1.8"/>
    <n v="1.7"/>
    <s v="1.8x1.7"/>
    <x v="19"/>
    <n v="1274.5098"/>
    <n v="0"/>
    <n v="3900"/>
    <n v="273"/>
    <n v="4173"/>
  </r>
  <r>
    <n v="46299"/>
    <x v="6"/>
    <n v="1.4"/>
    <n v="2.2000000000000002"/>
    <s v="1.4x2.2"/>
    <x v="20"/>
    <n v="1266.2337"/>
    <n v="0"/>
    <n v="3900"/>
    <n v="273"/>
    <n v="4173"/>
  </r>
  <r>
    <n v="46299"/>
    <x v="6"/>
    <n v="2.2000000000000002"/>
    <n v="1.4"/>
    <s v="2.2x1.4"/>
    <x v="20"/>
    <n v="1266.2337"/>
    <n v="0"/>
    <n v="3900"/>
    <n v="273"/>
    <n v="4173"/>
  </r>
  <r>
    <n v="46299"/>
    <x v="6"/>
    <n v="1.4"/>
    <n v="2.2999999999999998"/>
    <s v="1.4x2.3"/>
    <x v="21"/>
    <n v="1242.2360000000001"/>
    <n v="0"/>
    <n v="4000"/>
    <n v="280"/>
    <n v="4280"/>
  </r>
  <r>
    <n v="46299"/>
    <x v="6"/>
    <n v="2.2999999999999998"/>
    <n v="1.4"/>
    <s v="2.3x1.4"/>
    <x v="21"/>
    <n v="1242.2360000000001"/>
    <n v="0"/>
    <n v="4000"/>
    <n v="280"/>
    <n v="4280"/>
  </r>
  <r>
    <n v="46299"/>
    <x v="6"/>
    <n v="1.9"/>
    <n v="1.9"/>
    <s v="1.9x1.9"/>
    <x v="22"/>
    <n v="1163.4349"/>
    <n v="0"/>
    <n v="4200"/>
    <n v="294"/>
    <n v="4494"/>
  </r>
  <r>
    <n v="46299"/>
    <x v="6"/>
    <n v="1.7"/>
    <n v="2.2000000000000002"/>
    <s v="1.7x2.2"/>
    <x v="23"/>
    <n v="1256.6844000000001"/>
    <n v="0"/>
    <n v="4700"/>
    <n v="329"/>
    <n v="5029"/>
  </r>
  <r>
    <n v="46299"/>
    <x v="6"/>
    <n v="2.8"/>
    <n v="1.4"/>
    <s v="2.8x1.4"/>
    <x v="24"/>
    <n v="1275.5101999999999"/>
    <n v="0"/>
    <n v="5000"/>
    <n v="350"/>
    <n v="5350"/>
  </r>
  <r>
    <n v="46299"/>
    <x v="6"/>
    <n v="1.7"/>
    <n v="2.4"/>
    <s v="1.7x2.4"/>
    <x v="25"/>
    <n v="1127.4509"/>
    <n v="0"/>
    <n v="4600"/>
    <n v="322"/>
    <n v="4922"/>
  </r>
  <r>
    <n v="46299"/>
    <x v="6"/>
    <n v="1.7"/>
    <n v="2.4"/>
    <s v="1.7x2.4"/>
    <x v="25"/>
    <n v="1225.4901"/>
    <n v="0"/>
    <n v="5000"/>
    <n v="350"/>
    <n v="5350"/>
  </r>
  <r>
    <n v="46299"/>
    <x v="6"/>
    <n v="2.2999999999999998"/>
    <n v="2"/>
    <s v="2.3x2"/>
    <x v="26"/>
    <n v="1217.3913"/>
    <n v="0"/>
    <n v="5600"/>
    <n v="392"/>
    <n v="5992"/>
  </r>
  <r>
    <n v="46299"/>
    <x v="7"/>
    <n v="4.2"/>
    <n v="5.8"/>
    <s v="4.2x5.8"/>
    <x v="27"/>
    <n v="1219.2118"/>
    <n v="0"/>
    <n v="29700"/>
    <n v="2079"/>
    <n v="31779"/>
  </r>
  <r>
    <n v="46299"/>
    <x v="7"/>
    <n v="5.8"/>
    <n v="4.2"/>
    <s v="5.8x4.2"/>
    <x v="27"/>
    <n v="1219.2118"/>
    <n v="0"/>
    <n v="29700"/>
    <n v="2079"/>
    <n v="31779"/>
  </r>
  <r>
    <n v="46299"/>
    <x v="8"/>
    <n v="1.5"/>
    <n v="1"/>
    <s v="1.5x1"/>
    <x v="28"/>
    <n v="1066.6666"/>
    <n v="0"/>
    <n v="1600"/>
    <n v="112"/>
    <n v="1712"/>
  </r>
  <r>
    <n v="46299"/>
    <x v="8"/>
    <n v="1.5"/>
    <n v="1"/>
    <s v="1.5x1"/>
    <x v="28"/>
    <n v="1400"/>
    <n v="0"/>
    <n v="2100"/>
    <n v="147"/>
    <n v="2247"/>
  </r>
  <r>
    <n v="46299"/>
    <x v="8"/>
    <n v="1.6"/>
    <n v="1"/>
    <s v="1.6x1"/>
    <x v="29"/>
    <n v="1375"/>
    <n v="0"/>
    <n v="2200"/>
    <n v="154"/>
    <n v="2354"/>
  </r>
  <r>
    <n v="46299"/>
    <x v="8"/>
    <n v="1.6"/>
    <n v="1.1000000000000001"/>
    <s v="1.6x1.1"/>
    <x v="30"/>
    <n v="1306.8181"/>
    <n v="0"/>
    <n v="2300"/>
    <n v="161"/>
    <n v="2461"/>
  </r>
  <r>
    <n v="46299"/>
    <x v="8"/>
    <n v="1.4"/>
    <n v="1.3"/>
    <s v="1.4x1.3"/>
    <x v="31"/>
    <n v="1208.7911999999999"/>
    <n v="0"/>
    <n v="2200"/>
    <n v="154"/>
    <n v="2354"/>
  </r>
  <r>
    <n v="46299"/>
    <x v="8"/>
    <n v="1"/>
    <n v="1.9"/>
    <s v="1x1.9"/>
    <x v="32"/>
    <n v="1263.1578"/>
    <n v="0"/>
    <n v="2400"/>
    <n v="168"/>
    <n v="2568"/>
  </r>
  <r>
    <n v="46299"/>
    <x v="8"/>
    <n v="1.9"/>
    <n v="1"/>
    <s v="1.9x1"/>
    <x v="32"/>
    <n v="1263.1578"/>
    <n v="0"/>
    <n v="2400"/>
    <n v="168"/>
    <n v="2568"/>
  </r>
  <r>
    <n v="46299"/>
    <x v="8"/>
    <n v="1.6"/>
    <n v="1.2"/>
    <s v="1.6x1.2"/>
    <x v="33"/>
    <n v="1250"/>
    <n v="0"/>
    <n v="2400"/>
    <n v="168"/>
    <n v="2568"/>
  </r>
  <r>
    <n v="46299"/>
    <x v="8"/>
    <n v="1.4"/>
    <n v="1.4"/>
    <s v="1.4x1.4"/>
    <x v="34"/>
    <n v="1224.4897000000001"/>
    <n v="0"/>
    <n v="2400"/>
    <n v="168"/>
    <n v="2568"/>
  </r>
  <r>
    <n v="46299"/>
    <x v="8"/>
    <n v="2"/>
    <n v="1"/>
    <s v="2x1"/>
    <x v="35"/>
    <n v="1200"/>
    <n v="0"/>
    <n v="2400"/>
    <n v="168"/>
    <n v="2568"/>
  </r>
  <r>
    <n v="46299"/>
    <x v="8"/>
    <n v="1.2"/>
    <n v="1.7"/>
    <s v="1.2x1.7"/>
    <x v="36"/>
    <n v="1176.4704999999999"/>
    <n v="0"/>
    <n v="2400"/>
    <n v="168"/>
    <n v="2568"/>
  </r>
  <r>
    <n v="46299"/>
    <x v="8"/>
    <n v="1.4"/>
    <n v="1.5"/>
    <s v="1.4x1.5"/>
    <x v="37"/>
    <n v="1285.7141999999999"/>
    <n v="0"/>
    <n v="2700"/>
    <n v="189"/>
    <n v="2889"/>
  </r>
  <r>
    <n v="46299"/>
    <x v="8"/>
    <n v="1.5"/>
    <n v="1.4"/>
    <s v="1.5x1.4"/>
    <x v="37"/>
    <n v="1238.0952"/>
    <n v="0"/>
    <n v="2600"/>
    <n v="182"/>
    <n v="2782"/>
  </r>
  <r>
    <n v="46299"/>
    <x v="8"/>
    <n v="1.5"/>
    <n v="1.4"/>
    <s v="1.5x1.4"/>
    <x v="37"/>
    <n v="1285.7141999999999"/>
    <n v="0"/>
    <n v="2700"/>
    <n v="189"/>
    <n v="2889"/>
  </r>
  <r>
    <n v="46299"/>
    <x v="8"/>
    <n v="1.2"/>
    <n v="1.8"/>
    <s v="1.2x1.8"/>
    <x v="38"/>
    <n v="1296.2962"/>
    <n v="0"/>
    <n v="2800"/>
    <n v="196"/>
    <n v="2996"/>
  </r>
  <r>
    <n v="46299"/>
    <x v="9"/>
    <n v="5.9"/>
    <n v="7.9"/>
    <s v="5.9x7.9"/>
    <x v="39"/>
    <n v="1225.059"/>
    <n v="0"/>
    <n v="57100"/>
    <n v="3997"/>
    <n v="61097"/>
  </r>
  <r>
    <n v="46299"/>
    <x v="10"/>
    <n v="1.4"/>
    <n v="0.7"/>
    <s v="1.4x0.7"/>
    <x v="40"/>
    <n v="1836.7346"/>
    <n v="0"/>
    <n v="1800"/>
    <n v="126"/>
    <n v="1926"/>
  </r>
  <r>
    <n v="46299"/>
    <x v="10"/>
    <n v="1"/>
    <n v="1"/>
    <s v="1x1"/>
    <x v="41"/>
    <n v="1800"/>
    <n v="0"/>
    <n v="1800"/>
    <n v="126"/>
    <n v="1926"/>
  </r>
  <r>
    <n v="46299"/>
    <x v="10"/>
    <n v="1"/>
    <n v="1.2"/>
    <s v="1x1.2"/>
    <x v="42"/>
    <n v="1583.3333"/>
    <n v="0"/>
    <n v="1900"/>
    <n v="133"/>
    <n v="2033"/>
  </r>
  <r>
    <n v="46299"/>
    <x v="10"/>
    <n v="1.2"/>
    <n v="1.2"/>
    <s v="1.2x1.2"/>
    <x v="43"/>
    <n v="1458.3333"/>
    <n v="0"/>
    <n v="2100"/>
    <n v="147"/>
    <n v="224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9446"/>
    <x v="0"/>
    <n v="3.2"/>
    <n v="6.1"/>
    <s v="3.2x6.1"/>
    <x v="0"/>
    <n v="701.8442"/>
    <n v="0"/>
    <n v="13700"/>
    <n v="0"/>
    <n v="13700"/>
  </r>
  <r>
    <n v="49446"/>
    <x v="0"/>
    <n v="3.4"/>
    <n v="6.1"/>
    <s v="3.4x6.1"/>
    <x v="1"/>
    <n v="723.24009999999998"/>
    <n v="0"/>
    <n v="15000"/>
    <n v="0"/>
    <n v="15000"/>
  </r>
  <r>
    <n v="49446"/>
    <x v="0"/>
    <n v="4.0999999999999996"/>
    <n v="6.1"/>
    <s v="4.1x6.1"/>
    <x v="2"/>
    <n v="699.7201"/>
    <n v="0"/>
    <n v="17500"/>
    <n v="0"/>
    <n v="17500"/>
  </r>
  <r>
    <n v="49446"/>
    <x v="1"/>
    <n v="1"/>
    <n v="0.9"/>
    <s v="1x0.9"/>
    <x v="3"/>
    <n v="1550"/>
    <n v="0"/>
    <n v="1395"/>
    <n v="0"/>
    <n v="1395"/>
  </r>
  <r>
    <n v="49446"/>
    <x v="1"/>
    <n v="1"/>
    <n v="1"/>
    <s v="1x1"/>
    <x v="4"/>
    <n v="1395"/>
    <n v="0"/>
    <n v="1395"/>
    <n v="0"/>
    <n v="1395"/>
  </r>
  <r>
    <n v="49446"/>
    <x v="1"/>
    <n v="1.3"/>
    <n v="0.8"/>
    <s v="1.3x0.8"/>
    <x v="5"/>
    <n v="1341.3461"/>
    <n v="0"/>
    <n v="1395"/>
    <n v="0"/>
    <n v="1395"/>
  </r>
  <r>
    <n v="49446"/>
    <x v="2"/>
    <n v="1"/>
    <n v="0.9"/>
    <s v="1x0.9"/>
    <x v="3"/>
    <n v="1550"/>
    <n v="0"/>
    <n v="1395"/>
    <n v="0"/>
    <n v="1395"/>
  </r>
  <r>
    <n v="49446"/>
    <x v="2"/>
    <n v="1"/>
    <n v="1"/>
    <s v="1x1"/>
    <x v="4"/>
    <n v="1395"/>
    <n v="0"/>
    <n v="1395"/>
    <n v="0"/>
    <n v="1395"/>
  </r>
  <r>
    <n v="49446"/>
    <x v="2"/>
    <n v="1"/>
    <n v="1"/>
    <s v="1x1"/>
    <x v="4"/>
    <n v="1595"/>
    <n v="0"/>
    <n v="1595"/>
    <n v="0"/>
    <n v="1595"/>
  </r>
  <r>
    <n v="49446"/>
    <x v="2"/>
    <n v="1.3"/>
    <n v="0.8"/>
    <s v="1.3x0.8"/>
    <x v="5"/>
    <n v="1341.3461"/>
    <n v="0"/>
    <n v="1395"/>
    <n v="0"/>
    <n v="1395"/>
  </r>
  <r>
    <n v="49446"/>
    <x v="3"/>
    <n v="0.3"/>
    <n v="0.4"/>
    <s v="0.3x0.4"/>
    <x v="6"/>
    <n v="4125"/>
    <n v="0"/>
    <n v="495"/>
    <n v="0"/>
    <n v="495"/>
  </r>
  <r>
    <n v="49446"/>
    <x v="4"/>
    <n v="0.3"/>
    <n v="0.4"/>
    <s v="0.3x0.4"/>
    <x v="6"/>
    <n v="4125"/>
    <n v="0"/>
    <n v="495"/>
    <n v="0"/>
    <n v="495"/>
  </r>
  <r>
    <n v="49446"/>
    <x v="5"/>
    <n v="0"/>
    <n v="0"/>
    <s v="0x0"/>
    <x v="7"/>
    <n v="0"/>
    <n v="0"/>
    <n v="0"/>
    <n v="0"/>
    <n v="0"/>
  </r>
  <r>
    <n v="49446"/>
    <x v="6"/>
    <n v="3.3"/>
    <n v="3.7"/>
    <s v="3.3x3.7"/>
    <x v="8"/>
    <n v="704.34069999999997"/>
    <n v="0"/>
    <n v="8600"/>
    <n v="0"/>
    <n v="8600"/>
  </r>
  <r>
    <n v="49446"/>
    <x v="6"/>
    <n v="3"/>
    <n v="4.2"/>
    <s v="3x4.2"/>
    <x v="9"/>
    <n v="698.4126"/>
    <n v="0"/>
    <n v="8800"/>
    <n v="0"/>
    <n v="8800"/>
  </r>
  <r>
    <n v="49446"/>
    <x v="6"/>
    <n v="3.1"/>
    <n v="4.5"/>
    <s v="3.1x4.5"/>
    <x v="10"/>
    <n v="702.50890000000004"/>
    <n v="0"/>
    <n v="9800"/>
    <n v="0"/>
    <n v="9800"/>
  </r>
  <r>
    <n v="49446"/>
    <x v="6"/>
    <n v="3.4"/>
    <n v="4.5"/>
    <s v="3.4x4.5"/>
    <x v="11"/>
    <n v="699.34640000000002"/>
    <n v="0"/>
    <n v="10700"/>
    <n v="0"/>
    <n v="10700"/>
  </r>
  <r>
    <n v="49446"/>
    <x v="7"/>
    <n v="2.1"/>
    <n v="2.4"/>
    <s v="2.1x2.4"/>
    <x v="12"/>
    <n v="892.85709999999995"/>
    <n v="0"/>
    <n v="4500"/>
    <n v="0"/>
    <n v="4500"/>
  </r>
  <r>
    <n v="49446"/>
    <x v="7"/>
    <n v="2.2000000000000002"/>
    <n v="2.2999999999999998"/>
    <s v="2.2x2.3"/>
    <x v="13"/>
    <n v="889.32799999999997"/>
    <n v="0"/>
    <n v="4500"/>
    <n v="0"/>
    <n v="4500"/>
  </r>
  <r>
    <n v="49446"/>
    <x v="7"/>
    <n v="2.2000000000000002"/>
    <n v="2.7"/>
    <s v="2.2x2.7"/>
    <x v="14"/>
    <n v="858.58579999999995"/>
    <n v="0"/>
    <n v="5100"/>
    <n v="0"/>
    <n v="5100"/>
  </r>
  <r>
    <n v="49446"/>
    <x v="7"/>
    <n v="2.4"/>
    <n v="2.6"/>
    <s v="2.4x2.6"/>
    <x v="15"/>
    <n v="817.30759999999998"/>
    <n v="0"/>
    <n v="5100"/>
    <n v="0"/>
    <n v="5100"/>
  </r>
  <r>
    <n v="49446"/>
    <x v="7"/>
    <n v="2.6"/>
    <n v="2.6"/>
    <s v="2.6x2.6"/>
    <x v="16"/>
    <n v="828.40229999999997"/>
    <n v="0"/>
    <n v="5600"/>
    <n v="0"/>
    <n v="5600"/>
  </r>
  <r>
    <n v="49446"/>
    <x v="7"/>
    <n v="2.2000000000000002"/>
    <n v="3.1"/>
    <s v="2.2x3.1"/>
    <x v="17"/>
    <n v="821.11429999999996"/>
    <n v="0"/>
    <n v="5600"/>
    <n v="0"/>
    <n v="5600"/>
  </r>
  <r>
    <n v="49446"/>
    <x v="7"/>
    <n v="1.9"/>
    <n v="3.6"/>
    <s v="1.9x3.6"/>
    <x v="18"/>
    <n v="818.71339999999998"/>
    <n v="0"/>
    <n v="5600"/>
    <n v="0"/>
    <n v="5600"/>
  </r>
  <r>
    <n v="49446"/>
    <x v="7"/>
    <n v="2.2999999999999998"/>
    <n v="3"/>
    <s v="2.3x3"/>
    <x v="19"/>
    <n v="811.5942"/>
    <n v="0"/>
    <n v="5600"/>
    <n v="0"/>
    <n v="5600"/>
  </r>
  <r>
    <n v="49446"/>
    <x v="7"/>
    <n v="2.2000000000000002"/>
    <n v="3.2"/>
    <s v="2.2x3.2"/>
    <x v="20"/>
    <n v="795.45450000000005"/>
    <n v="0"/>
    <n v="5600"/>
    <n v="0"/>
    <n v="5600"/>
  </r>
  <r>
    <n v="49446"/>
    <x v="7"/>
    <n v="2.5"/>
    <n v="3"/>
    <s v="2.5x3"/>
    <x v="21"/>
    <n v="800"/>
    <n v="0"/>
    <n v="6000"/>
    <n v="0"/>
    <n v="6000"/>
  </r>
  <r>
    <n v="49446"/>
    <x v="7"/>
    <n v="2.1"/>
    <n v="3.6"/>
    <s v="2.1x3.6"/>
    <x v="22"/>
    <n v="793.65070000000003"/>
    <n v="0"/>
    <n v="6000"/>
    <n v="0"/>
    <n v="6000"/>
  </r>
  <r>
    <n v="49446"/>
    <x v="7"/>
    <n v="1.9"/>
    <n v="4"/>
    <s v="1.9x4"/>
    <x v="23"/>
    <n v="789.47360000000003"/>
    <n v="0"/>
    <n v="6000"/>
    <n v="0"/>
    <n v="6000"/>
  </r>
  <r>
    <n v="49446"/>
    <x v="7"/>
    <n v="2"/>
    <n v="3.8"/>
    <s v="2x3.8"/>
    <x v="23"/>
    <n v="789.47360000000003"/>
    <n v="0"/>
    <n v="6000"/>
    <n v="0"/>
    <n v="6000"/>
  </r>
  <r>
    <n v="49446"/>
    <x v="7"/>
    <n v="1.9"/>
    <n v="4.3"/>
    <s v="1.9x4.3"/>
    <x v="24"/>
    <n v="758.87390000000005"/>
    <n v="0"/>
    <n v="6200"/>
    <n v="0"/>
    <n v="6200"/>
  </r>
  <r>
    <n v="49446"/>
    <x v="7"/>
    <n v="2.8"/>
    <n v="3.2"/>
    <s v="2.8x3.2"/>
    <x v="25"/>
    <n v="747.76779999999997"/>
    <n v="0"/>
    <n v="6700"/>
    <n v="0"/>
    <n v="6700"/>
  </r>
  <r>
    <n v="49446"/>
    <x v="7"/>
    <n v="2.8"/>
    <n v="3.3"/>
    <s v="2.8x3.3"/>
    <x v="26"/>
    <n v="725.10820000000001"/>
    <n v="0"/>
    <n v="6700"/>
    <n v="0"/>
    <n v="6700"/>
  </r>
  <r>
    <n v="49446"/>
    <x v="7"/>
    <n v="3.1"/>
    <n v="3.1"/>
    <s v="3.1x3.1"/>
    <x v="27"/>
    <n v="707.59619999999995"/>
    <n v="0"/>
    <n v="6800"/>
    <n v="0"/>
    <n v="6800"/>
  </r>
  <r>
    <n v="49446"/>
    <x v="7"/>
    <n v="3"/>
    <n v="3.3"/>
    <s v="3x3.3"/>
    <x v="28"/>
    <n v="707.07069999999999"/>
    <n v="0"/>
    <n v="7000"/>
    <n v="0"/>
    <n v="7000"/>
  </r>
  <r>
    <n v="49446"/>
    <x v="8"/>
    <n v="1.3"/>
    <n v="1.9"/>
    <s v="1.3x1.9"/>
    <x v="29"/>
    <n v="1133.6032"/>
    <n v="0"/>
    <n v="2800"/>
    <n v="0"/>
    <n v="2800"/>
  </r>
  <r>
    <n v="49446"/>
    <x v="8"/>
    <n v="1.6"/>
    <n v="1.6"/>
    <s v="1.6x1.6"/>
    <x v="30"/>
    <n v="1093.75"/>
    <n v="0"/>
    <n v="2800"/>
    <n v="0"/>
    <n v="2800"/>
  </r>
  <r>
    <n v="49446"/>
    <x v="8"/>
    <n v="1.4"/>
    <n v="2.2000000000000002"/>
    <s v="1.4x2.2"/>
    <x v="31"/>
    <n v="1006.4935"/>
    <n v="0"/>
    <n v="3100"/>
    <n v="0"/>
    <n v="3100"/>
  </r>
  <r>
    <n v="49446"/>
    <x v="8"/>
    <n v="1.6"/>
    <n v="2"/>
    <s v="1.6x2"/>
    <x v="32"/>
    <n v="968.75"/>
    <n v="0"/>
    <n v="3100"/>
    <n v="0"/>
    <n v="3100"/>
  </r>
  <r>
    <n v="49446"/>
    <x v="8"/>
    <n v="1"/>
    <n v="3.3"/>
    <s v="1x3.3"/>
    <x v="33"/>
    <n v="606.06060000000002"/>
    <n v="0"/>
    <n v="2000"/>
    <n v="0"/>
    <n v="2000"/>
  </r>
  <r>
    <n v="49446"/>
    <x v="8"/>
    <n v="3.2"/>
    <n v="1.2"/>
    <s v="3.2x1.2"/>
    <x v="34"/>
    <n v="911.45830000000001"/>
    <n v="0"/>
    <n v="3500"/>
    <n v="0"/>
    <n v="3500"/>
  </r>
  <r>
    <n v="49446"/>
    <x v="8"/>
    <n v="1.8"/>
    <n v="2.2999999999999998"/>
    <s v="1.8x2.3"/>
    <x v="35"/>
    <n v="1014.4927"/>
    <n v="0"/>
    <n v="4200"/>
    <n v="0"/>
    <n v="4200"/>
  </r>
  <r>
    <n v="49446"/>
    <x v="8"/>
    <n v="1.9"/>
    <n v="2.2000000000000002"/>
    <s v="1.9x2.2"/>
    <x v="36"/>
    <n v="1004.7846"/>
    <n v="0"/>
    <n v="4200"/>
    <n v="0"/>
    <n v="4200"/>
  </r>
  <r>
    <n v="49446"/>
    <x v="8"/>
    <n v="1.7"/>
    <n v="2.6"/>
    <s v="1.7x2.6"/>
    <x v="37"/>
    <n v="950.22619999999995"/>
    <n v="0"/>
    <n v="4200"/>
    <n v="0"/>
    <n v="4200"/>
  </r>
  <r>
    <n v="49446"/>
    <x v="8"/>
    <n v="1.6"/>
    <n v="2.8"/>
    <s v="1.6x2.8"/>
    <x v="38"/>
    <n v="937.5"/>
    <n v="0"/>
    <n v="4200"/>
    <n v="0"/>
    <n v="4200"/>
  </r>
  <r>
    <n v="49446"/>
    <x v="8"/>
    <n v="1.8"/>
    <n v="2.5"/>
    <s v="1.8x2.5"/>
    <x v="39"/>
    <n v="933.33330000000001"/>
    <n v="0"/>
    <n v="4200"/>
    <n v="0"/>
    <n v="4200"/>
  </r>
  <r>
    <n v="49446"/>
    <x v="8"/>
    <n v="1.9"/>
    <n v="2.4"/>
    <s v="1.9x2.4"/>
    <x v="40"/>
    <n v="921.05259999999998"/>
    <n v="0"/>
    <n v="4200"/>
    <n v="0"/>
    <n v="4200"/>
  </r>
  <r>
    <n v="49446"/>
    <x v="8"/>
    <n v="1.7"/>
    <n v="2.7"/>
    <s v="1.7x2.7"/>
    <x v="41"/>
    <n v="915.0326"/>
    <n v="0"/>
    <n v="4200"/>
    <n v="0"/>
    <n v="4200"/>
  </r>
  <r>
    <n v="49446"/>
    <x v="8"/>
    <n v="1.8"/>
    <n v="2.6"/>
    <s v="1.8x2.6"/>
    <x v="42"/>
    <n v="897.43579999999997"/>
    <n v="0"/>
    <n v="4200"/>
    <n v="0"/>
    <n v="4200"/>
  </r>
  <r>
    <n v="49446"/>
    <x v="8"/>
    <n v="2"/>
    <n v="2.4"/>
    <s v="2x2.4"/>
    <x v="43"/>
    <n v="875"/>
    <n v="0"/>
    <n v="4200"/>
    <n v="0"/>
    <n v="4200"/>
  </r>
  <r>
    <n v="49446"/>
    <x v="8"/>
    <n v="1.9"/>
    <n v="2.6"/>
    <s v="1.9x2.6"/>
    <x v="44"/>
    <n v="910.93110000000001"/>
    <n v="0"/>
    <n v="4500"/>
    <n v="0"/>
    <n v="4500"/>
  </r>
  <r>
    <n v="49446"/>
    <x v="9"/>
    <n v="0.9"/>
    <n v="2.2999999999999998"/>
    <s v="0.9x2.3"/>
    <x v="45"/>
    <n v="1256.0386000000001"/>
    <n v="0"/>
    <n v="2600"/>
    <n v="0"/>
    <n v="2600"/>
  </r>
  <r>
    <n v="49446"/>
    <x v="9"/>
    <n v="1.6"/>
    <n v="1.3"/>
    <s v="1.6x1.3"/>
    <x v="46"/>
    <n v="1250"/>
    <n v="0"/>
    <n v="2600"/>
    <n v="0"/>
    <n v="2600"/>
  </r>
  <r>
    <n v="49446"/>
    <x v="9"/>
    <n v="1.4"/>
    <n v="1.5"/>
    <s v="1.4x1.5"/>
    <x v="47"/>
    <n v="1238.0952"/>
    <n v="0"/>
    <n v="2600"/>
    <n v="0"/>
    <n v="2600"/>
  </r>
  <r>
    <n v="49446"/>
    <x v="9"/>
    <n v="1.2"/>
    <n v="1.8"/>
    <s v="1.2x1.8"/>
    <x v="48"/>
    <n v="1203.7037"/>
    <n v="0"/>
    <n v="2600"/>
    <n v="0"/>
    <n v="2600"/>
  </r>
  <r>
    <n v="49446"/>
    <x v="9"/>
    <n v="1.4"/>
    <n v="1.6"/>
    <s v="1.4x1.6"/>
    <x v="49"/>
    <n v="1160.7141999999999"/>
    <n v="0"/>
    <n v="2600"/>
    <n v="0"/>
    <n v="2600"/>
  </r>
  <r>
    <n v="49446"/>
    <x v="9"/>
    <n v="1.2"/>
    <n v="1.9"/>
    <s v="1.2x1.9"/>
    <x v="50"/>
    <n v="1140.3507999999999"/>
    <n v="0"/>
    <n v="2600"/>
    <n v="0"/>
    <n v="2600"/>
  </r>
  <r>
    <n v="49446"/>
    <x v="9"/>
    <n v="1.1000000000000001"/>
    <n v="2.1"/>
    <s v="1.1x2.1"/>
    <x v="51"/>
    <n v="1125.5410999999999"/>
    <n v="0"/>
    <n v="2600"/>
    <n v="0"/>
    <n v="2600"/>
  </r>
  <r>
    <n v="49446"/>
    <x v="9"/>
    <n v="1.3"/>
    <n v="1.8"/>
    <s v="1.3x1.8"/>
    <x v="52"/>
    <n v="1111.1111000000001"/>
    <n v="0"/>
    <n v="2600"/>
    <n v="0"/>
    <n v="2600"/>
  </r>
  <r>
    <n v="49446"/>
    <x v="9"/>
    <n v="1.4"/>
    <n v="1.7"/>
    <s v="1.4x1.7"/>
    <x v="53"/>
    <n v="1092.4368999999999"/>
    <n v="0"/>
    <n v="2600"/>
    <n v="0"/>
    <n v="2600"/>
  </r>
  <r>
    <n v="49446"/>
    <x v="9"/>
    <n v="1"/>
    <n v="2.4"/>
    <s v="1x2.4"/>
    <x v="54"/>
    <n v="1083.3333"/>
    <n v="0"/>
    <n v="2600"/>
    <n v="0"/>
    <n v="2600"/>
  </r>
  <r>
    <n v="49446"/>
    <x v="9"/>
    <n v="1.2"/>
    <n v="2"/>
    <s v="1.2x2"/>
    <x v="54"/>
    <n v="1083.3333"/>
    <n v="0"/>
    <n v="2600"/>
    <n v="0"/>
    <n v="2600"/>
  </r>
  <r>
    <n v="49446"/>
    <x v="9"/>
    <n v="1.1000000000000001"/>
    <n v="2.2000000000000002"/>
    <s v="1.1x2.2"/>
    <x v="55"/>
    <n v="1074.3801000000001"/>
    <n v="0"/>
    <n v="2600"/>
    <n v="0"/>
    <n v="26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50531"/>
    <x v="0"/>
    <n v="1"/>
    <n v="0.6"/>
    <s v="1x0.6"/>
    <x v="0"/>
    <n v="1490.9656"/>
    <n v="0"/>
    <n v="894.57939999999996"/>
    <n v="62.620558000000003"/>
    <n v="957.19995800000004"/>
  </r>
  <r>
    <n v="50531"/>
    <x v="0"/>
    <n v="2"/>
    <n v="1.5"/>
    <s v="2x1.5"/>
    <x v="1"/>
    <n v="1400"/>
    <n v="0"/>
    <n v="4200"/>
    <n v="294"/>
    <n v="4494"/>
  </r>
  <r>
    <n v="50531"/>
    <x v="1"/>
    <n v="1"/>
    <n v="0.6"/>
    <s v="1x0.6"/>
    <x v="0"/>
    <n v="1335.2025000000001"/>
    <n v="0"/>
    <n v="801.12149999999997"/>
    <n v="56.078505"/>
    <n v="857.20000500000003"/>
  </r>
  <r>
    <n v="50531"/>
    <x v="2"/>
    <n v="0"/>
    <n v="0"/>
    <s v="0x0"/>
    <x v="2"/>
    <n v="0"/>
    <n v="0"/>
    <n v="0"/>
    <n v="0"/>
    <n v="0"/>
  </r>
  <r>
    <n v="50531"/>
    <x v="3"/>
    <n v="4.3"/>
    <n v="3.85"/>
    <s v="4.3x3.9"/>
    <x v="3"/>
    <n v="815.46360000000004"/>
    <n v="0"/>
    <n v="13500"/>
    <n v="945"/>
    <n v="14445"/>
  </r>
  <r>
    <n v="50531"/>
    <x v="3"/>
    <n v="4.3"/>
    <n v="3.9"/>
    <s v="4.3x3.9"/>
    <x v="4"/>
    <n v="805.00890000000004"/>
    <n v="0"/>
    <n v="13500"/>
    <n v="945"/>
    <n v="14445"/>
  </r>
  <r>
    <n v="50531"/>
    <x v="4"/>
    <n v="2"/>
    <n v="2.4"/>
    <s v="2x2.4"/>
    <x v="5"/>
    <n v="1265.5762999999999"/>
    <n v="0"/>
    <n v="6074.7664000000004"/>
    <n v="425.23364800000002"/>
    <n v="6500.0000479999999"/>
  </r>
  <r>
    <n v="50531"/>
    <x v="4"/>
    <n v="2.2000000000000002"/>
    <n v="2.25"/>
    <s v="2.2x2.3"/>
    <x v="6"/>
    <n v="1227.2255"/>
    <n v="0"/>
    <n v="6074.7664000000004"/>
    <n v="425.23364800000002"/>
    <n v="6500.0000479999999"/>
  </r>
  <r>
    <n v="50531"/>
    <x v="4"/>
    <n v="2.6"/>
    <n v="2.2999999999999998"/>
    <s v="2.6x2.3"/>
    <x v="7"/>
    <n v="1103.6789000000001"/>
    <n v="0"/>
    <n v="6600"/>
    <n v="462"/>
    <n v="7062"/>
  </r>
  <r>
    <n v="50531"/>
    <x v="4"/>
    <n v="4"/>
    <n v="2.4"/>
    <s v="4x2.4"/>
    <x v="8"/>
    <n v="1168.2243000000001"/>
    <n v="0"/>
    <n v="11214.953299999999"/>
    <n v="785.04673100000002"/>
    <n v="12000.000031"/>
  </r>
  <r>
    <n v="50531"/>
    <x v="4"/>
    <n v="3.3"/>
    <n v="3.1"/>
    <s v="3.3x3.1"/>
    <x v="9"/>
    <n v="1132.8235"/>
    <n v="0"/>
    <n v="11588.785"/>
    <n v="811.21495000000004"/>
    <n v="12399.999949999999"/>
  </r>
  <r>
    <n v="50531"/>
    <x v="5"/>
    <n v="1.8"/>
    <n v="1.5"/>
    <s v="1.8x1.5"/>
    <x v="10"/>
    <n v="1481.4813999999999"/>
    <n v="0"/>
    <n v="4000"/>
    <n v="280"/>
    <n v="4280"/>
  </r>
  <r>
    <n v="50531"/>
    <x v="5"/>
    <n v="1.2"/>
    <n v="2.2999999999999998"/>
    <s v="1.2x2.3"/>
    <x v="11"/>
    <n v="1449.2753"/>
    <n v="0"/>
    <n v="4000"/>
    <n v="280"/>
    <n v="4280"/>
  </r>
  <r>
    <n v="50531"/>
    <x v="5"/>
    <n v="1.5"/>
    <n v="1.9"/>
    <s v="1.5x1.9"/>
    <x v="12"/>
    <n v="1438.5963999999999"/>
    <n v="0"/>
    <n v="4100"/>
    <n v="287"/>
    <n v="4387"/>
  </r>
  <r>
    <n v="50531"/>
    <x v="5"/>
    <n v="1.3"/>
    <n v="2.25"/>
    <s v="1.3x2.3"/>
    <x v="13"/>
    <n v="1401.7094"/>
    <n v="0"/>
    <n v="4100"/>
    <n v="287"/>
    <n v="4387"/>
  </r>
  <r>
    <n v="50531"/>
    <x v="5"/>
    <n v="2"/>
    <n v="1.5"/>
    <s v="2x1.5"/>
    <x v="1"/>
    <n v="1400"/>
    <n v="0"/>
    <n v="4200"/>
    <n v="294"/>
    <n v="4494"/>
  </r>
  <r>
    <n v="50531"/>
    <x v="5"/>
    <n v="1.85"/>
    <n v="1.63"/>
    <s v="1.9x1.6"/>
    <x v="14"/>
    <n v="1392.8037999999999"/>
    <n v="0"/>
    <n v="4200"/>
    <n v="294"/>
    <n v="4494"/>
  </r>
  <r>
    <n v="50531"/>
    <x v="5"/>
    <n v="1.9"/>
    <n v="1.6"/>
    <s v="1.9x1.6"/>
    <x v="15"/>
    <n v="1381.5789"/>
    <n v="0"/>
    <n v="4200"/>
    <n v="294"/>
    <n v="4494"/>
  </r>
  <r>
    <n v="50531"/>
    <x v="5"/>
    <n v="1.4"/>
    <n v="2.2000000000000002"/>
    <s v="1.4x2.2"/>
    <x v="16"/>
    <n v="1363.6362999999999"/>
    <n v="0"/>
    <n v="4200"/>
    <n v="294"/>
    <n v="4494"/>
  </r>
  <r>
    <n v="50531"/>
    <x v="5"/>
    <n v="1.3"/>
    <n v="2.4"/>
    <s v="1.3x2.4"/>
    <x v="17"/>
    <n v="1346.1538"/>
    <n v="0"/>
    <n v="4200"/>
    <n v="294"/>
    <n v="4494"/>
  </r>
  <r>
    <n v="50531"/>
    <x v="5"/>
    <n v="2.4500000000000002"/>
    <n v="1.54"/>
    <s v="2.5x1.5"/>
    <x v="18"/>
    <n v="1325.2054000000001"/>
    <n v="0"/>
    <n v="5000"/>
    <n v="350"/>
    <n v="5350"/>
  </r>
  <r>
    <n v="50531"/>
    <x v="5"/>
    <n v="1.72"/>
    <n v="2.25"/>
    <s v="1.7x2.3"/>
    <x v="19"/>
    <n v="1291.9896000000001"/>
    <n v="0"/>
    <n v="5000"/>
    <n v="350"/>
    <n v="5350"/>
  </r>
  <r>
    <n v="50531"/>
    <x v="5"/>
    <n v="1.94"/>
    <n v="2.35"/>
    <s v="1.9x2.4"/>
    <x v="20"/>
    <n v="1316.078"/>
    <n v="0"/>
    <n v="6000"/>
    <n v="420"/>
    <n v="6420"/>
  </r>
  <r>
    <n v="50531"/>
    <x v="6"/>
    <n v="5.0999999999999996"/>
    <n v="4.9000000000000004"/>
    <s v="5.1x4.9"/>
    <x v="21"/>
    <n v="752.30089999999996"/>
    <n v="0"/>
    <n v="18800"/>
    <n v="1316"/>
    <n v="20116"/>
  </r>
  <r>
    <n v="50531"/>
    <x v="7"/>
    <n v="1.3"/>
    <n v="0.8"/>
    <s v="1.3x0.8"/>
    <x v="22"/>
    <n v="1538.4614999999999"/>
    <n v="0"/>
    <n v="1600"/>
    <n v="112"/>
    <n v="1712"/>
  </r>
  <r>
    <n v="50531"/>
    <x v="7"/>
    <n v="1.5"/>
    <n v="1"/>
    <s v="1.5x1"/>
    <x v="23"/>
    <n v="1183.8006"/>
    <n v="0"/>
    <n v="1775.7009"/>
    <n v="124.299063"/>
    <n v="1899.999963"/>
  </r>
  <r>
    <n v="50531"/>
    <x v="7"/>
    <n v="1.6"/>
    <n v="1.2"/>
    <s v="1.6x1.2"/>
    <x v="24"/>
    <n v="1458.3333"/>
    <n v="0"/>
    <n v="2800"/>
    <n v="196"/>
    <n v="2996"/>
  </r>
  <r>
    <n v="50531"/>
    <x v="7"/>
    <n v="1.43"/>
    <n v="1.38"/>
    <s v="1.4x1.4"/>
    <x v="25"/>
    <n v="1469.5449000000001"/>
    <n v="0"/>
    <n v="2900"/>
    <n v="203"/>
    <n v="3103"/>
  </r>
  <r>
    <n v="50531"/>
    <x v="7"/>
    <n v="1.2"/>
    <n v="1.7"/>
    <s v="1.2x1.7"/>
    <x v="26"/>
    <n v="566.15350000000001"/>
    <n v="0"/>
    <n v="1154.9532999999999"/>
    <n v="80.846731000000005"/>
    <n v="1235.800031"/>
  </r>
  <r>
    <n v="50531"/>
    <x v="7"/>
    <n v="1.2"/>
    <n v="1.7"/>
    <s v="1.2x1.7"/>
    <x v="26"/>
    <n v="1421.5686000000001"/>
    <n v="0"/>
    <n v="2900"/>
    <n v="203"/>
    <n v="3103"/>
  </r>
  <r>
    <n v="50531"/>
    <x v="7"/>
    <n v="1.6"/>
    <n v="1.3"/>
    <s v="1.6x1.3"/>
    <x v="27"/>
    <n v="645.12940000000003"/>
    <n v="0"/>
    <n v="1341.8692000000001"/>
    <n v="93.930843999999993"/>
    <n v="1435.8000440000001"/>
  </r>
  <r>
    <n v="50531"/>
    <x v="7"/>
    <n v="1.6"/>
    <n v="1.3"/>
    <s v="1.6x1.3"/>
    <x v="27"/>
    <n v="1490.3846000000001"/>
    <n v="0"/>
    <n v="3100"/>
    <n v="217"/>
    <n v="3317"/>
  </r>
  <r>
    <n v="50531"/>
    <x v="7"/>
    <n v="1.4"/>
    <n v="1.5"/>
    <s v="1.4x1.5"/>
    <x v="28"/>
    <n v="1157.0983000000001"/>
    <n v="0"/>
    <n v="2429.9065000000001"/>
    <n v="170.09345500000001"/>
    <n v="2599.9999550000002"/>
  </r>
  <r>
    <n v="50531"/>
    <x v="7"/>
    <n v="1.4"/>
    <n v="1.7"/>
    <s v="1.4x1.7"/>
    <x v="29"/>
    <n v="563.81050000000005"/>
    <n v="0"/>
    <n v="1341.8692000000001"/>
    <n v="93.930843999999993"/>
    <n v="1435.8000440000001"/>
  </r>
  <r>
    <n v="50531"/>
    <x v="8"/>
    <n v="6"/>
    <n v="5.6"/>
    <s v="6x5.6"/>
    <x v="30"/>
    <n v="720.23800000000006"/>
    <n v="0"/>
    <n v="24200"/>
    <n v="1694"/>
    <n v="25894"/>
  </r>
  <r>
    <n v="50531"/>
    <x v="8"/>
    <n v="7.3"/>
    <n v="4.8"/>
    <s v="7.3x4.8"/>
    <x v="31"/>
    <n v="722.03189999999995"/>
    <n v="0"/>
    <n v="25300"/>
    <n v="1771"/>
    <n v="27071"/>
  </r>
  <r>
    <n v="50531"/>
    <x v="9"/>
    <n v="1.1000000000000001"/>
    <n v="0.8"/>
    <s v="1.1x0.8"/>
    <x v="32"/>
    <n v="1818.1818000000001"/>
    <n v="0"/>
    <n v="1600"/>
    <n v="112"/>
    <n v="1712"/>
  </r>
  <r>
    <n v="50531"/>
    <x v="9"/>
    <n v="1"/>
    <n v="1"/>
    <s v="1x1"/>
    <x v="33"/>
    <n v="1600"/>
    <n v="0"/>
    <n v="1600"/>
    <n v="112"/>
    <n v="1712"/>
  </r>
  <r>
    <n v="50531"/>
    <x v="9"/>
    <n v="0.9"/>
    <n v="1.5"/>
    <s v="0.9x1.5"/>
    <x v="34"/>
    <n v="1315.3340000000001"/>
    <n v="0"/>
    <n v="1775.7009"/>
    <n v="124.299063"/>
    <n v="1899.99996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51119"/>
    <x v="0"/>
    <n v="2.9"/>
    <n v="5.2"/>
    <s v="2.9x5.2"/>
    <x v="0"/>
    <n v="1001.3262"/>
    <n v="0"/>
    <n v="15100"/>
    <n v="1057"/>
    <n v="16157"/>
  </r>
  <r>
    <n v="51119"/>
    <x v="1"/>
    <n v="5.8"/>
    <n v="5.2"/>
    <s v="5.8x5.2"/>
    <x v="1"/>
    <n v="1001.3262"/>
    <n v="0"/>
    <n v="30200"/>
    <n v="2114"/>
    <n v="32314"/>
  </r>
  <r>
    <n v="51119"/>
    <x v="2"/>
    <n v="1"/>
    <n v="0.6"/>
    <s v="1x0.6"/>
    <x v="2"/>
    <n v="1490.9666"/>
    <n v="0"/>
    <n v="894.58"/>
    <n v="62.620600000000003"/>
    <n v="957.20060000000001"/>
  </r>
  <r>
    <n v="51119"/>
    <x v="3"/>
    <n v="1"/>
    <n v="0.6"/>
    <s v="1x0.6"/>
    <x v="2"/>
    <n v="1335.2"/>
    <n v="0"/>
    <n v="801.12"/>
    <n v="56.078400000000002"/>
    <n v="857.19839999999999"/>
  </r>
  <r>
    <n v="51119"/>
    <x v="4"/>
    <n v="1"/>
    <n v="0.6"/>
    <s v="1x0.6"/>
    <x v="2"/>
    <n v="1179.4332999999999"/>
    <n v="0"/>
    <n v="707.66"/>
    <n v="49.536200000000001"/>
    <n v="757.19619999999998"/>
  </r>
  <r>
    <n v="51119"/>
    <x v="5"/>
    <n v="1"/>
    <n v="0.6"/>
    <s v="1x0.6"/>
    <x v="2"/>
    <n v="1023.6833"/>
    <n v="0"/>
    <n v="614.21"/>
    <n v="42.994700000000002"/>
    <n v="657.2047"/>
  </r>
  <r>
    <n v="51119"/>
    <x v="6"/>
    <n v="3"/>
    <n v="4.7"/>
    <s v="3x4.7"/>
    <x v="3"/>
    <n v="1205.6737000000001"/>
    <n v="0"/>
    <n v="17000"/>
    <n v="1190"/>
    <n v="18190"/>
  </r>
  <r>
    <n v="51119"/>
    <x v="6"/>
    <n v="4.7"/>
    <n v="3"/>
    <s v="4.7x3"/>
    <x v="3"/>
    <n v="1205.6737000000001"/>
    <n v="0"/>
    <n v="17000"/>
    <n v="1190"/>
    <n v="18190"/>
  </r>
  <r>
    <n v="51119"/>
    <x v="6"/>
    <n v="3.1"/>
    <n v="4.7"/>
    <s v="3.1x4.7"/>
    <x v="4"/>
    <n v="1166.7809999999999"/>
    <n v="0"/>
    <n v="17000"/>
    <n v="1190"/>
    <n v="18190"/>
  </r>
  <r>
    <n v="51119"/>
    <x v="6"/>
    <n v="4.3"/>
    <n v="3.5"/>
    <s v="4.3x3.5"/>
    <x v="5"/>
    <n v="1262.4584"/>
    <n v="0"/>
    <n v="19000"/>
    <n v="1330"/>
    <n v="20330"/>
  </r>
  <r>
    <n v="51119"/>
    <x v="6"/>
    <n v="3.7"/>
    <n v="4.3"/>
    <s v="3.7x4.3"/>
    <x v="6"/>
    <n v="1194.2174"/>
    <n v="0"/>
    <n v="19000"/>
    <n v="1330"/>
    <n v="20330"/>
  </r>
  <r>
    <n v="51119"/>
    <x v="6"/>
    <n v="5"/>
    <n v="3.5"/>
    <s v="5x3.5"/>
    <x v="7"/>
    <n v="1142.8570999999999"/>
    <n v="0"/>
    <n v="20000"/>
    <n v="1400"/>
    <n v="21400"/>
  </r>
  <r>
    <n v="51119"/>
    <x v="7"/>
    <n v="2.1"/>
    <n v="2.4"/>
    <s v="2.1x2.4"/>
    <x v="8"/>
    <n v="952.3809"/>
    <n v="0"/>
    <n v="4800"/>
    <n v="336"/>
    <n v="5136"/>
  </r>
  <r>
    <n v="51119"/>
    <x v="7"/>
    <n v="2.1"/>
    <n v="2.4"/>
    <s v="2.1x2.4"/>
    <x v="8"/>
    <n v="1190.4761000000001"/>
    <n v="0"/>
    <n v="6000"/>
    <n v="420"/>
    <n v="6420"/>
  </r>
  <r>
    <n v="51119"/>
    <x v="7"/>
    <n v="2.5"/>
    <n v="2.4"/>
    <s v="2.5x2.4"/>
    <x v="9"/>
    <n v="1200"/>
    <n v="0"/>
    <n v="7200"/>
    <n v="504"/>
    <n v="7704"/>
  </r>
  <r>
    <n v="51119"/>
    <x v="7"/>
    <n v="2.8"/>
    <n v="2.8"/>
    <s v="2.8x2.8"/>
    <x v="10"/>
    <n v="1147.9591"/>
    <n v="0"/>
    <n v="9000"/>
    <n v="630"/>
    <n v="9630"/>
  </r>
  <r>
    <n v="51119"/>
    <x v="7"/>
    <n v="2.1"/>
    <n v="4.3"/>
    <s v="2.1x4.3"/>
    <x v="11"/>
    <n v="1240.31"/>
    <n v="0"/>
    <n v="11200"/>
    <n v="784"/>
    <n v="11984"/>
  </r>
  <r>
    <n v="51119"/>
    <x v="7"/>
    <n v="2.8"/>
    <n v="3.6"/>
    <s v="2.8x3.6"/>
    <x v="12"/>
    <n v="1150.7936"/>
    <n v="0"/>
    <n v="11600"/>
    <n v="812"/>
    <n v="12412"/>
  </r>
  <r>
    <n v="51119"/>
    <x v="7"/>
    <n v="3"/>
    <n v="3.5"/>
    <s v="3x3.5"/>
    <x v="13"/>
    <n v="1238.0952"/>
    <n v="0"/>
    <n v="13000"/>
    <n v="910"/>
    <n v="13910"/>
  </r>
  <r>
    <n v="51119"/>
    <x v="8"/>
    <n v="1.2"/>
    <n v="2.4"/>
    <s v="1.2x2.4"/>
    <x v="14"/>
    <n v="1145.8333"/>
    <n v="0"/>
    <n v="3300"/>
    <n v="231"/>
    <n v="3531"/>
  </r>
  <r>
    <n v="51119"/>
    <x v="9"/>
    <n v="7.5"/>
    <n v="3.5"/>
    <s v="7.5x3.5"/>
    <x v="15"/>
    <n v="1009.5238000000001"/>
    <n v="0"/>
    <n v="26500"/>
    <n v="1855"/>
    <n v="28355"/>
  </r>
  <r>
    <n v="51119"/>
    <x v="9"/>
    <n v="6.3"/>
    <n v="4.2"/>
    <s v="6.3x4.2"/>
    <x v="16"/>
    <n v="1001.5117"/>
    <n v="0"/>
    <n v="26500"/>
    <n v="1855"/>
    <n v="28355"/>
  </r>
  <r>
    <n v="51119"/>
    <x v="10"/>
    <n v="1.2"/>
    <n v="1.5"/>
    <s v="1.2x1.5"/>
    <x v="17"/>
    <n v="1222.2221999999999"/>
    <n v="0"/>
    <n v="2200"/>
    <n v="154"/>
    <n v="2354"/>
  </r>
  <r>
    <n v="51119"/>
    <x v="10"/>
    <n v="1.5"/>
    <n v="1.2"/>
    <s v="1.5x1.2"/>
    <x v="17"/>
    <n v="1222.2221999999999"/>
    <n v="0"/>
    <n v="2200"/>
    <n v="154"/>
    <n v="2354"/>
  </r>
  <r>
    <n v="51119"/>
    <x v="10"/>
    <n v="1"/>
    <n v="1.9"/>
    <s v="1x1.9"/>
    <x v="18"/>
    <n v="1263.1578"/>
    <n v="0"/>
    <n v="2400"/>
    <n v="168"/>
    <n v="2568"/>
  </r>
  <r>
    <n v="51119"/>
    <x v="10"/>
    <n v="1.9"/>
    <n v="1"/>
    <s v="1.9x1"/>
    <x v="18"/>
    <n v="1263.1578"/>
    <n v="0"/>
    <n v="2400"/>
    <n v="168"/>
    <n v="2568"/>
  </r>
  <r>
    <n v="51119"/>
    <x v="10"/>
    <n v="1.2"/>
    <n v="1.6"/>
    <s v="1.2x1.6"/>
    <x v="19"/>
    <n v="1250"/>
    <n v="0"/>
    <n v="2400"/>
    <n v="168"/>
    <n v="2568"/>
  </r>
  <r>
    <n v="51119"/>
    <x v="10"/>
    <n v="1.8"/>
    <n v="1.1000000000000001"/>
    <s v="1.8x1.1"/>
    <x v="20"/>
    <n v="1161.6161"/>
    <n v="0"/>
    <n v="2300"/>
    <n v="161"/>
    <n v="2461"/>
  </r>
  <r>
    <n v="51119"/>
    <x v="10"/>
    <n v="1.8"/>
    <n v="1.1000000000000001"/>
    <s v="1.8x1.1"/>
    <x v="20"/>
    <n v="1212.1212"/>
    <n v="0"/>
    <n v="2400"/>
    <n v="168"/>
    <n v="2568"/>
  </r>
  <r>
    <n v="51119"/>
    <x v="10"/>
    <n v="1.8"/>
    <n v="1.1000000000000001"/>
    <s v="1.8x1.1"/>
    <x v="20"/>
    <n v="1262.6261999999999"/>
    <n v="0"/>
    <n v="2500"/>
    <n v="175"/>
    <n v="2675"/>
  </r>
  <r>
    <n v="51119"/>
    <x v="10"/>
    <n v="1.8"/>
    <n v="1.1000000000000001"/>
    <s v="1.8x1.1"/>
    <x v="20"/>
    <n v="1292.9292"/>
    <n v="0"/>
    <n v="2560"/>
    <n v="179.2"/>
    <n v="2739.2"/>
  </r>
  <r>
    <n v="51119"/>
    <x v="10"/>
    <n v="1.2"/>
    <n v="1.7"/>
    <s v="1.2x1.7"/>
    <x v="21"/>
    <n v="1225.4901"/>
    <n v="0"/>
    <n v="2500"/>
    <n v="175"/>
    <n v="2675"/>
  </r>
  <r>
    <n v="51119"/>
    <x v="11"/>
    <n v="4"/>
    <n v="12.8"/>
    <s v="4x12.8"/>
    <x v="22"/>
    <n v="1000"/>
    <n v="0"/>
    <n v="51200"/>
    <n v="3584"/>
    <n v="54784"/>
  </r>
  <r>
    <n v="51119"/>
    <x v="12"/>
    <n v="1"/>
    <n v="1"/>
    <s v="1x1"/>
    <x v="23"/>
    <n v="1500"/>
    <n v="0"/>
    <n v="1500"/>
    <n v="105"/>
    <n v="1605"/>
  </r>
  <r>
    <n v="51119"/>
    <x v="12"/>
    <n v="1"/>
    <n v="1.1000000000000001"/>
    <s v="1x1.1"/>
    <x v="24"/>
    <n v="1363.6362999999999"/>
    <n v="0"/>
    <n v="1500"/>
    <n v="105"/>
    <n v="1605"/>
  </r>
  <r>
    <n v="51119"/>
    <x v="12"/>
    <n v="1"/>
    <n v="1.2"/>
    <s v="1x1.2"/>
    <x v="25"/>
    <n v="1333.3333"/>
    <n v="0"/>
    <n v="1600"/>
    <n v="112"/>
    <n v="1712"/>
  </r>
  <r>
    <n v="51119"/>
    <x v="12"/>
    <n v="1.3"/>
    <n v="1"/>
    <s v="1.3x1"/>
    <x v="26"/>
    <n v="1230.7692"/>
    <n v="0"/>
    <n v="1600"/>
    <n v="112"/>
    <n v="1712"/>
  </r>
  <r>
    <n v="51119"/>
    <x v="12"/>
    <n v="1.6"/>
    <n v="0.9"/>
    <s v="1.6x0.9"/>
    <x v="27"/>
    <n v="1111.1111000000001"/>
    <n v="0"/>
    <n v="1600"/>
    <n v="112"/>
    <n v="1712"/>
  </r>
  <r>
    <n v="51119"/>
    <x v="13"/>
    <n v="3"/>
    <n v="4.7"/>
    <s v="3x4.7"/>
    <x v="3"/>
    <n v="1063.8297"/>
    <n v="0"/>
    <n v="15000"/>
    <n v="1050"/>
    <n v="16050"/>
  </r>
  <r>
    <n v="51119"/>
    <x v="13"/>
    <n v="4.7"/>
    <n v="3"/>
    <s v="4.7x3"/>
    <x v="3"/>
    <n v="1063.8297"/>
    <n v="0"/>
    <n v="15000"/>
    <n v="1050"/>
    <n v="16050"/>
  </r>
  <r>
    <n v="51119"/>
    <x v="13"/>
    <n v="3.3"/>
    <n v="4.3"/>
    <s v="3.3x4.3"/>
    <x v="28"/>
    <n v="1057.0824"/>
    <n v="0"/>
    <n v="15000"/>
    <n v="1050"/>
    <n v="16050"/>
  </r>
  <r>
    <n v="51119"/>
    <x v="13"/>
    <n v="3.1"/>
    <n v="4.7"/>
    <s v="3.1x4.7"/>
    <x v="4"/>
    <n v="1029.5126"/>
    <n v="0"/>
    <n v="15000"/>
    <n v="1050"/>
    <n v="16050"/>
  </r>
  <r>
    <n v="51119"/>
    <x v="13"/>
    <n v="4.2"/>
    <n v="3.5"/>
    <s v="4.2x3.5"/>
    <x v="29"/>
    <n v="1020.4081"/>
    <n v="0"/>
    <n v="15000"/>
    <n v="1050"/>
    <n v="16050"/>
  </r>
  <r>
    <n v="51119"/>
    <x v="13"/>
    <n v="3.4"/>
    <n v="4.4000000000000004"/>
    <s v="3.4x4.4"/>
    <x v="30"/>
    <n v="1002.6737000000001"/>
    <n v="0"/>
    <n v="15000"/>
    <n v="1050"/>
    <n v="16050"/>
  </r>
  <r>
    <n v="51119"/>
    <x v="13"/>
    <n v="5"/>
    <n v="3.5"/>
    <s v="5x3.5"/>
    <x v="7"/>
    <n v="971.42849999999999"/>
    <n v="0"/>
    <n v="17000"/>
    <n v="1190"/>
    <n v="18190"/>
  </r>
  <r>
    <n v="51119"/>
    <x v="14"/>
    <n v="2.1"/>
    <n v="2.4"/>
    <s v="2.1x2.4"/>
    <x v="8"/>
    <n v="1031.7460000000001"/>
    <n v="0"/>
    <n v="5200"/>
    <n v="364"/>
    <n v="5564"/>
  </r>
  <r>
    <n v="51119"/>
    <x v="14"/>
    <n v="2.5"/>
    <n v="2.2999999999999998"/>
    <s v="2.5x2.3"/>
    <x v="31"/>
    <n v="1043.4782"/>
    <n v="0"/>
    <n v="6000"/>
    <n v="420"/>
    <n v="6420"/>
  </r>
  <r>
    <n v="51119"/>
    <x v="14"/>
    <n v="2.7"/>
    <n v="2.7"/>
    <s v="2.7x2.7"/>
    <x v="32"/>
    <n v="1015.0891"/>
    <n v="0"/>
    <n v="7400"/>
    <n v="518"/>
    <n v="7918"/>
  </r>
  <r>
    <n v="51119"/>
    <x v="14"/>
    <n v="2.8"/>
    <n v="3.5"/>
    <s v="2.8x3.5"/>
    <x v="33"/>
    <n v="1010.204"/>
    <n v="0"/>
    <n v="9900"/>
    <n v="693"/>
    <n v="10593"/>
  </r>
  <r>
    <n v="51119"/>
    <x v="14"/>
    <n v="2.9"/>
    <n v="3.5"/>
    <s v="2.9x3.5"/>
    <x v="34"/>
    <n v="1004.9261"/>
    <n v="0"/>
    <n v="10200"/>
    <n v="714"/>
    <n v="10914"/>
  </r>
  <r>
    <n v="51119"/>
    <x v="14"/>
    <n v="2.4"/>
    <n v="4.3"/>
    <s v="2.4x4.3"/>
    <x v="35"/>
    <n v="1007.7519"/>
    <n v="0"/>
    <n v="10400"/>
    <n v="728"/>
    <n v="11128"/>
  </r>
  <r>
    <n v="51119"/>
    <x v="15"/>
    <n v="1.2"/>
    <n v="2.4"/>
    <s v="1.2x2.4"/>
    <x v="14"/>
    <n v="1076.3887999999999"/>
    <n v="0"/>
    <n v="3100"/>
    <n v="217"/>
    <n v="3317"/>
  </r>
  <r>
    <n v="51119"/>
    <x v="16"/>
    <n v="7.4"/>
    <n v="3.5"/>
    <s v="7.4x3.5"/>
    <x v="36"/>
    <n v="930.50189999999998"/>
    <n v="0"/>
    <n v="24100"/>
    <n v="1687"/>
    <n v="25787"/>
  </r>
  <r>
    <n v="51119"/>
    <x v="16"/>
    <n v="6.3"/>
    <n v="4.2"/>
    <s v="6.3x4.2"/>
    <x v="16"/>
    <n v="925.92589999999996"/>
    <n v="0"/>
    <n v="24500"/>
    <n v="1715"/>
    <n v="26215"/>
  </r>
  <r>
    <n v="51119"/>
    <x v="17"/>
    <n v="1"/>
    <n v="1.8"/>
    <s v="1x1.8"/>
    <x v="17"/>
    <n v="1111.1111000000001"/>
    <n v="0"/>
    <n v="2000"/>
    <n v="140"/>
    <n v="2140"/>
  </r>
  <r>
    <n v="51119"/>
    <x v="17"/>
    <n v="1.2"/>
    <n v="1.5"/>
    <s v="1.2x1.5"/>
    <x v="17"/>
    <n v="1111.1111000000001"/>
    <n v="0"/>
    <n v="2000"/>
    <n v="140"/>
    <n v="2140"/>
  </r>
  <r>
    <n v="51119"/>
    <x v="17"/>
    <n v="1.5"/>
    <n v="1.2"/>
    <s v="1.5x1.2"/>
    <x v="17"/>
    <n v="1111.1111000000001"/>
    <n v="0"/>
    <n v="2000"/>
    <n v="140"/>
    <n v="2140"/>
  </r>
  <r>
    <n v="51119"/>
    <x v="17"/>
    <n v="1"/>
    <n v="1.9"/>
    <s v="1x1.9"/>
    <x v="18"/>
    <n v="1105.2630999999999"/>
    <n v="0"/>
    <n v="2100"/>
    <n v="147"/>
    <n v="2247"/>
  </r>
  <r>
    <n v="51119"/>
    <x v="17"/>
    <n v="1.9"/>
    <n v="1"/>
    <s v="1.9x1"/>
    <x v="18"/>
    <n v="1105.2630999999999"/>
    <n v="0"/>
    <n v="2100"/>
    <n v="147"/>
    <n v="2247"/>
  </r>
  <r>
    <n v="51119"/>
    <x v="17"/>
    <n v="1.8"/>
    <n v="1.1000000000000001"/>
    <s v="1.8x1.1"/>
    <x v="20"/>
    <n v="1111.1111000000001"/>
    <n v="0"/>
    <n v="2200"/>
    <n v="154"/>
    <n v="2354"/>
  </r>
  <r>
    <n v="51119"/>
    <x v="17"/>
    <n v="1.2"/>
    <n v="1.7"/>
    <s v="1.2x1.7"/>
    <x v="21"/>
    <n v="1078.4313"/>
    <n v="0"/>
    <n v="2200"/>
    <n v="154"/>
    <n v="2354"/>
  </r>
  <r>
    <n v="51119"/>
    <x v="17"/>
    <n v="1.9"/>
    <n v="1.1000000000000001"/>
    <s v="1.9x1.1"/>
    <x v="37"/>
    <n v="1052.6315"/>
    <n v="0"/>
    <n v="2200"/>
    <n v="154"/>
    <n v="2354"/>
  </r>
  <r>
    <n v="51119"/>
    <x v="18"/>
    <n v="4"/>
    <n v="12.8"/>
    <s v="4x12.8"/>
    <x v="22"/>
    <n v="857.42179999999996"/>
    <n v="0"/>
    <n v="43900"/>
    <n v="3073"/>
    <n v="46973"/>
  </r>
  <r>
    <n v="51119"/>
    <x v="19"/>
    <n v="1.1000000000000001"/>
    <n v="0.9"/>
    <s v="1.1x0.9"/>
    <x v="38"/>
    <n v="1313.1313"/>
    <n v="0"/>
    <n v="1300"/>
    <n v="91"/>
    <n v="1391"/>
  </r>
  <r>
    <n v="51119"/>
    <x v="19"/>
    <n v="1"/>
    <n v="1"/>
    <s v="1x1"/>
    <x v="23"/>
    <n v="1300"/>
    <n v="0"/>
    <n v="1300"/>
    <n v="91"/>
    <n v="1391"/>
  </r>
  <r>
    <n v="51119"/>
    <x v="19"/>
    <n v="1.2"/>
    <n v="0.9"/>
    <s v="1.2x0.9"/>
    <x v="39"/>
    <n v="1203.7037"/>
    <n v="0"/>
    <n v="1300"/>
    <n v="91"/>
    <n v="1391"/>
  </r>
  <r>
    <n v="51119"/>
    <x v="19"/>
    <n v="1"/>
    <n v="1.2"/>
    <s v="1x1.2"/>
    <x v="25"/>
    <n v="1166.6666"/>
    <n v="0"/>
    <n v="1400"/>
    <n v="98"/>
    <n v="1498"/>
  </r>
  <r>
    <n v="51119"/>
    <x v="19"/>
    <n v="1.3"/>
    <n v="1"/>
    <s v="1.3x1"/>
    <x v="26"/>
    <n v="1076.923"/>
    <n v="0"/>
    <n v="1400"/>
    <n v="98"/>
    <n v="1498"/>
  </r>
  <r>
    <n v="51119"/>
    <x v="19"/>
    <n v="1.6"/>
    <n v="0.9"/>
    <s v="1.6x0.9"/>
    <x v="27"/>
    <n v="1111.1111000000001"/>
    <n v="0"/>
    <n v="1600"/>
    <n v="112"/>
    <n v="17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51752"/>
    <x v="0"/>
    <n v="1.7"/>
    <n v="0.6"/>
    <s v="1.7x0.6"/>
    <x v="0"/>
    <n v="1060.2941000000001"/>
    <n v="0"/>
    <n v="1081.5"/>
    <n v="75.704999999999998"/>
    <n v="1157.2049999999999"/>
  </r>
  <r>
    <n v="51752"/>
    <x v="1"/>
    <n v="1.7"/>
    <n v="0.6"/>
    <s v="1.7x0.6"/>
    <x v="0"/>
    <n v="647.97050000000002"/>
    <n v="0"/>
    <n v="660.93"/>
    <n v="46.265099999999997"/>
    <n v="707.19510000000002"/>
  </r>
  <r>
    <n v="51752"/>
    <x v="1"/>
    <n v="1.7"/>
    <n v="0.6"/>
    <s v="1.7x0.6"/>
    <x v="0"/>
    <n v="968.66660000000002"/>
    <n v="0"/>
    <n v="988.04"/>
    <n v="69.162800000000004"/>
    <n v="1057.2028"/>
  </r>
  <r>
    <n v="51752"/>
    <x v="2"/>
    <n v="1"/>
    <n v="0.6"/>
    <s v="1x0.6"/>
    <x v="1"/>
    <n v="1179.4332999999999"/>
    <n v="0"/>
    <n v="707.66"/>
    <n v="49.536200000000001"/>
    <n v="757.19619999999998"/>
  </r>
  <r>
    <n v="51752"/>
    <x v="2"/>
    <n v="1"/>
    <n v="0.6"/>
    <s v="1x0.6"/>
    <x v="1"/>
    <n v="1490.9666"/>
    <n v="0"/>
    <n v="894.58"/>
    <n v="62.620600000000003"/>
    <n v="957.20060000000001"/>
  </r>
  <r>
    <n v="51752"/>
    <x v="2"/>
    <n v="1.3"/>
    <n v="0.6"/>
    <s v="1.3x0.6"/>
    <x v="2"/>
    <n v="1266.7179000000001"/>
    <n v="0"/>
    <n v="988.04"/>
    <n v="69.162800000000004"/>
    <n v="1057.2028"/>
  </r>
  <r>
    <n v="51752"/>
    <x v="3"/>
    <n v="1"/>
    <n v="0.6"/>
    <s v="1x0.6"/>
    <x v="1"/>
    <n v="1335.2"/>
    <n v="0"/>
    <n v="801.12"/>
    <n v="56.078400000000002"/>
    <n v="857.19839999999999"/>
  </r>
  <r>
    <n v="51752"/>
    <x v="3"/>
    <n v="1.3"/>
    <n v="0.6"/>
    <s v="1.3x0.6"/>
    <x v="2"/>
    <n v="1146.8974000000001"/>
    <n v="0"/>
    <n v="894.58"/>
    <n v="62.620600000000003"/>
    <n v="957.20060000000001"/>
  </r>
  <r>
    <n v="51752"/>
    <x v="4"/>
    <n v="0"/>
    <n v="0"/>
    <s v="0x0"/>
    <x v="3"/>
    <n v="0"/>
    <n v="0"/>
    <n v="0"/>
    <n v="0"/>
    <n v="0"/>
  </r>
  <r>
    <n v="51752"/>
    <x v="5"/>
    <n v="0"/>
    <n v="0"/>
    <s v="0x0"/>
    <x v="3"/>
    <n v="0"/>
    <n v="0"/>
    <n v="93.46"/>
    <n v="6.5422000000000002"/>
    <n v="100.0022"/>
  </r>
  <r>
    <n v="51752"/>
    <x v="6"/>
    <n v="0"/>
    <n v="0"/>
    <s v="0x0"/>
    <x v="3"/>
    <n v="0"/>
    <n v="0"/>
    <n v="46.73"/>
    <n v="3.2711000000000001"/>
    <n v="50.001100000000001"/>
  </r>
  <r>
    <n v="51752"/>
    <x v="7"/>
    <n v="1"/>
    <n v="1"/>
    <s v="1x1"/>
    <x v="4"/>
    <n v="1"/>
    <n v="0"/>
    <n v="1"/>
    <n v="7.0000000000000007E-2"/>
    <n v="1.07"/>
  </r>
  <r>
    <n v="51752"/>
    <x v="7"/>
    <n v="1"/>
    <n v="1"/>
    <s v="1x1"/>
    <x v="4"/>
    <n v="3"/>
    <n v="0"/>
    <n v="3"/>
    <n v="0.21"/>
    <n v="3.21"/>
  </r>
  <r>
    <n v="51752"/>
    <x v="8"/>
    <n v="3.1"/>
    <n v="3.6"/>
    <s v="3.1x3.6"/>
    <x v="5"/>
    <n v="1155.9139"/>
    <n v="0"/>
    <n v="12900"/>
    <n v="903"/>
    <n v="13803"/>
  </r>
  <r>
    <n v="51752"/>
    <x v="8"/>
    <n v="2.7"/>
    <n v="4.3"/>
    <s v="2.7x4.3"/>
    <x v="6"/>
    <n v="1145.5641000000001"/>
    <n v="0"/>
    <n v="13300"/>
    <n v="931"/>
    <n v="14231"/>
  </r>
  <r>
    <n v="51752"/>
    <x v="8"/>
    <n v="4"/>
    <n v="3.4"/>
    <s v="4x3.4"/>
    <x v="7"/>
    <n v="1117.6469999999999"/>
    <n v="0"/>
    <n v="15200"/>
    <n v="1064"/>
    <n v="16264"/>
  </r>
  <r>
    <n v="51752"/>
    <x v="8"/>
    <n v="3.8"/>
    <n v="3.7"/>
    <s v="3.8x3.7"/>
    <x v="8"/>
    <n v="1116.6429000000001"/>
    <n v="0"/>
    <n v="15700"/>
    <n v="1099"/>
    <n v="16799"/>
  </r>
  <r>
    <n v="51752"/>
    <x v="8"/>
    <n v="4.2"/>
    <n v="3.7"/>
    <s v="4.2x3.7"/>
    <x v="9"/>
    <n v="1113.2561000000001"/>
    <n v="0"/>
    <n v="17300"/>
    <n v="1211"/>
    <n v="18511"/>
  </r>
  <r>
    <n v="51752"/>
    <x v="8"/>
    <n v="4.8"/>
    <n v="3.7"/>
    <s v="4.8x3.7"/>
    <x v="10"/>
    <n v="1120.4954"/>
    <n v="0"/>
    <n v="19900"/>
    <n v="1393"/>
    <n v="21293"/>
  </r>
  <r>
    <n v="51752"/>
    <x v="9"/>
    <n v="2"/>
    <n v="2.5"/>
    <s v="2x2.5"/>
    <x v="11"/>
    <n v="1280"/>
    <n v="0"/>
    <n v="6400"/>
    <n v="448"/>
    <n v="6848"/>
  </r>
  <r>
    <n v="51752"/>
    <x v="9"/>
    <n v="2.6"/>
    <n v="2.1"/>
    <s v="2.6x2.1"/>
    <x v="12"/>
    <n v="1208.7911999999999"/>
    <n v="0"/>
    <n v="6600"/>
    <n v="462"/>
    <n v="7062"/>
  </r>
  <r>
    <n v="51752"/>
    <x v="9"/>
    <n v="3.2"/>
    <n v="2.5"/>
    <s v="3.2x2.5"/>
    <x v="13"/>
    <n v="1200"/>
    <n v="0"/>
    <n v="9600"/>
    <n v="672"/>
    <n v="10272"/>
  </r>
  <r>
    <n v="51752"/>
    <x v="9"/>
    <n v="2.7"/>
    <n v="3.6"/>
    <s v="2.7x3.6"/>
    <x v="14"/>
    <n v="1183.1275000000001"/>
    <n v="0"/>
    <n v="11500"/>
    <n v="805"/>
    <n v="12305"/>
  </r>
  <r>
    <n v="51752"/>
    <x v="9"/>
    <n v="3.5"/>
    <n v="2.9"/>
    <s v="3.5x2.9"/>
    <x v="15"/>
    <n v="1172.4137000000001"/>
    <n v="0"/>
    <n v="11900"/>
    <n v="833"/>
    <n v="12733"/>
  </r>
  <r>
    <n v="51752"/>
    <x v="9"/>
    <n v="2.8"/>
    <n v="3.7"/>
    <s v="2.8x3.7"/>
    <x v="16"/>
    <n v="1148.6486"/>
    <n v="0"/>
    <n v="11900"/>
    <n v="833"/>
    <n v="12733"/>
  </r>
  <r>
    <n v="51752"/>
    <x v="10"/>
    <n v="1.8"/>
    <n v="1.4"/>
    <s v="1.8x1.4"/>
    <x v="17"/>
    <n v="1507.9365"/>
    <n v="0"/>
    <n v="3800"/>
    <n v="266"/>
    <n v="4066"/>
  </r>
  <r>
    <n v="51752"/>
    <x v="10"/>
    <n v="1.5"/>
    <n v="1.8"/>
    <s v="1.5x1.8"/>
    <x v="18"/>
    <n v="1518.5184999999999"/>
    <n v="0"/>
    <n v="4100"/>
    <n v="287"/>
    <n v="4387"/>
  </r>
  <r>
    <n v="51752"/>
    <x v="10"/>
    <n v="1.4"/>
    <n v="2.1"/>
    <s v="1.4x2.1"/>
    <x v="19"/>
    <n v="1462.585"/>
    <n v="0"/>
    <n v="4300"/>
    <n v="301"/>
    <n v="4601"/>
  </r>
  <r>
    <n v="51752"/>
    <x v="10"/>
    <n v="1.5"/>
    <n v="2"/>
    <s v="1.5x2"/>
    <x v="20"/>
    <n v="1433.3333"/>
    <n v="0"/>
    <n v="4300"/>
    <n v="301"/>
    <n v="4601"/>
  </r>
  <r>
    <n v="51752"/>
    <x v="10"/>
    <n v="1.3"/>
    <n v="2.5"/>
    <s v="1.3x2.5"/>
    <x v="21"/>
    <n v="1384.6152999999999"/>
    <n v="0"/>
    <n v="4500"/>
    <n v="315"/>
    <n v="4815"/>
  </r>
  <r>
    <n v="51752"/>
    <x v="10"/>
    <n v="2"/>
    <n v="2"/>
    <s v="2x2"/>
    <x v="22"/>
    <n v="1325"/>
    <n v="0"/>
    <n v="5300"/>
    <n v="371"/>
    <n v="5671"/>
  </r>
  <r>
    <n v="51752"/>
    <x v="10"/>
    <n v="2.1"/>
    <n v="2.2000000000000002"/>
    <s v="2.1x2.2"/>
    <x v="23"/>
    <n v="1298.7012"/>
    <n v="0"/>
    <n v="6000"/>
    <n v="420"/>
    <n v="6420"/>
  </r>
  <r>
    <n v="51752"/>
    <x v="10"/>
    <n v="2.2000000000000002"/>
    <n v="2.1"/>
    <s v="2.2x2.1"/>
    <x v="23"/>
    <n v="1298.7012"/>
    <n v="0"/>
    <n v="6000"/>
    <n v="420"/>
    <n v="6420"/>
  </r>
  <r>
    <n v="51752"/>
    <x v="10"/>
    <n v="2.4"/>
    <n v="2"/>
    <s v="2.4x2"/>
    <x v="24"/>
    <n v="1312.5"/>
    <n v="0"/>
    <n v="6300"/>
    <n v="441"/>
    <n v="6741"/>
  </r>
  <r>
    <n v="51752"/>
    <x v="11"/>
    <n v="4.8"/>
    <n v="5.2"/>
    <s v="4.8x5.2"/>
    <x v="25"/>
    <n v="1073.7179000000001"/>
    <n v="0"/>
    <n v="26800"/>
    <n v="1876"/>
    <n v="28676"/>
  </r>
  <r>
    <n v="51752"/>
    <x v="11"/>
    <n v="5.6"/>
    <n v="4.5"/>
    <s v="5.6x4.5"/>
    <x v="26"/>
    <n v="1063.492"/>
    <n v="0"/>
    <n v="26800"/>
    <n v="1876"/>
    <n v="28676"/>
  </r>
  <r>
    <n v="51752"/>
    <x v="11"/>
    <n v="4.9000000000000004"/>
    <n v="5.2"/>
    <s v="4.9x5.2"/>
    <x v="27"/>
    <n v="1071.4285"/>
    <n v="0"/>
    <n v="27300"/>
    <n v="1911"/>
    <n v="29211"/>
  </r>
  <r>
    <n v="51752"/>
    <x v="12"/>
    <n v="1.5"/>
    <n v="1"/>
    <s v="1.5x1"/>
    <x v="28"/>
    <n v="1600"/>
    <n v="0"/>
    <n v="2400"/>
    <n v="168"/>
    <n v="2568"/>
  </r>
  <r>
    <n v="51752"/>
    <x v="12"/>
    <n v="1.5"/>
    <n v="1.2"/>
    <s v="1.5x1.2"/>
    <x v="29"/>
    <n v="1666.6666"/>
    <n v="0"/>
    <n v="3000"/>
    <n v="210"/>
    <n v="3210"/>
  </r>
  <r>
    <n v="51752"/>
    <x v="12"/>
    <n v="1.8"/>
    <n v="1"/>
    <s v="1.8x1"/>
    <x v="29"/>
    <n v="1666.6666"/>
    <n v="0"/>
    <n v="3000"/>
    <n v="210"/>
    <n v="3210"/>
  </r>
  <r>
    <n v="51752"/>
    <x v="12"/>
    <n v="1.9"/>
    <n v="1"/>
    <s v="1.9x1"/>
    <x v="30"/>
    <n v="1631.5789"/>
    <n v="0"/>
    <n v="3100"/>
    <n v="217"/>
    <n v="3317"/>
  </r>
  <r>
    <n v="51752"/>
    <x v="12"/>
    <n v="1.1000000000000001"/>
    <n v="1.8"/>
    <s v="1.1x1.8"/>
    <x v="31"/>
    <n v="1565.6565000000001"/>
    <n v="0"/>
    <n v="3100"/>
    <n v="217"/>
    <n v="3317"/>
  </r>
  <r>
    <n v="51752"/>
    <x v="12"/>
    <n v="1.8"/>
    <n v="1.1000000000000001"/>
    <s v="1.8x1.1"/>
    <x v="31"/>
    <n v="1565.6565000000001"/>
    <n v="0"/>
    <n v="3100"/>
    <n v="217"/>
    <n v="3317"/>
  </r>
  <r>
    <n v="51752"/>
    <x v="12"/>
    <n v="1"/>
    <n v="2"/>
    <s v="1x2"/>
    <x v="32"/>
    <n v="1550"/>
    <n v="0"/>
    <n v="3100"/>
    <n v="217"/>
    <n v="3317"/>
  </r>
  <r>
    <n v="51752"/>
    <x v="12"/>
    <n v="2"/>
    <n v="1"/>
    <s v="2x1"/>
    <x v="32"/>
    <n v="1550"/>
    <n v="0"/>
    <n v="3100"/>
    <n v="217"/>
    <n v="3317"/>
  </r>
  <r>
    <n v="51752"/>
    <x v="12"/>
    <n v="1.4"/>
    <n v="1.5"/>
    <s v="1.4x1.5"/>
    <x v="33"/>
    <n v="1238.0952"/>
    <n v="0"/>
    <n v="2600"/>
    <n v="182"/>
    <n v="2782"/>
  </r>
  <r>
    <n v="51752"/>
    <x v="12"/>
    <n v="1.4"/>
    <n v="1.5"/>
    <s v="1.4x1.5"/>
    <x v="33"/>
    <n v="1571.4285"/>
    <n v="0"/>
    <n v="3300"/>
    <n v="231"/>
    <n v="3531"/>
  </r>
  <r>
    <n v="51752"/>
    <x v="12"/>
    <n v="1.2"/>
    <n v="1.8"/>
    <s v="1.2x1.8"/>
    <x v="34"/>
    <n v="1574.0740000000001"/>
    <n v="0"/>
    <n v="3400"/>
    <n v="238"/>
    <n v="3638"/>
  </r>
  <r>
    <n v="51752"/>
    <x v="12"/>
    <n v="1.5"/>
    <n v="1.5"/>
    <s v="1.5x1.5"/>
    <x v="35"/>
    <n v="1430.6666"/>
    <n v="0"/>
    <n v="3219"/>
    <n v="225.33"/>
    <n v="3444.33"/>
  </r>
  <r>
    <n v="51752"/>
    <x v="12"/>
    <n v="1.5"/>
    <n v="1.5"/>
    <s v="1.5x1.5"/>
    <x v="35"/>
    <n v="1511.1111000000001"/>
    <n v="0"/>
    <n v="3400"/>
    <n v="238"/>
    <n v="3638"/>
  </r>
  <r>
    <n v="51752"/>
    <x v="12"/>
    <n v="1.3"/>
    <n v="1.8"/>
    <s v="1.3x1.8"/>
    <x v="36"/>
    <n v="1452.9914000000001"/>
    <n v="0"/>
    <n v="3400"/>
    <n v="238"/>
    <n v="3638"/>
  </r>
  <r>
    <n v="51752"/>
    <x v="13"/>
    <n v="1.1000000000000001"/>
    <n v="0.9"/>
    <s v="1.1x0.9"/>
    <x v="37"/>
    <n v="741.80799999999999"/>
    <n v="0"/>
    <n v="734.39"/>
    <n v="51.407299999999999"/>
    <n v="785.79729999999995"/>
  </r>
  <r>
    <n v="51752"/>
    <x v="13"/>
    <n v="1.1000000000000001"/>
    <n v="0.9"/>
    <s v="1.1x0.9"/>
    <x v="37"/>
    <n v="789.01009999999997"/>
    <n v="0"/>
    <n v="781.12"/>
    <n v="54.678400000000003"/>
    <n v="835.79840000000002"/>
  </r>
  <r>
    <n v="51752"/>
    <x v="13"/>
    <n v="1.1000000000000001"/>
    <n v="0.9"/>
    <s v="1.1x0.9"/>
    <x v="37"/>
    <n v="1616.1615999999999"/>
    <n v="0"/>
    <n v="1600"/>
    <n v="112"/>
    <n v="1712"/>
  </r>
  <r>
    <n v="51752"/>
    <x v="13"/>
    <n v="1"/>
    <n v="1"/>
    <s v="1x1"/>
    <x v="4"/>
    <n v="1600"/>
    <n v="0"/>
    <n v="1600"/>
    <n v="112"/>
    <n v="1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5FFC-04BE-48E5-8BCF-631E09BA1A4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52">
        <item x="1"/>
        <item x="49"/>
        <item x="42"/>
        <item x="45"/>
        <item x="41"/>
        <item x="44"/>
        <item x="50"/>
        <item x="40"/>
        <item x="23"/>
        <item x="25"/>
        <item x="27"/>
        <item x="0"/>
        <item x="48"/>
        <item x="43"/>
        <item x="22"/>
        <item x="33"/>
        <item x="12"/>
        <item x="15"/>
        <item x="26"/>
        <item x="30"/>
        <item x="10"/>
        <item x="16"/>
        <item x="2"/>
        <item x="13"/>
        <item x="18"/>
        <item x="19"/>
        <item x="21"/>
        <item x="29"/>
        <item x="11"/>
        <item x="46"/>
        <item x="24"/>
        <item x="28"/>
        <item x="31"/>
        <item x="32"/>
        <item x="20"/>
        <item x="5"/>
        <item x="9"/>
        <item x="7"/>
        <item x="17"/>
        <item x="8"/>
        <item x="14"/>
        <item x="3"/>
        <item x="4"/>
        <item x="6"/>
        <item x="36"/>
        <item x="37"/>
        <item x="34"/>
        <item x="38"/>
        <item x="47"/>
        <item x="35"/>
        <item x="39"/>
        <item t="default"/>
      </items>
    </pivotField>
    <pivotField axis="axisRow" showAll="0">
      <items count="49">
        <item x="1"/>
        <item x="0"/>
        <item x="45"/>
        <item x="46"/>
        <item x="47"/>
        <item x="37"/>
        <item x="38"/>
        <item x="39"/>
        <item x="40"/>
        <item x="41"/>
        <item x="42"/>
        <item x="43"/>
        <item x="21"/>
        <item x="22"/>
        <item x="23"/>
        <item x="24"/>
        <item x="25"/>
        <item x="26"/>
        <item x="27"/>
        <item x="28"/>
        <item x="29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"/>
        <item x="3"/>
        <item x="4"/>
        <item x="5"/>
        <item x="6"/>
        <item x="7"/>
        <item x="8"/>
        <item x="31"/>
        <item x="32"/>
        <item x="33"/>
        <item x="34"/>
        <item x="35"/>
        <item x="36"/>
        <item x="44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61">
    <i>
      <x/>
    </i>
    <i r="1">
      <x v="1"/>
    </i>
    <i>
      <x v="1"/>
    </i>
    <i r="1">
      <x v="1"/>
    </i>
    <i>
      <x v="2"/>
    </i>
    <i r="1">
      <x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 v="47"/>
    </i>
    <i>
      <x v="9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200">
      <pivotArea outline="0" collapsedLevelsAreSubtotals="1" fieldPosition="0"/>
    </format>
    <format dxfId="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94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9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92">
      <pivotArea dataOnly="0" labelOnly="1" fieldPosition="0">
        <references count="2">
          <reference field="1" count="1" selected="0">
            <x v="3"/>
          </reference>
          <reference field="5" count="7">
            <x v="34"/>
            <x v="35"/>
            <x v="36"/>
            <x v="37"/>
            <x v="38"/>
            <x v="39"/>
            <x v="40"/>
          </reference>
        </references>
      </pivotArea>
    </format>
    <format dxfId="191">
      <pivotArea dataOnly="0" labelOnly="1" fieldPosition="0">
        <references count="2">
          <reference field="1" count="1" selected="0">
            <x v="4"/>
          </reference>
          <reference field="5" count="12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90">
      <pivotArea dataOnly="0" labelOnly="1" fieldPosition="0">
        <references count="2">
          <reference field="1" count="1" selected="0">
            <x v="5"/>
          </reference>
          <reference field="5" count="10"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89">
      <pivotArea dataOnly="0" labelOnly="1" fieldPosition="0">
        <references count="2">
          <reference field="1" count="1" selected="0">
            <x v="6"/>
          </reference>
          <reference field="5" count="6">
            <x v="41"/>
            <x v="42"/>
            <x v="43"/>
            <x v="44"/>
            <x v="45"/>
            <x v="46"/>
          </reference>
        </references>
      </pivotArea>
    </format>
    <format dxfId="188">
      <pivotArea dataOnly="0" labelOnly="1" fieldPosition="0">
        <references count="2">
          <reference field="1" count="1" selected="0">
            <x v="7"/>
          </reference>
          <reference field="5" count="7"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dataOnly="0" labelOnly="1" fieldPosition="0">
        <references count="2">
          <reference field="1" count="1" selected="0">
            <x v="8"/>
          </reference>
          <reference field="5" count="1">
            <x v="47"/>
          </reference>
        </references>
      </pivotArea>
    </format>
    <format dxfId="186">
      <pivotArea dataOnly="0" labelOnly="1" fieldPosition="0">
        <references count="2">
          <reference field="1" count="1" selected="0">
            <x v="9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7C730-0037-419A-BC09-5382D7D8AD0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128" firstHeaderRow="0" firstDataRow="1" firstDataCol="1"/>
  <pivotFields count="11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1">
        <item x="31"/>
        <item x="30"/>
        <item x="24"/>
        <item x="109"/>
        <item x="100"/>
        <item x="101"/>
        <item x="98"/>
        <item x="83"/>
        <item x="26"/>
        <item x="29"/>
        <item x="7"/>
        <item x="82"/>
        <item x="87"/>
        <item x="25"/>
        <item x="27"/>
        <item x="6"/>
        <item x="9"/>
        <item x="12"/>
        <item x="18"/>
        <item x="102"/>
        <item x="104"/>
        <item x="75"/>
        <item x="80"/>
        <item x="81"/>
        <item x="8"/>
        <item x="11"/>
        <item x="15"/>
        <item x="19"/>
        <item x="105"/>
        <item x="71"/>
        <item x="78"/>
        <item x="84"/>
        <item x="88"/>
        <item x="10"/>
        <item x="72"/>
        <item x="57"/>
        <item x="13"/>
        <item x="103"/>
        <item x="79"/>
        <item x="92"/>
        <item x="52"/>
        <item x="58"/>
        <item x="14"/>
        <item x="108"/>
        <item x="1"/>
        <item x="21"/>
        <item x="22"/>
        <item x="0"/>
        <item x="23"/>
        <item x="28"/>
        <item x="5"/>
        <item x="99"/>
        <item x="73"/>
        <item x="4"/>
        <item x="85"/>
        <item x="53"/>
        <item x="63"/>
        <item x="64"/>
        <item x="67"/>
        <item x="86"/>
        <item x="68"/>
        <item x="70"/>
        <item x="17"/>
        <item x="20"/>
        <item x="74"/>
        <item x="55"/>
        <item x="56"/>
        <item x="59"/>
        <item x="32"/>
        <item x="76"/>
        <item x="93"/>
        <item x="60"/>
        <item x="65"/>
        <item x="36"/>
        <item x="2"/>
        <item x="3"/>
        <item x="90"/>
        <item x="54"/>
        <item x="62"/>
        <item x="16"/>
        <item x="77"/>
        <item x="89"/>
        <item x="91"/>
        <item x="61"/>
        <item x="47"/>
        <item x="50"/>
        <item x="33"/>
        <item x="45"/>
        <item x="96"/>
        <item x="34"/>
        <item x="39"/>
        <item x="35"/>
        <item x="37"/>
        <item x="48"/>
        <item x="106"/>
        <item x="38"/>
        <item x="40"/>
        <item x="94"/>
        <item x="41"/>
        <item x="44"/>
        <item x="66"/>
        <item x="69"/>
        <item x="43"/>
        <item x="42"/>
        <item x="49"/>
        <item x="97"/>
        <item x="51"/>
        <item x="46"/>
        <item x="107"/>
        <item x="95"/>
        <item t="default"/>
      </items>
    </pivotField>
    <pivotField axis="axisRow" showAll="0">
      <items count="101">
        <item x="26"/>
        <item x="27"/>
        <item x="1"/>
        <item x="19"/>
        <item x="20"/>
        <item x="0"/>
        <item x="21"/>
        <item x="22"/>
        <item x="23"/>
        <item x="24"/>
        <item x="25"/>
        <item x="99"/>
        <item x="5"/>
        <item x="6"/>
        <item x="92"/>
        <item x="7"/>
        <item x="8"/>
        <item x="9"/>
        <item x="10"/>
        <item x="11"/>
        <item x="12"/>
        <item x="13"/>
        <item x="14"/>
        <item x="15"/>
        <item x="16"/>
        <item x="17"/>
        <item x="93"/>
        <item x="18"/>
        <item x="94"/>
        <item x="95"/>
        <item x="66"/>
        <item x="67"/>
        <item x="68"/>
        <item x="2"/>
        <item x="69"/>
        <item x="70"/>
        <item x="71"/>
        <item x="3"/>
        <item x="72"/>
        <item x="73"/>
        <item x="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89"/>
        <item x="90"/>
        <item x="91"/>
        <item x="96"/>
        <item x="97"/>
        <item x="98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125">
    <i>
      <x/>
    </i>
    <i r="1">
      <x v="5"/>
    </i>
    <i>
      <x v="1"/>
    </i>
    <i r="1">
      <x v="5"/>
    </i>
    <i>
      <x v="2"/>
    </i>
    <i r="1">
      <x v="2"/>
    </i>
    <i>
      <x v="3"/>
    </i>
    <i r="1">
      <x v="2"/>
    </i>
    <i>
      <x v="4"/>
    </i>
    <i r="1">
      <x v="33"/>
    </i>
    <i r="1">
      <x v="37"/>
    </i>
    <i r="1">
      <x v="40"/>
    </i>
    <i>
      <x v="5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6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>
      <x v="8"/>
    </i>
    <i r="1">
      <x v="1"/>
    </i>
    <i>
      <x v="9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0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1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2"/>
    </i>
    <i r="1">
      <x v="93"/>
    </i>
    <i r="1">
      <x v="94"/>
    </i>
    <i r="1">
      <x v="95"/>
    </i>
    <i r="1">
      <x v="96"/>
    </i>
    <i>
      <x v="13"/>
    </i>
    <i r="1">
      <x v="12"/>
    </i>
    <i r="1">
      <x v="14"/>
    </i>
    <i r="1">
      <x v="15"/>
    </i>
    <i r="1">
      <x v="19"/>
    </i>
    <i r="1">
      <x v="21"/>
    </i>
    <i r="1">
      <x v="26"/>
    </i>
    <i r="1">
      <x v="28"/>
    </i>
    <i r="1">
      <x v="29"/>
    </i>
    <i>
      <x v="14"/>
    </i>
    <i r="1">
      <x v="97"/>
    </i>
    <i r="1">
      <x v="98"/>
    </i>
    <i r="1">
      <x v="99"/>
    </i>
    <i>
      <x v="15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1"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179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178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177">
      <pivotArea dataOnly="0" labelOnly="1" fieldPosition="0">
        <references count="2">
          <reference field="1" count="1" selected="0">
            <x v="3"/>
          </reference>
          <reference field="5" count="1">
            <x v="2"/>
          </reference>
        </references>
      </pivotArea>
    </format>
    <format dxfId="176">
      <pivotArea dataOnly="0" labelOnly="1" fieldPosition="0">
        <references count="2">
          <reference field="1" count="1" selected="0">
            <x v="4"/>
          </reference>
          <reference field="5" count="3">
            <x v="33"/>
            <x v="37"/>
            <x v="40"/>
          </reference>
        </references>
      </pivotArea>
    </format>
    <format dxfId="175">
      <pivotArea dataOnly="0" labelOnly="1" fieldPosition="0">
        <references count="2">
          <reference field="1" count="1" selected="0">
            <x v="5"/>
          </reference>
          <reference field="5" count="14"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</reference>
        </references>
      </pivotArea>
    </format>
    <format dxfId="174">
      <pivotArea dataOnly="0" labelOnly="1" fieldPosition="0">
        <references count="2">
          <reference field="1" count="1" selected="0">
            <x v="6"/>
          </reference>
          <reference field="5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3">
      <pivotArea dataOnly="0" labelOnly="1" fieldPosition="0">
        <references count="2">
          <reference field="1" count="1" selected="0">
            <x v="7"/>
          </reference>
          <reference field="5" count="1">
            <x v="0"/>
          </reference>
        </references>
      </pivotArea>
    </format>
    <format dxfId="172">
      <pivotArea dataOnly="0" labelOnly="1" fieldPosition="0">
        <references count="2">
          <reference field="1" count="1" selected="0">
            <x v="8"/>
          </reference>
          <reference field="5" count="1">
            <x v="1"/>
          </reference>
        </references>
      </pivotArea>
    </format>
    <format dxfId="171">
      <pivotArea dataOnly="0" labelOnly="1" fieldPosition="0">
        <references count="2">
          <reference field="1" count="1" selected="0">
            <x v="9"/>
          </reference>
          <reference field="5" count="20"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70">
      <pivotArea dataOnly="0" labelOnly="1" fieldPosition="0">
        <references count="2">
          <reference field="1" count="1" selected="0">
            <x v="10"/>
          </reference>
          <reference field="5" count="18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69">
      <pivotArea dataOnly="0" labelOnly="1" fieldPosition="0">
        <references count="2">
          <reference field="1" count="1" selected="0">
            <x v="11"/>
          </reference>
          <reference field="5" count="23">
            <x v="30"/>
            <x v="31"/>
            <x v="32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8">
      <pivotArea dataOnly="0" labelOnly="1" fieldPosition="0">
        <references count="2">
          <reference field="1" count="1" selected="0">
            <x v="12"/>
          </reference>
          <reference field="5" count="4">
            <x v="93"/>
            <x v="94"/>
            <x v="95"/>
            <x v="96"/>
          </reference>
        </references>
      </pivotArea>
    </format>
    <format dxfId="167">
      <pivotArea dataOnly="0" labelOnly="1" fieldPosition="0">
        <references count="2">
          <reference field="1" count="1" selected="0">
            <x v="13"/>
          </reference>
          <reference field="5" count="8">
            <x v="12"/>
            <x v="14"/>
            <x v="15"/>
            <x v="19"/>
            <x v="21"/>
            <x v="26"/>
            <x v="28"/>
            <x v="29"/>
          </reference>
        </references>
      </pivotArea>
    </format>
    <format dxfId="166">
      <pivotArea dataOnly="0" labelOnly="1" fieldPosition="0">
        <references count="2">
          <reference field="1" count="1" selected="0">
            <x v="14"/>
          </reference>
          <reference field="5" count="3">
            <x v="97"/>
            <x v="98"/>
            <x v="99"/>
          </reference>
        </references>
      </pivotArea>
    </format>
    <format dxfId="165">
      <pivotArea dataOnly="0" labelOnly="1" fieldPosition="0">
        <references count="2">
          <reference field="1" count="1" selected="0">
            <x v="15"/>
          </reference>
          <reference field="5" count="1">
            <x v="1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D9BA-33A7-4E70-A796-32D40EF9F81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6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9">
        <item x="1"/>
        <item x="38"/>
        <item x="19"/>
        <item x="55"/>
        <item x="36"/>
        <item x="57"/>
        <item x="13"/>
        <item x="11"/>
        <item x="42"/>
        <item x="31"/>
        <item x="3"/>
        <item x="53"/>
        <item x="0"/>
        <item x="54"/>
        <item x="20"/>
        <item x="56"/>
        <item x="46"/>
        <item x="18"/>
        <item x="49"/>
        <item x="50"/>
        <item x="51"/>
        <item x="12"/>
        <item x="14"/>
        <item x="17"/>
        <item x="30"/>
        <item x="32"/>
        <item x="47"/>
        <item x="37"/>
        <item x="41"/>
        <item x="28"/>
        <item x="33"/>
        <item x="16"/>
        <item x="43"/>
        <item x="21"/>
        <item x="25"/>
        <item x="15"/>
        <item x="35"/>
        <item x="2"/>
        <item x="4"/>
        <item x="24"/>
        <item x="5"/>
        <item x="6"/>
        <item x="48"/>
        <item x="52"/>
        <item x="39"/>
        <item x="29"/>
        <item x="7"/>
        <item x="9"/>
        <item x="10"/>
        <item x="26"/>
        <item x="23"/>
        <item x="40"/>
        <item x="34"/>
        <item x="8"/>
        <item x="22"/>
        <item x="44"/>
        <item x="45"/>
        <item x="27"/>
        <item t="default"/>
      </items>
    </pivotField>
    <pivotField axis="axisRow" showAll="0">
      <items count="54">
        <item x="1"/>
        <item x="49"/>
        <item x="0"/>
        <item x="50"/>
        <item x="51"/>
        <item x="20"/>
        <item x="52"/>
        <item x="42"/>
        <item x="43"/>
        <item x="44"/>
        <item x="18"/>
        <item x="45"/>
        <item x="46"/>
        <item x="19"/>
        <item x="47"/>
        <item x="48"/>
        <item x="12"/>
        <item x="35"/>
        <item x="13"/>
        <item x="14"/>
        <item x="15"/>
        <item x="36"/>
        <item x="16"/>
        <item x="17"/>
        <item x="37"/>
        <item x="38"/>
        <item x="39"/>
        <item x="27"/>
        <item x="11"/>
        <item x="28"/>
        <item x="29"/>
        <item x="30"/>
        <item x="31"/>
        <item x="32"/>
        <item x="33"/>
        <item x="34"/>
        <item x="21"/>
        <item x="2"/>
        <item x="3"/>
        <item x="4"/>
        <item x="5"/>
        <item x="6"/>
        <item x="22"/>
        <item x="23"/>
        <item x="7"/>
        <item x="8"/>
        <item x="24"/>
        <item x="25"/>
        <item x="9"/>
        <item x="10"/>
        <item x="26"/>
        <item x="40"/>
        <item x="4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3">
    <i>
      <x/>
    </i>
    <i r="1">
      <x v="2"/>
    </i>
    <i>
      <x v="1"/>
    </i>
    <i r="1">
      <x v="2"/>
    </i>
    <i>
      <x v="2"/>
    </i>
    <i r="1">
      <x/>
    </i>
    <i>
      <x v="3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8"/>
    </i>
    <i r="1">
      <x v="49"/>
    </i>
    <i>
      <x v="4"/>
    </i>
    <i r="1">
      <x v="28"/>
    </i>
    <i>
      <x v="5"/>
    </i>
    <i r="1">
      <x v="16"/>
    </i>
    <i r="1">
      <x v="18"/>
    </i>
    <i r="1">
      <x v="19"/>
    </i>
    <i r="1">
      <x v="20"/>
    </i>
    <i r="1">
      <x v="22"/>
    </i>
    <i r="1">
      <x v="23"/>
    </i>
    <i>
      <x v="6"/>
    </i>
    <i r="1">
      <x v="10"/>
    </i>
    <i r="1">
      <x v="13"/>
    </i>
    <i>
      <x v="7"/>
    </i>
    <i r="1">
      <x v="2"/>
    </i>
    <i r="1">
      <x v="5"/>
    </i>
    <i>
      <x v="8"/>
    </i>
    <i r="1">
      <x v="36"/>
    </i>
    <i r="1">
      <x v="42"/>
    </i>
    <i r="1">
      <x v="43"/>
    </i>
    <i r="1">
      <x v="46"/>
    </i>
    <i r="1">
      <x v="47"/>
    </i>
    <i r="1">
      <x v="50"/>
    </i>
    <i>
      <x v="9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0"/>
    </i>
    <i r="1">
      <x v="17"/>
    </i>
    <i r="1">
      <x v="18"/>
    </i>
    <i r="1">
      <x v="21"/>
    </i>
    <i r="1">
      <x v="23"/>
    </i>
    <i r="1">
      <x v="24"/>
    </i>
    <i r="1">
      <x v="25"/>
    </i>
    <i r="1">
      <x v="26"/>
    </i>
    <i>
      <x v="11"/>
    </i>
    <i r="1">
      <x v="51"/>
    </i>
    <i r="1">
      <x v="52"/>
    </i>
    <i>
      <x v="1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3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Total" fld="10" subtotal="average" baseField="1" baseItem="0"/>
    <dataField name="Average of MonthlyRatePerSF" fld="6" subtotal="average" baseField="5" baseItem="37"/>
  </dataFields>
  <formats count="19"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  <format dxfId="158">
      <pivotArea dataOnly="0" labelOnly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5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56">
      <pivotArea dataOnly="0" labelOnly="1" fieldPosition="0">
        <references count="2">
          <reference field="1" count="1" selected="0">
            <x v="3"/>
          </reference>
          <reference field="5" count="9">
            <x v="37"/>
            <x v="38"/>
            <x v="39"/>
            <x v="40"/>
            <x v="41"/>
            <x v="44"/>
            <x v="45"/>
            <x v="48"/>
            <x v="49"/>
          </reference>
        </references>
      </pivotArea>
    </format>
    <format dxfId="155">
      <pivotArea dataOnly="0" labelOnly="1" fieldPosition="0">
        <references count="2">
          <reference field="1" count="1" selected="0">
            <x v="4"/>
          </reference>
          <reference field="5" count="1">
            <x v="28"/>
          </reference>
        </references>
      </pivotArea>
    </format>
    <format dxfId="154">
      <pivotArea dataOnly="0" labelOnly="1" fieldPosition="0">
        <references count="2">
          <reference field="1" count="1" selected="0">
            <x v="5"/>
          </reference>
          <reference field="5" count="6">
            <x v="16"/>
            <x v="18"/>
            <x v="19"/>
            <x v="20"/>
            <x v="22"/>
            <x v="23"/>
          </reference>
        </references>
      </pivotArea>
    </format>
    <format dxfId="153">
      <pivotArea dataOnly="0" labelOnly="1" fieldPosition="0">
        <references count="2">
          <reference field="1" count="1" selected="0">
            <x v="6"/>
          </reference>
          <reference field="5" count="2">
            <x v="10"/>
            <x v="13"/>
          </reference>
        </references>
      </pivotArea>
    </format>
    <format dxfId="152">
      <pivotArea dataOnly="0" labelOnly="1" fieldPosition="0">
        <references count="2">
          <reference field="1" count="1" selected="0">
            <x v="7"/>
          </reference>
          <reference field="5" count="2">
            <x v="2"/>
            <x v="5"/>
          </reference>
        </references>
      </pivotArea>
    </format>
    <format dxfId="151">
      <pivotArea dataOnly="0" labelOnly="1" fieldPosition="0">
        <references count="2">
          <reference field="1" count="1" selected="0">
            <x v="8"/>
          </reference>
          <reference field="5" count="6">
            <x v="36"/>
            <x v="42"/>
            <x v="43"/>
            <x v="46"/>
            <x v="47"/>
            <x v="50"/>
          </reference>
        </references>
      </pivotArea>
    </format>
    <format dxfId="150">
      <pivotArea dataOnly="0" labelOnly="1" fieldPosition="0">
        <references count="2">
          <reference field="1" count="1" selected="0">
            <x v="9"/>
          </reference>
          <reference field="5" count="8">
            <x v="27"/>
            <x v="29"/>
            <x v="30"/>
            <x v="31"/>
            <x v="32"/>
            <x v="33"/>
            <x v="34"/>
            <x v="35"/>
          </reference>
        </references>
      </pivotArea>
    </format>
    <format dxfId="149">
      <pivotArea dataOnly="0" labelOnly="1" fieldPosition="0">
        <references count="2">
          <reference field="1" count="1" selected="0">
            <x v="10"/>
          </reference>
          <reference field="5" count="7">
            <x v="17"/>
            <x v="18"/>
            <x v="21"/>
            <x v="23"/>
            <x v="24"/>
            <x v="25"/>
            <x v="26"/>
          </reference>
        </references>
      </pivotArea>
    </format>
    <format dxfId="148">
      <pivotArea dataOnly="0" labelOnly="1" fieldPosition="0">
        <references count="2">
          <reference field="1" count="1" selected="0">
            <x v="11"/>
          </reference>
          <reference field="5" count="2">
            <x v="51"/>
            <x v="52"/>
          </reference>
        </references>
      </pivotArea>
    </format>
    <format dxfId="147">
      <pivotArea dataOnly="0" labelOnly="1" fieldPosition="0">
        <references count="2">
          <reference field="1" count="1" selected="0">
            <x v="12"/>
          </reference>
          <reference field="5" count="8">
            <x v="7"/>
            <x v="8"/>
            <x v="9"/>
            <x v="10"/>
            <x v="11"/>
            <x v="12"/>
            <x v="14"/>
            <x v="15"/>
          </reference>
        </references>
      </pivotArea>
    </format>
    <format dxfId="146">
      <pivotArea dataOnly="0" labelOnly="1" fieldPosition="0">
        <references count="2">
          <reference field="1" count="1" selected="0">
            <x v="13"/>
          </reference>
          <reference field="5" count="4">
            <x v="1"/>
            <x v="3"/>
            <x v="4"/>
            <x v="6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0F9FF-3911-4969-B1D1-937844B2DCE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8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63">
        <item x="1"/>
        <item x="0"/>
        <item x="56"/>
        <item x="57"/>
        <item x="58"/>
        <item x="59"/>
        <item x="60"/>
        <item x="61"/>
        <item x="42"/>
        <item x="43"/>
        <item x="44"/>
        <item x="45"/>
        <item x="46"/>
        <item x="47"/>
        <item x="48"/>
        <item x="49"/>
        <item x="50"/>
        <item x="5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x="5"/>
        <item x="6"/>
        <item x="7"/>
        <item x="8"/>
        <item x="37"/>
        <item x="38"/>
        <item x="39"/>
        <item x="40"/>
        <item x="41"/>
        <item x="52"/>
        <item x="53"/>
        <item x="54"/>
        <item x="55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5">
    <i>
      <x/>
    </i>
    <i r="1">
      <x v="1"/>
    </i>
    <i>
      <x v="1"/>
    </i>
    <i r="1">
      <x v="1"/>
    </i>
    <i>
      <x v="2"/>
    </i>
    <i r="1">
      <x/>
    </i>
    <i>
      <x v="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4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 v="53"/>
    </i>
    <i r="1">
      <x v="54"/>
    </i>
    <i r="1">
      <x v="55"/>
    </i>
    <i r="1">
      <x v="56"/>
    </i>
    <i r="1">
      <x v="57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58"/>
    </i>
    <i r="1">
      <x v="59"/>
    </i>
    <i r="1">
      <x v="60"/>
    </i>
    <i r="1">
      <x v="61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0"/>
    <dataField name="Average of MonthlyRatePerSF" fld="6" subtotal="average" baseField="5" baseItem="0"/>
    <dataField name="Average of MonthlyTotal" fld="10" subtotal="average" baseField="5" baseItem="0"/>
  </dataFields>
  <formats count="15">
    <format dxfId="145">
      <pivotArea outline="0" collapsedLevelsAreSubtotals="1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39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38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37">
      <pivotArea dataOnly="0" labelOnly="1" fieldPosition="0">
        <references count="2">
          <reference field="1" count="1" selected="0">
            <x v="3"/>
          </reference>
          <reference field="5" count="7">
            <x v="46"/>
            <x v="47"/>
            <x v="48"/>
            <x v="49"/>
            <x v="50"/>
            <x v="51"/>
            <x v="52"/>
          </reference>
        </references>
      </pivotArea>
    </format>
    <format dxfId="136">
      <pivotArea dataOnly="0" labelOnly="1" fieldPosition="0">
        <references count="2">
          <reference field="1" count="1" selected="0">
            <x v="4"/>
          </reference>
          <reference field="5" count="14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135">
      <pivotArea dataOnly="0" labelOnly="1" fieldPosition="0">
        <references count="2">
          <reference field="1" count="1" selected="0">
            <x v="5"/>
          </reference>
          <reference field="5" count="14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5" count="5">
            <x v="53"/>
            <x v="54"/>
            <x v="55"/>
            <x v="56"/>
            <x v="57"/>
          </reference>
        </references>
      </pivotArea>
    </format>
    <format dxfId="133">
      <pivotArea dataOnly="0" labelOnly="1" fieldPosition="0">
        <references count="2">
          <reference field="1" count="1" selected="0">
            <x v="7"/>
          </reference>
          <reference field="5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5" count="4">
            <x v="58"/>
            <x v="59"/>
            <x v="60"/>
            <x v="61"/>
          </reference>
        </references>
      </pivotArea>
    </format>
    <format dxfId="131">
      <pivotArea dataOnly="0" labelOnly="1" fieldPosition="0">
        <references count="2">
          <reference field="1" count="1" selected="0">
            <x v="9"/>
          </reference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B337-B8BD-456F-BD0E-1671B381882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0" firstHeaderRow="0" firstDataRow="1" firstDataCol="1"/>
  <pivotFields count="11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Row" showAll="0">
      <items count="45">
        <item x="5"/>
        <item x="40"/>
        <item x="41"/>
        <item x="42"/>
        <item x="43"/>
        <item x="28"/>
        <item x="29"/>
        <item x="30"/>
        <item x="31"/>
        <item x="32"/>
        <item x="33"/>
        <item x="34"/>
        <item x="35"/>
        <item x="36"/>
        <item x="37"/>
        <item x="38"/>
        <item x="17"/>
        <item x="18"/>
        <item x="19"/>
        <item x="20"/>
        <item x="21"/>
        <item x="22"/>
        <item x="23"/>
        <item x="24"/>
        <item x="25"/>
        <item x="26"/>
        <item x="9"/>
        <item x="10"/>
        <item x="11"/>
        <item x="12"/>
        <item x="13"/>
        <item x="14"/>
        <item x="15"/>
        <item x="16"/>
        <item x="0"/>
        <item x="7"/>
        <item x="1"/>
        <item x="2"/>
        <item x="3"/>
        <item x="4"/>
        <item x="8"/>
        <item x="27"/>
        <item x="6"/>
        <item x="39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7">
    <i>
      <x/>
    </i>
    <i r="1">
      <x v="34"/>
    </i>
    <i r="1">
      <x v="36"/>
    </i>
    <i r="1">
      <x v="37"/>
    </i>
    <i r="1">
      <x v="38"/>
    </i>
    <i r="1">
      <x v="39"/>
    </i>
    <i>
      <x v="1"/>
    </i>
    <i r="1">
      <x/>
    </i>
    <i>
      <x v="2"/>
    </i>
    <i r="1">
      <x/>
    </i>
    <i>
      <x v="3"/>
    </i>
    <i r="1">
      <x v="42"/>
    </i>
    <i>
      <x v="4"/>
    </i>
    <i r="1">
      <x v="35"/>
    </i>
    <i r="1">
      <x v="40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41"/>
    </i>
    <i>
      <x v="8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3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6">
    <format dxfId="130">
      <pivotArea outline="0" collapsedLevelsAreSubtotals="1" fieldPosition="0"/>
    </format>
    <format dxfId="1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5" count="5">
            <x v="34"/>
            <x v="36"/>
            <x v="37"/>
            <x v="38"/>
            <x v="39"/>
          </reference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22">
      <pivotArea dataOnly="0" labelOnly="1" fieldPosition="0">
        <references count="2">
          <reference field="1" count="1" selected="0">
            <x v="3"/>
          </reference>
          <reference field="5" count="1">
            <x v="42"/>
          </reference>
        </references>
      </pivotArea>
    </format>
    <format dxfId="121">
      <pivotArea dataOnly="0" labelOnly="1" fieldPosition="0">
        <references count="2">
          <reference field="1" count="1" selected="0">
            <x v="4"/>
          </reference>
          <reference field="5" count="2">
            <x v="35"/>
            <x v="40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5" count="8"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19">
      <pivotArea dataOnly="0" labelOnly="1" fieldPosition="0">
        <references count="2">
          <reference field="1" count="1" selected="0">
            <x v="6"/>
          </reference>
          <reference field="5" count="10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8">
      <pivotArea dataOnly="0" labelOnly="1" fieldPosition="0">
        <references count="2">
          <reference field="1" count="1" selected="0">
            <x v="7"/>
          </reference>
          <reference field="5" count="1">
            <x v="41"/>
          </reference>
        </references>
      </pivotArea>
    </format>
    <format dxfId="117">
      <pivotArea dataOnly="0" labelOnly="1" fieldPosition="0">
        <references count="2">
          <reference field="1" count="1" selected="0">
            <x v="8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6">
      <pivotArea dataOnly="0" labelOnly="1" fieldPosition="0">
        <references count="2">
          <reference field="1" count="1" selected="0">
            <x v="9"/>
          </reference>
          <reference field="5" count="1">
            <x v="43"/>
          </reference>
        </references>
      </pivotArea>
    </format>
    <format dxfId="115">
      <pivotArea dataOnly="0" labelOnly="1" fieldPosition="0">
        <references count="2">
          <reference field="1" count="1" selected="0">
            <x v="10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E72D-EED4-4D9E-8156-D8FEAD1D1C3F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57">
        <item x="7"/>
        <item x="6"/>
        <item x="3"/>
        <item x="4"/>
        <item x="5"/>
        <item x="45"/>
        <item x="46"/>
        <item x="47"/>
        <item x="48"/>
        <item x="49"/>
        <item x="50"/>
        <item x="51"/>
        <item x="52"/>
        <item x="53"/>
        <item x="54"/>
        <item x="5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8"/>
        <item x="9"/>
        <item x="10"/>
        <item x="11"/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1">
    <i>
      <x/>
    </i>
    <i r="1">
      <x v="53"/>
    </i>
    <i r="1">
      <x v="54"/>
    </i>
    <i r="1">
      <x v="55"/>
    </i>
    <i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 v="49"/>
    </i>
    <i r="1">
      <x v="50"/>
    </i>
    <i r="1">
      <x v="51"/>
    </i>
    <i r="1">
      <x v="52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1" count="1" selected="0">
            <x v="0"/>
          </reference>
          <reference field="5" count="3">
            <x v="53"/>
            <x v="54"/>
            <x v="55"/>
          </reference>
        </references>
      </pivotArea>
    </format>
    <format dxfId="110">
      <pivotArea dataOnly="0" labelOnly="1" fieldPosition="0">
        <references count="2">
          <reference field="1" count="1" selected="0">
            <x v="1"/>
          </reference>
          <reference field="5" count="3">
            <x v="2"/>
            <x v="3"/>
            <x v="4"/>
          </reference>
        </references>
      </pivotArea>
    </format>
    <format dxfId="109">
      <pivotArea dataOnly="0" labelOnly="1" fieldPosition="0">
        <references count="2">
          <reference field="1" count="1" selected="0">
            <x v="2"/>
          </reference>
          <reference field="5" count="3">
            <x v="2"/>
            <x v="3"/>
            <x v="4"/>
          </reference>
        </references>
      </pivotArea>
    </format>
    <format dxfId="108">
      <pivotArea dataOnly="0" labelOnly="1" fieldPosition="0">
        <references count="2">
          <reference field="1" count="1" selected="0">
            <x v="3"/>
          </reference>
          <reference field="5" count="1">
            <x v="1"/>
          </reference>
        </references>
      </pivotArea>
    </format>
    <format dxfId="107">
      <pivotArea dataOnly="0" labelOnly="1" fieldPosition="0">
        <references count="2">
          <reference field="1" count="1" selected="0">
            <x v="4"/>
          </reference>
          <reference field="5" count="1">
            <x v="1"/>
          </reference>
        </references>
      </pivotArea>
    </format>
    <format dxfId="106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105">
      <pivotArea dataOnly="0" labelOnly="1" fieldPosition="0">
        <references count="2">
          <reference field="1" count="1" selected="0">
            <x v="6"/>
          </reference>
          <reference field="5" count="4">
            <x v="49"/>
            <x v="50"/>
            <x v="51"/>
            <x v="52"/>
          </reference>
        </references>
      </pivotArea>
    </format>
    <format dxfId="104">
      <pivotArea dataOnly="0" labelOnly="1" fieldPosition="0">
        <references count="2">
          <reference field="1" count="1" selected="0">
            <x v="7"/>
          </reference>
          <reference field="5" count="17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03">
      <pivotArea dataOnly="0" labelOnly="1" fieldPosition="0">
        <references count="2">
          <reference field="1" count="1" selected="0">
            <x v="8"/>
          </reference>
          <reference field="5" count="16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02">
      <pivotArea dataOnly="0" labelOnly="1" fieldPosition="0">
        <references count="2">
          <reference field="1" count="1" selected="0">
            <x v="9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317D3-DED2-495C-8D95-B70466BC6102}" name="PivotTable1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51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36">
        <item x="2"/>
        <item x="0"/>
        <item x="32"/>
        <item x="33"/>
        <item x="22"/>
        <item x="34"/>
        <item x="23"/>
        <item x="24"/>
        <item x="25"/>
        <item x="26"/>
        <item x="27"/>
        <item x="28"/>
        <item x="29"/>
        <item x="10"/>
        <item x="11"/>
        <item x="12"/>
        <item x="13"/>
        <item x="1"/>
        <item x="14"/>
        <item x="15"/>
        <item x="16"/>
        <item x="17"/>
        <item x="18"/>
        <item x="19"/>
        <item x="20"/>
        <item x="5"/>
        <item x="6"/>
        <item x="7"/>
        <item x="8"/>
        <item x="9"/>
        <item x="3"/>
        <item x="4"/>
        <item x="21"/>
        <item x="30"/>
        <item x="3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48">
    <i>
      <x/>
    </i>
    <i r="1">
      <x v="1"/>
    </i>
    <i r="1">
      <x v="17"/>
    </i>
    <i>
      <x v="1"/>
    </i>
    <i r="1">
      <x v="1"/>
    </i>
    <i>
      <x v="2"/>
    </i>
    <i r="1">
      <x/>
    </i>
    <i>
      <x v="3"/>
    </i>
    <i r="1">
      <x v="30"/>
    </i>
    <i r="1">
      <x v="31"/>
    </i>
    <i>
      <x v="4"/>
    </i>
    <i r="1">
      <x v="25"/>
    </i>
    <i r="1">
      <x v="26"/>
    </i>
    <i r="1">
      <x v="27"/>
    </i>
    <i r="1">
      <x v="28"/>
    </i>
    <i r="1">
      <x v="29"/>
    </i>
    <i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32"/>
    </i>
    <i>
      <x v="7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33"/>
    </i>
    <i r="1">
      <x v="34"/>
    </i>
    <i>
      <x v="9"/>
    </i>
    <i r="1">
      <x v="2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1" count="1" selected="0">
            <x v="0"/>
          </reference>
          <reference field="5" count="2">
            <x v="1"/>
            <x v="17"/>
          </reference>
        </references>
      </pivotArea>
    </format>
    <format dxfId="93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92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91">
      <pivotArea dataOnly="0" labelOnly="1" fieldPosition="0">
        <references count="2">
          <reference field="1" count="1" selected="0">
            <x v="3"/>
          </reference>
          <reference field="5" count="2">
            <x v="30"/>
            <x v="31"/>
          </reference>
        </references>
      </pivotArea>
    </format>
    <format dxfId="90">
      <pivotArea dataOnly="0" labelOnly="1" fieldPosition="0">
        <references count="2">
          <reference field="1" count="1" selected="0">
            <x v="4"/>
          </reference>
          <reference field="5" count="5">
            <x v="25"/>
            <x v="26"/>
            <x v="27"/>
            <x v="28"/>
            <x v="29"/>
          </reference>
        </references>
      </pivotArea>
    </format>
    <format dxfId="89">
      <pivotArea dataOnly="0" labelOnly="1" fieldPosition="0">
        <references count="2">
          <reference field="1" count="1" selected="0">
            <x v="5"/>
          </reference>
          <reference field="5" count="12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88">
      <pivotArea dataOnly="0" labelOnly="1" fieldPosition="0">
        <references count="2">
          <reference field="1" count="1" selected="0">
            <x v="6"/>
          </reference>
          <reference field="5" count="1">
            <x v="32"/>
          </reference>
        </references>
      </pivotArea>
    </format>
    <format dxfId="87">
      <pivotArea dataOnly="0" labelOnly="1" fieldPosition="0">
        <references count="2">
          <reference field="1" count="1" selected="0">
            <x v="7"/>
          </reference>
          <reference field="5" count="8">
            <x v="4"/>
            <x v="6"/>
            <x v="7"/>
            <x v="8"/>
            <x v="9"/>
            <x v="10"/>
            <x v="11"/>
            <x v="12"/>
          </reference>
        </references>
      </pivotArea>
    </format>
    <format dxfId="86">
      <pivotArea dataOnly="0" labelOnly="1" fieldPosition="0">
        <references count="2">
          <reference field="1" count="1" selected="0">
            <x v="8"/>
          </reference>
          <reference field="5" count="2">
            <x v="33"/>
            <x v="34"/>
          </reference>
        </references>
      </pivotArea>
    </format>
    <format dxfId="85">
      <pivotArea dataOnly="0" labelOnly="1" fieldPosition="0">
        <references count="2">
          <reference field="1" count="1" selected="0">
            <x v="9"/>
          </reference>
          <reference field="5" count="3">
            <x v="2"/>
            <x v="3"/>
            <x v="5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C17B5-AA7E-43C6-B8DD-55BB71063157}" name="PivotTable20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82" firstHeaderRow="0" firstDataRow="1" firstDataCol="1"/>
  <pivotFields count="1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41">
        <item x="2"/>
        <item x="38"/>
        <item x="23"/>
        <item x="39"/>
        <item x="24"/>
        <item x="25"/>
        <item x="26"/>
        <item x="27"/>
        <item x="17"/>
        <item x="18"/>
        <item x="19"/>
        <item x="20"/>
        <item x="21"/>
        <item x="37"/>
        <item x="14"/>
        <item x="8"/>
        <item x="31"/>
        <item x="9"/>
        <item x="32"/>
        <item x="10"/>
        <item x="11"/>
        <item x="33"/>
        <item x="12"/>
        <item x="34"/>
        <item x="35"/>
        <item x="13"/>
        <item x="3"/>
        <item x="28"/>
        <item x="4"/>
        <item x="29"/>
        <item x="30"/>
        <item x="5"/>
        <item x="0"/>
        <item x="6"/>
        <item x="7"/>
        <item x="36"/>
        <item x="15"/>
        <item x="16"/>
        <item x="1"/>
        <item x="2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9">
    <i>
      <x/>
    </i>
    <i r="1">
      <x v="32"/>
    </i>
    <i>
      <x v="1"/>
    </i>
    <i r="1">
      <x v="38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 v="26"/>
    </i>
    <i r="1">
      <x v="28"/>
    </i>
    <i r="1">
      <x v="31"/>
    </i>
    <i r="1">
      <x v="33"/>
    </i>
    <i r="1">
      <x v="34"/>
    </i>
    <i>
      <x v="7"/>
    </i>
    <i r="1">
      <x v="15"/>
    </i>
    <i r="1">
      <x v="17"/>
    </i>
    <i r="1">
      <x v="19"/>
    </i>
    <i r="1">
      <x v="20"/>
    </i>
    <i r="1">
      <x v="22"/>
    </i>
    <i r="1">
      <x v="25"/>
    </i>
    <i>
      <x v="8"/>
    </i>
    <i r="1">
      <x v="14"/>
    </i>
    <i>
      <x v="9"/>
    </i>
    <i r="1">
      <x v="36"/>
    </i>
    <i r="1">
      <x v="37"/>
    </i>
    <i>
      <x v="10"/>
    </i>
    <i r="1">
      <x v="8"/>
    </i>
    <i r="1">
      <x v="9"/>
    </i>
    <i r="1">
      <x v="10"/>
    </i>
    <i r="1">
      <x v="11"/>
    </i>
    <i r="1">
      <x v="12"/>
    </i>
    <i>
      <x v="11"/>
    </i>
    <i r="1">
      <x v="39"/>
    </i>
    <i>
      <x v="12"/>
    </i>
    <i r="1">
      <x v="2"/>
    </i>
    <i r="1">
      <x v="4"/>
    </i>
    <i r="1">
      <x v="5"/>
    </i>
    <i r="1">
      <x v="6"/>
    </i>
    <i r="1">
      <x v="7"/>
    </i>
    <i>
      <x v="13"/>
    </i>
    <i r="1">
      <x v="26"/>
    </i>
    <i r="1">
      <x v="27"/>
    </i>
    <i r="1">
      <x v="28"/>
    </i>
    <i r="1">
      <x v="29"/>
    </i>
    <i r="1">
      <x v="30"/>
    </i>
    <i r="1">
      <x v="34"/>
    </i>
    <i>
      <x v="14"/>
    </i>
    <i r="1">
      <x v="15"/>
    </i>
    <i r="1">
      <x v="16"/>
    </i>
    <i r="1">
      <x v="18"/>
    </i>
    <i r="1">
      <x v="21"/>
    </i>
    <i r="1">
      <x v="23"/>
    </i>
    <i r="1">
      <x v="24"/>
    </i>
    <i>
      <x v="15"/>
    </i>
    <i r="1">
      <x v="14"/>
    </i>
    <i>
      <x v="16"/>
    </i>
    <i r="1">
      <x v="35"/>
    </i>
    <i r="1">
      <x v="37"/>
    </i>
    <i>
      <x v="17"/>
    </i>
    <i r="1">
      <x v="8"/>
    </i>
    <i r="1">
      <x v="9"/>
    </i>
    <i r="1">
      <x v="11"/>
    </i>
    <i r="1">
      <x v="12"/>
    </i>
    <i r="1">
      <x v="13"/>
    </i>
    <i>
      <x v="18"/>
    </i>
    <i r="1">
      <x v="39"/>
    </i>
    <i>
      <x v="19"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5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1" count="1" selected="0">
            <x v="0"/>
          </reference>
          <reference field="5" count="1">
            <x v="32"/>
          </reference>
        </references>
      </pivotArea>
    </format>
    <format dxfId="78">
      <pivotArea dataOnly="0" labelOnly="1" fieldPosition="0">
        <references count="2">
          <reference field="1" count="1" selected="0">
            <x v="1"/>
          </reference>
          <reference field="5" count="1">
            <x v="38"/>
          </reference>
        </references>
      </pivotArea>
    </format>
    <format dxfId="7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76">
      <pivotArea dataOnly="0" labelOnly="1" fieldPosition="0">
        <references count="2">
          <reference field="1" count="1" selected="0">
            <x v="3"/>
          </reference>
          <reference field="5" count="1">
            <x v="0"/>
          </reference>
        </references>
      </pivotArea>
    </format>
    <format dxfId="75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74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73">
      <pivotArea dataOnly="0" labelOnly="1" fieldPosition="0">
        <references count="2">
          <reference field="1" count="1" selected="0">
            <x v="6"/>
          </reference>
          <reference field="5" count="5">
            <x v="26"/>
            <x v="28"/>
            <x v="31"/>
            <x v="33"/>
            <x v="34"/>
          </reference>
        </references>
      </pivotArea>
    </format>
    <format dxfId="72">
      <pivotArea dataOnly="0" labelOnly="1" fieldPosition="0">
        <references count="2">
          <reference field="1" count="1" selected="0">
            <x v="7"/>
          </reference>
          <reference field="5" count="6">
            <x v="15"/>
            <x v="17"/>
            <x v="19"/>
            <x v="20"/>
            <x v="22"/>
            <x v="25"/>
          </reference>
        </references>
      </pivotArea>
    </format>
    <format dxfId="71">
      <pivotArea dataOnly="0" labelOnly="1" fieldPosition="0">
        <references count="2">
          <reference field="1" count="1" selected="0">
            <x v="8"/>
          </reference>
          <reference field="5" count="1">
            <x v="14"/>
          </reference>
        </references>
      </pivotArea>
    </format>
    <format dxfId="70">
      <pivotArea dataOnly="0" labelOnly="1" fieldPosition="0">
        <references count="2">
          <reference field="1" count="1" selected="0">
            <x v="9"/>
          </reference>
          <reference field="5" count="2">
            <x v="36"/>
            <x v="37"/>
          </reference>
        </references>
      </pivotArea>
    </format>
    <format dxfId="69">
      <pivotArea dataOnly="0" labelOnly="1" fieldPosition="0">
        <references count="2">
          <reference field="1" count="1" selected="0">
            <x v="10"/>
          </reference>
          <reference field="5" count="5">
            <x v="8"/>
            <x v="9"/>
            <x v="10"/>
            <x v="11"/>
            <x v="12"/>
          </reference>
        </references>
      </pivotArea>
    </format>
    <format dxfId="68">
      <pivotArea dataOnly="0" labelOnly="1" fieldPosition="0">
        <references count="2">
          <reference field="1" count="1" selected="0">
            <x v="11"/>
          </reference>
          <reference field="5" count="1">
            <x v="39"/>
          </reference>
        </references>
      </pivotArea>
    </format>
    <format dxfId="67">
      <pivotArea dataOnly="0" labelOnly="1" fieldPosition="0">
        <references count="2">
          <reference field="1" count="1" selected="0">
            <x v="12"/>
          </reference>
          <reference field="5" count="5">
            <x v="2"/>
            <x v="4"/>
            <x v="5"/>
            <x v="6"/>
            <x v="7"/>
          </reference>
        </references>
      </pivotArea>
    </format>
    <format dxfId="66">
      <pivotArea dataOnly="0" labelOnly="1" fieldPosition="0">
        <references count="2">
          <reference field="1" count="1" selected="0">
            <x v="13"/>
          </reference>
          <reference field="5" count="6">
            <x v="26"/>
            <x v="27"/>
            <x v="28"/>
            <x v="29"/>
            <x v="30"/>
            <x v="34"/>
          </reference>
        </references>
      </pivotArea>
    </format>
    <format dxfId="65">
      <pivotArea dataOnly="0" labelOnly="1" fieldPosition="0">
        <references count="2">
          <reference field="1" count="1" selected="0">
            <x v="14"/>
          </reference>
          <reference field="5" count="6">
            <x v="15"/>
            <x v="16"/>
            <x v="18"/>
            <x v="21"/>
            <x v="23"/>
            <x v="24"/>
          </reference>
        </references>
      </pivotArea>
    </format>
    <format dxfId="64">
      <pivotArea dataOnly="0" labelOnly="1" fieldPosition="0">
        <references count="2">
          <reference field="1" count="1" selected="0">
            <x v="15"/>
          </reference>
          <reference field="5" count="1">
            <x v="14"/>
          </reference>
        </references>
      </pivotArea>
    </format>
    <format dxfId="63">
      <pivotArea dataOnly="0" labelOnly="1" fieldPosition="0">
        <references count="2">
          <reference field="1" count="1" selected="0">
            <x v="16"/>
          </reference>
          <reference field="5" count="2">
            <x v="35"/>
            <x v="37"/>
          </reference>
        </references>
      </pivotArea>
    </format>
    <format dxfId="62">
      <pivotArea dataOnly="0" labelOnly="1" fieldPosition="0">
        <references count="2">
          <reference field="1" count="1" selected="0">
            <x v="17"/>
          </reference>
          <reference field="5" count="5">
            <x v="8"/>
            <x v="9"/>
            <x v="11"/>
            <x v="12"/>
            <x v="13"/>
          </reference>
        </references>
      </pivotArea>
    </format>
    <format dxfId="61">
      <pivotArea dataOnly="0" labelOnly="1" fieldPosition="0">
        <references count="2">
          <reference field="1" count="1" selected="0">
            <x v="18"/>
          </reference>
          <reference field="5" count="1">
            <x v="39"/>
          </reference>
        </references>
      </pivotArea>
    </format>
    <format dxfId="60">
      <pivotArea dataOnly="0" labelOnly="1" fieldPosition="0">
        <references count="2">
          <reference field="1" count="1" selected="0">
            <x v="19"/>
          </reference>
          <reference field="5" count="6">
            <x v="1"/>
            <x v="2"/>
            <x v="3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6BD3-3A29-4649-81E1-B4749ABB7C48}" name="PivotTable2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2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39">
        <item x="3"/>
        <item x="1"/>
        <item x="2"/>
        <item x="37"/>
        <item x="4"/>
        <item x="0"/>
        <item x="28"/>
        <item x="29"/>
        <item x="30"/>
        <item x="31"/>
        <item x="32"/>
        <item x="33"/>
        <item x="34"/>
        <item x="35"/>
        <item x="36"/>
        <item x="17"/>
        <item x="18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5"/>
        <item x="6"/>
        <item x="7"/>
        <item x="8"/>
        <item x="9"/>
        <item x="10"/>
        <item x="25"/>
        <item x="26"/>
        <item x="27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9">
    <i>
      <x/>
    </i>
    <i r="1">
      <x v="5"/>
    </i>
    <i>
      <x v="1"/>
    </i>
    <i r="1">
      <x v="5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 v="4"/>
    </i>
    <i>
      <x v="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9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35"/>
    </i>
    <i r="1">
      <x v="36"/>
    </i>
    <i r="1">
      <x v="37"/>
    </i>
    <i>
      <x v="1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5"/>
    <dataField name="Average of MonthlyRatePerSF" fld="6" subtotal="average" baseField="5" baseItem="5"/>
    <dataField name="Average of MonthlyTotal" fld="10" subtotal="average" baseField="5" baseItem="5"/>
  </dataFields>
  <formats count="20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52">
      <pivotArea dataOnly="0" labelOnly="1" fieldPosition="0">
        <references count="2">
          <reference field="1" count="1" selected="0">
            <x v="2"/>
          </reference>
          <reference field="5" count="2">
            <x v="1"/>
            <x v="2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5" count="2">
            <x v="1"/>
            <x v="2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49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48">
      <pivotArea dataOnly="0" labelOnly="1" fieldPosition="0">
        <references count="2">
          <reference field="1" count="1" selected="0">
            <x v="6"/>
          </reference>
          <reference field="5" count="1">
            <x v="0"/>
          </reference>
        </references>
      </pivotArea>
    </format>
    <format dxfId="47">
      <pivotArea dataOnly="0" labelOnly="1" fieldPosition="0">
        <references count="2">
          <reference field="1" count="1" selected="0">
            <x v="7"/>
          </reference>
          <reference field="5" count="1">
            <x v="4"/>
          </reference>
        </references>
      </pivotArea>
    </format>
    <format dxfId="46">
      <pivotArea dataOnly="0" labelOnly="1" fieldPosition="0">
        <references count="2">
          <reference field="1" count="1" selected="0">
            <x v="8"/>
          </reference>
          <reference field="5" count="6">
            <x v="29"/>
            <x v="30"/>
            <x v="31"/>
            <x v="32"/>
            <x v="33"/>
            <x v="34"/>
          </reference>
        </references>
      </pivotArea>
    </format>
    <format dxfId="45">
      <pivotArea dataOnly="0" labelOnly="1" fieldPosition="0">
        <references count="2">
          <reference field="1" count="1" selected="0">
            <x v="9"/>
          </reference>
          <reference field="5" count="6">
            <x v="23"/>
            <x v="24"/>
            <x v="25"/>
            <x v="26"/>
            <x v="27"/>
            <x v="28"/>
          </reference>
        </references>
      </pivotArea>
    </format>
    <format dxfId="44">
      <pivotArea dataOnly="0" labelOnly="1" fieldPosition="0">
        <references count="2">
          <reference field="1" count="1" selected="0">
            <x v="10"/>
          </reference>
          <reference field="5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3">
      <pivotArea dataOnly="0" labelOnly="1" fieldPosition="0">
        <references count="2">
          <reference field="1" count="1" selected="0">
            <x v="11"/>
          </reference>
          <reference field="5" count="3">
            <x v="35"/>
            <x v="36"/>
            <x v="37"/>
          </reference>
        </references>
      </pivotArea>
    </format>
    <format dxfId="42">
      <pivotArea dataOnly="0" labelOnly="1" fieldPosition="0">
        <references count="2">
          <reference field="1" count="1" selected="0">
            <x v="12"/>
          </reference>
          <reference field="5" count="9"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1">
      <pivotArea dataOnly="0" labelOnly="1" fieldPosition="0">
        <references count="2">
          <reference field="1" count="1" selected="0">
            <x v="13"/>
          </reference>
          <reference field="5" count="2">
            <x v="3"/>
            <x v="4"/>
          </reference>
        </references>
      </pivotArea>
    </format>
    <format dxfId="40">
      <pivotArea collapsedLevelsAreSubtotals="1" fieldPosition="0">
        <references count="2">
          <reference field="1" count="1" selected="0">
            <x v="13"/>
          </reference>
          <reference field="5" count="1">
            <x v="3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442-46F0-DB41-AF2E-CECED4CBE8BF}">
  <sheetPr>
    <tabColor theme="8" tint="0.59999389629810485"/>
  </sheetPr>
  <dimension ref="A1:K926"/>
  <sheetViews>
    <sheetView tabSelected="1" zoomScale="90" zoomScaleNormal="90" workbookViewId="0">
      <pane ySplit="1" topLeftCell="A891" activePane="bottomLeft" state="frozen"/>
      <selection pane="bottomLeft" activeCell="M923" sqref="M923"/>
    </sheetView>
  </sheetViews>
  <sheetFormatPr baseColWidth="10" defaultColWidth="11.5" defaultRowHeight="15" x14ac:dyDescent="0.2"/>
  <cols>
    <col min="1" max="1" width="8.1640625" bestFit="1" customWidth="1"/>
    <col min="2" max="2" width="11.6640625" bestFit="1" customWidth="1"/>
    <col min="3" max="3" width="6.33203125" bestFit="1" customWidth="1"/>
    <col min="4" max="4" width="9.5" bestFit="1" customWidth="1"/>
    <col min="5" max="5" width="22" bestFit="1" customWidth="1"/>
    <col min="6" max="6" width="7.83203125" style="330" bestFit="1" customWidth="1"/>
    <col min="7" max="7" width="11.1640625" style="330" bestFit="1" customWidth="1"/>
    <col min="8" max="8" width="12.6640625" bestFit="1" customWidth="1"/>
    <col min="9" max="9" width="20" style="311" customWidth="1"/>
    <col min="10" max="10" width="9.6640625" style="310" bestFit="1" customWidth="1"/>
    <col min="11" max="11" width="13.1640625" style="310" customWidth="1"/>
    <col min="12" max="12" width="19" customWidth="1"/>
  </cols>
  <sheetData>
    <row r="1" spans="1:11" x14ac:dyDescent="0.2">
      <c r="A1" t="s">
        <v>361</v>
      </c>
      <c r="B1" t="s">
        <v>362</v>
      </c>
      <c r="C1" t="s">
        <v>365</v>
      </c>
      <c r="D1" t="s">
        <v>462</v>
      </c>
      <c r="E1" t="s">
        <v>58</v>
      </c>
      <c r="F1" s="330" t="s">
        <v>363</v>
      </c>
      <c r="G1" s="330" t="s">
        <v>368</v>
      </c>
      <c r="H1" t="s">
        <v>375</v>
      </c>
      <c r="I1" s="311" t="s">
        <v>376</v>
      </c>
      <c r="J1" s="310" t="s">
        <v>378</v>
      </c>
      <c r="K1" s="310" t="s">
        <v>377</v>
      </c>
    </row>
    <row r="2" spans="1:11" x14ac:dyDescent="0.2">
      <c r="A2" t="s">
        <v>373</v>
      </c>
      <c r="B2" t="s">
        <v>374</v>
      </c>
      <c r="C2" t="s">
        <v>366</v>
      </c>
      <c r="D2" t="s">
        <v>120</v>
      </c>
      <c r="E2" t="s">
        <v>52</v>
      </c>
      <c r="F2" s="330">
        <v>0.45</v>
      </c>
      <c r="G2" s="330">
        <v>740</v>
      </c>
      <c r="H2" s="310">
        <f t="shared" ref="H2:H65" si="0">G2/F2</f>
        <v>1644.4444444444443</v>
      </c>
      <c r="I2" s="311">
        <v>0</v>
      </c>
      <c r="J2" s="310">
        <f t="shared" ref="J2:J65" si="1">G2*(1-I2)</f>
        <v>740</v>
      </c>
      <c r="K2" s="310">
        <f t="shared" ref="K2:K65" si="2">J2/F2</f>
        <v>1644.4444444444443</v>
      </c>
    </row>
    <row r="3" spans="1:11" x14ac:dyDescent="0.2">
      <c r="A3" t="s">
        <v>373</v>
      </c>
      <c r="B3" t="s">
        <v>374</v>
      </c>
      <c r="C3" t="s">
        <v>366</v>
      </c>
      <c r="D3" t="s">
        <v>369</v>
      </c>
      <c r="E3" t="s">
        <v>53</v>
      </c>
      <c r="F3" s="330">
        <v>1.5</v>
      </c>
      <c r="G3" s="330">
        <v>1900</v>
      </c>
      <c r="H3" s="310">
        <f t="shared" si="0"/>
        <v>1266.6666666666667</v>
      </c>
      <c r="I3" s="311">
        <v>0</v>
      </c>
      <c r="J3" s="310">
        <f t="shared" si="1"/>
        <v>1900</v>
      </c>
      <c r="K3" s="310">
        <f t="shared" si="2"/>
        <v>1266.6666666666667</v>
      </c>
    </row>
    <row r="4" spans="1:11" x14ac:dyDescent="0.2">
      <c r="A4" t="s">
        <v>373</v>
      </c>
      <c r="B4" t="s">
        <v>374</v>
      </c>
      <c r="C4" t="s">
        <v>367</v>
      </c>
      <c r="D4" t="s">
        <v>120</v>
      </c>
      <c r="E4" t="s">
        <v>52</v>
      </c>
      <c r="F4" s="330">
        <v>0.45</v>
      </c>
      <c r="G4" s="330">
        <v>570</v>
      </c>
      <c r="H4" s="310">
        <f t="shared" si="0"/>
        <v>1266.6666666666667</v>
      </c>
      <c r="I4" s="311">
        <v>0</v>
      </c>
      <c r="J4" s="310">
        <f t="shared" si="1"/>
        <v>570</v>
      </c>
      <c r="K4" s="310">
        <f t="shared" si="2"/>
        <v>1266.6666666666667</v>
      </c>
    </row>
    <row r="5" spans="1:11" x14ac:dyDescent="0.2">
      <c r="A5" t="s">
        <v>373</v>
      </c>
      <c r="B5" t="s">
        <v>374</v>
      </c>
      <c r="C5" t="s">
        <v>367</v>
      </c>
      <c r="D5" t="s">
        <v>369</v>
      </c>
      <c r="E5" t="s">
        <v>53</v>
      </c>
      <c r="F5" s="330">
        <v>1.5</v>
      </c>
      <c r="G5" s="330">
        <v>1500</v>
      </c>
      <c r="H5" s="310">
        <f t="shared" si="0"/>
        <v>1000</v>
      </c>
      <c r="I5" s="311">
        <v>0</v>
      </c>
      <c r="J5" s="310">
        <f t="shared" si="1"/>
        <v>1500</v>
      </c>
      <c r="K5" s="310">
        <f t="shared" si="2"/>
        <v>1000</v>
      </c>
    </row>
    <row r="6" spans="1:11" x14ac:dyDescent="0.2">
      <c r="A6" t="s">
        <v>373</v>
      </c>
      <c r="B6" t="s">
        <v>374</v>
      </c>
      <c r="C6" t="s">
        <v>366</v>
      </c>
      <c r="D6" t="s">
        <v>369</v>
      </c>
      <c r="E6" t="s">
        <v>54</v>
      </c>
      <c r="F6" s="330">
        <v>4.5</v>
      </c>
      <c r="G6" s="330">
        <v>4000</v>
      </c>
      <c r="H6" s="310">
        <f t="shared" si="0"/>
        <v>888.88888888888891</v>
      </c>
      <c r="I6" s="311">
        <v>0</v>
      </c>
      <c r="J6" s="310">
        <f t="shared" si="1"/>
        <v>4000</v>
      </c>
      <c r="K6" s="310">
        <f t="shared" si="2"/>
        <v>888.88888888888891</v>
      </c>
    </row>
    <row r="7" spans="1:11" x14ac:dyDescent="0.2">
      <c r="A7" t="s">
        <v>373</v>
      </c>
      <c r="B7" t="s">
        <v>374</v>
      </c>
      <c r="C7" t="s">
        <v>367</v>
      </c>
      <c r="D7" t="s">
        <v>66</v>
      </c>
      <c r="E7" t="s">
        <v>56</v>
      </c>
      <c r="F7" s="330">
        <v>12</v>
      </c>
      <c r="G7" s="330">
        <v>9800</v>
      </c>
      <c r="H7" s="310">
        <f t="shared" si="0"/>
        <v>816.66666666666663</v>
      </c>
      <c r="I7" s="311">
        <v>0</v>
      </c>
      <c r="J7" s="310">
        <f t="shared" si="1"/>
        <v>9800</v>
      </c>
      <c r="K7" s="310">
        <f t="shared" si="2"/>
        <v>816.66666666666663</v>
      </c>
    </row>
    <row r="8" spans="1:11" x14ac:dyDescent="0.2">
      <c r="A8" t="s">
        <v>373</v>
      </c>
      <c r="B8" t="s">
        <v>374</v>
      </c>
      <c r="C8" t="s">
        <v>367</v>
      </c>
      <c r="D8" t="s">
        <v>66</v>
      </c>
      <c r="E8" t="s">
        <v>113</v>
      </c>
      <c r="F8" s="330">
        <v>21</v>
      </c>
      <c r="G8" s="330">
        <v>16800</v>
      </c>
      <c r="H8" s="310">
        <f t="shared" si="0"/>
        <v>800</v>
      </c>
      <c r="I8" s="311">
        <v>0</v>
      </c>
      <c r="J8" s="310">
        <f t="shared" si="1"/>
        <v>16800</v>
      </c>
      <c r="K8" s="310">
        <f t="shared" si="2"/>
        <v>800</v>
      </c>
    </row>
    <row r="9" spans="1:11" x14ac:dyDescent="0.2">
      <c r="A9" t="s">
        <v>373</v>
      </c>
      <c r="B9" t="s">
        <v>374</v>
      </c>
      <c r="C9" t="s">
        <v>367</v>
      </c>
      <c r="D9" t="s">
        <v>66</v>
      </c>
      <c r="E9" t="s">
        <v>57</v>
      </c>
      <c r="F9" s="330">
        <v>18</v>
      </c>
      <c r="G9" s="330">
        <v>13800</v>
      </c>
      <c r="H9" s="310">
        <f t="shared" si="0"/>
        <v>766.66666666666663</v>
      </c>
      <c r="I9" s="311">
        <v>0</v>
      </c>
      <c r="J9" s="310">
        <f t="shared" si="1"/>
        <v>13800</v>
      </c>
      <c r="K9" s="310">
        <f t="shared" si="2"/>
        <v>766.66666666666663</v>
      </c>
    </row>
    <row r="10" spans="1:11" x14ac:dyDescent="0.2">
      <c r="A10" t="s">
        <v>373</v>
      </c>
      <c r="B10" t="s">
        <v>374</v>
      </c>
      <c r="C10" t="s">
        <v>366</v>
      </c>
      <c r="D10" t="s">
        <v>369</v>
      </c>
      <c r="E10" t="s">
        <v>55</v>
      </c>
      <c r="F10" s="330">
        <v>7.5</v>
      </c>
      <c r="G10" s="330">
        <v>5500</v>
      </c>
      <c r="H10" s="310">
        <f t="shared" si="0"/>
        <v>733.33333333333337</v>
      </c>
      <c r="I10" s="311">
        <v>0</v>
      </c>
      <c r="J10" s="310">
        <f t="shared" si="1"/>
        <v>5500</v>
      </c>
      <c r="K10" s="310">
        <f t="shared" si="2"/>
        <v>733.33333333333337</v>
      </c>
    </row>
    <row r="11" spans="1:11" x14ac:dyDescent="0.2">
      <c r="A11" t="s">
        <v>373</v>
      </c>
      <c r="B11" t="s">
        <v>374</v>
      </c>
      <c r="C11" t="s">
        <v>367</v>
      </c>
      <c r="D11" t="s">
        <v>369</v>
      </c>
      <c r="E11" t="s">
        <v>54</v>
      </c>
      <c r="F11" s="330">
        <v>4.5</v>
      </c>
      <c r="G11" s="330">
        <v>3000</v>
      </c>
      <c r="H11" s="310">
        <f t="shared" si="0"/>
        <v>666.66666666666663</v>
      </c>
      <c r="I11" s="311">
        <v>0</v>
      </c>
      <c r="J11" s="310">
        <f t="shared" si="1"/>
        <v>3000</v>
      </c>
      <c r="K11" s="310">
        <f t="shared" si="2"/>
        <v>666.66666666666663</v>
      </c>
    </row>
    <row r="12" spans="1:11" x14ac:dyDescent="0.2">
      <c r="A12" t="s">
        <v>373</v>
      </c>
      <c r="B12" t="s">
        <v>374</v>
      </c>
      <c r="C12" t="s">
        <v>366</v>
      </c>
      <c r="D12" t="s">
        <v>369</v>
      </c>
      <c r="E12" t="s">
        <v>56</v>
      </c>
      <c r="F12" s="330">
        <v>12</v>
      </c>
      <c r="G12" s="330">
        <v>7800</v>
      </c>
      <c r="H12" s="310">
        <f t="shared" si="0"/>
        <v>650</v>
      </c>
      <c r="I12" s="311">
        <v>0</v>
      </c>
      <c r="J12" s="310">
        <f t="shared" si="1"/>
        <v>7800</v>
      </c>
      <c r="K12" s="310">
        <f t="shared" si="2"/>
        <v>650</v>
      </c>
    </row>
    <row r="13" spans="1:11" x14ac:dyDescent="0.2">
      <c r="A13" t="s">
        <v>373</v>
      </c>
      <c r="B13" t="s">
        <v>374</v>
      </c>
      <c r="C13" t="s">
        <v>366</v>
      </c>
      <c r="D13" t="s">
        <v>369</v>
      </c>
      <c r="E13" t="s">
        <v>57</v>
      </c>
      <c r="F13" s="330">
        <v>18</v>
      </c>
      <c r="G13" s="330">
        <v>11000</v>
      </c>
      <c r="H13" s="310">
        <f t="shared" si="0"/>
        <v>611.11111111111109</v>
      </c>
      <c r="I13" s="311">
        <v>0</v>
      </c>
      <c r="J13" s="310">
        <f t="shared" si="1"/>
        <v>11000</v>
      </c>
      <c r="K13" s="310">
        <f t="shared" si="2"/>
        <v>611.11111111111109</v>
      </c>
    </row>
    <row r="14" spans="1:11" x14ac:dyDescent="0.2">
      <c r="A14" t="s">
        <v>373</v>
      </c>
      <c r="B14" t="s">
        <v>374</v>
      </c>
      <c r="C14" t="s">
        <v>367</v>
      </c>
      <c r="D14" t="s">
        <v>369</v>
      </c>
      <c r="E14" t="s">
        <v>55</v>
      </c>
      <c r="F14" s="330">
        <v>7.5</v>
      </c>
      <c r="G14" s="330">
        <v>4500</v>
      </c>
      <c r="H14" s="310">
        <f t="shared" si="0"/>
        <v>600</v>
      </c>
      <c r="I14" s="311">
        <v>0</v>
      </c>
      <c r="J14" s="310">
        <f t="shared" si="1"/>
        <v>4500</v>
      </c>
      <c r="K14" s="310">
        <f t="shared" si="2"/>
        <v>600</v>
      </c>
    </row>
    <row r="15" spans="1:11" x14ac:dyDescent="0.2">
      <c r="A15" t="s">
        <v>373</v>
      </c>
      <c r="B15" t="s">
        <v>374</v>
      </c>
      <c r="C15" t="s">
        <v>367</v>
      </c>
      <c r="D15" t="s">
        <v>369</v>
      </c>
      <c r="E15" t="s">
        <v>56</v>
      </c>
      <c r="F15" s="330">
        <v>12</v>
      </c>
      <c r="G15" s="330">
        <v>6500</v>
      </c>
      <c r="H15" s="310">
        <f t="shared" si="0"/>
        <v>541.66666666666663</v>
      </c>
      <c r="I15" s="311">
        <v>0</v>
      </c>
      <c r="J15" s="310">
        <f t="shared" si="1"/>
        <v>6500</v>
      </c>
      <c r="K15" s="310">
        <f t="shared" si="2"/>
        <v>541.66666666666663</v>
      </c>
    </row>
    <row r="16" spans="1:11" x14ac:dyDescent="0.2">
      <c r="A16" t="s">
        <v>373</v>
      </c>
      <c r="B16" t="s">
        <v>374</v>
      </c>
      <c r="C16" t="s">
        <v>367</v>
      </c>
      <c r="D16" t="s">
        <v>369</v>
      </c>
      <c r="E16" t="s">
        <v>57</v>
      </c>
      <c r="F16" s="330">
        <v>18</v>
      </c>
      <c r="G16" s="330">
        <v>9200</v>
      </c>
      <c r="H16" s="310">
        <f t="shared" si="0"/>
        <v>511.11111111111109</v>
      </c>
      <c r="I16" s="311">
        <v>0</v>
      </c>
      <c r="J16" s="310">
        <f t="shared" si="1"/>
        <v>9200</v>
      </c>
      <c r="K16" s="310">
        <f t="shared" si="2"/>
        <v>511.11111111111109</v>
      </c>
    </row>
    <row r="17" spans="1:11" x14ac:dyDescent="0.2">
      <c r="A17" t="s">
        <v>373</v>
      </c>
      <c r="B17" t="s">
        <v>374</v>
      </c>
      <c r="C17" t="s">
        <v>366</v>
      </c>
      <c r="D17" t="s">
        <v>113</v>
      </c>
      <c r="E17" t="s">
        <v>113</v>
      </c>
      <c r="F17" s="330">
        <v>400</v>
      </c>
      <c r="G17" s="330">
        <v>138200</v>
      </c>
      <c r="H17" s="310">
        <f t="shared" si="0"/>
        <v>345.5</v>
      </c>
      <c r="I17" s="311">
        <v>0</v>
      </c>
      <c r="J17" s="310">
        <f t="shared" si="1"/>
        <v>138200</v>
      </c>
      <c r="K17" s="310">
        <f t="shared" si="2"/>
        <v>345.5</v>
      </c>
    </row>
    <row r="18" spans="1:11" x14ac:dyDescent="0.2">
      <c r="A18" t="s">
        <v>373</v>
      </c>
      <c r="B18" t="s">
        <v>374</v>
      </c>
      <c r="C18" t="s">
        <v>366</v>
      </c>
      <c r="D18" t="s">
        <v>113</v>
      </c>
      <c r="E18" t="s">
        <v>113</v>
      </c>
      <c r="F18" s="330">
        <v>280</v>
      </c>
      <c r="G18" s="330">
        <v>96100</v>
      </c>
      <c r="H18" s="310">
        <f t="shared" si="0"/>
        <v>343.21428571428572</v>
      </c>
      <c r="I18" s="311">
        <v>0</v>
      </c>
      <c r="J18" s="310">
        <f t="shared" si="1"/>
        <v>96100</v>
      </c>
      <c r="K18" s="310">
        <f t="shared" si="2"/>
        <v>343.21428571428572</v>
      </c>
    </row>
    <row r="19" spans="1:11" x14ac:dyDescent="0.2">
      <c r="A19" t="s">
        <v>461</v>
      </c>
      <c r="B19" t="s">
        <v>387</v>
      </c>
      <c r="C19" s="238" t="s">
        <v>367</v>
      </c>
      <c r="D19" t="s">
        <v>120</v>
      </c>
      <c r="E19" t="s">
        <v>390</v>
      </c>
      <c r="F19" s="330">
        <v>1</v>
      </c>
      <c r="G19" s="330">
        <v>1300</v>
      </c>
      <c r="H19" s="310">
        <f t="shared" si="0"/>
        <v>1300</v>
      </c>
      <c r="I19" s="311">
        <v>0</v>
      </c>
      <c r="J19" s="310">
        <f t="shared" si="1"/>
        <v>1300</v>
      </c>
      <c r="K19" s="310">
        <f t="shared" si="2"/>
        <v>1300</v>
      </c>
    </row>
    <row r="20" spans="1:11" x14ac:dyDescent="0.2">
      <c r="A20" t="s">
        <v>461</v>
      </c>
      <c r="B20" t="s">
        <v>387</v>
      </c>
      <c r="C20" s="238" t="s">
        <v>367</v>
      </c>
      <c r="D20" t="s">
        <v>120</v>
      </c>
      <c r="E20" t="s">
        <v>391</v>
      </c>
      <c r="F20" s="330">
        <v>1</v>
      </c>
      <c r="G20" s="330">
        <v>1400</v>
      </c>
      <c r="H20" s="310">
        <f t="shared" si="0"/>
        <v>1400</v>
      </c>
      <c r="I20" s="311">
        <v>0</v>
      </c>
      <c r="J20" s="310">
        <f t="shared" si="1"/>
        <v>1400</v>
      </c>
      <c r="K20" s="310">
        <f t="shared" si="2"/>
        <v>1400</v>
      </c>
    </row>
    <row r="21" spans="1:11" x14ac:dyDescent="0.2">
      <c r="A21" t="s">
        <v>461</v>
      </c>
      <c r="B21" t="s">
        <v>387</v>
      </c>
      <c r="C21" s="238" t="s">
        <v>367</v>
      </c>
      <c r="D21" t="s">
        <v>369</v>
      </c>
      <c r="E21" t="s">
        <v>463</v>
      </c>
      <c r="F21" s="330">
        <v>1.5</v>
      </c>
      <c r="G21" s="330">
        <v>2000</v>
      </c>
      <c r="H21" s="310">
        <f t="shared" si="0"/>
        <v>1333.3333333333333</v>
      </c>
      <c r="I21" s="329">
        <v>0.25</v>
      </c>
      <c r="J21" s="310">
        <f t="shared" si="1"/>
        <v>1500</v>
      </c>
      <c r="K21" s="310">
        <f t="shared" si="2"/>
        <v>1000</v>
      </c>
    </row>
    <row r="22" spans="1:11" x14ac:dyDescent="0.2">
      <c r="A22" t="s">
        <v>461</v>
      </c>
      <c r="B22" t="s">
        <v>387</v>
      </c>
      <c r="C22" s="238" t="s">
        <v>367</v>
      </c>
      <c r="D22" t="s">
        <v>369</v>
      </c>
      <c r="E22" t="s">
        <v>52</v>
      </c>
      <c r="F22" s="330">
        <v>2</v>
      </c>
      <c r="G22" s="330">
        <v>2200</v>
      </c>
      <c r="H22" s="310">
        <f t="shared" si="0"/>
        <v>1100</v>
      </c>
      <c r="I22" s="329">
        <v>0.25</v>
      </c>
      <c r="J22" s="310">
        <f t="shared" si="1"/>
        <v>1650</v>
      </c>
      <c r="K22" s="310">
        <f t="shared" si="2"/>
        <v>825</v>
      </c>
    </row>
    <row r="23" spans="1:11" x14ac:dyDescent="0.2">
      <c r="A23" t="s">
        <v>461</v>
      </c>
      <c r="B23" t="s">
        <v>387</v>
      </c>
      <c r="C23" s="238" t="s">
        <v>367</v>
      </c>
      <c r="D23" t="s">
        <v>369</v>
      </c>
      <c r="E23" t="s">
        <v>52</v>
      </c>
      <c r="F23" s="330">
        <v>2.5</v>
      </c>
      <c r="G23" s="330">
        <v>2700</v>
      </c>
      <c r="H23" s="310">
        <f t="shared" si="0"/>
        <v>1080</v>
      </c>
      <c r="I23" s="329">
        <v>0.25</v>
      </c>
      <c r="J23" s="310">
        <f t="shared" si="1"/>
        <v>2025</v>
      </c>
      <c r="K23" s="310">
        <f t="shared" si="2"/>
        <v>810</v>
      </c>
    </row>
    <row r="24" spans="1:11" x14ac:dyDescent="0.2">
      <c r="A24" t="s">
        <v>461</v>
      </c>
      <c r="B24" t="s">
        <v>387</v>
      </c>
      <c r="C24" s="238" t="s">
        <v>367</v>
      </c>
      <c r="D24" t="s">
        <v>369</v>
      </c>
      <c r="E24" t="s">
        <v>52</v>
      </c>
      <c r="F24" s="330">
        <v>3</v>
      </c>
      <c r="G24" s="330">
        <v>3000</v>
      </c>
      <c r="H24" s="310">
        <f t="shared" si="0"/>
        <v>1000</v>
      </c>
      <c r="I24" s="329">
        <v>0.25</v>
      </c>
      <c r="J24" s="310">
        <f t="shared" si="1"/>
        <v>2250</v>
      </c>
      <c r="K24" s="310">
        <f t="shared" si="2"/>
        <v>750</v>
      </c>
    </row>
    <row r="25" spans="1:11" x14ac:dyDescent="0.2">
      <c r="A25" t="s">
        <v>461</v>
      </c>
      <c r="B25" t="s">
        <v>387</v>
      </c>
      <c r="C25" s="238" t="s">
        <v>367</v>
      </c>
      <c r="D25" t="s">
        <v>369</v>
      </c>
      <c r="E25" t="s">
        <v>53</v>
      </c>
      <c r="F25" s="330">
        <v>3.5</v>
      </c>
      <c r="G25" s="330">
        <v>3500</v>
      </c>
      <c r="H25" s="310">
        <f t="shared" si="0"/>
        <v>1000</v>
      </c>
      <c r="I25" s="329">
        <v>0.25</v>
      </c>
      <c r="J25" s="310">
        <f t="shared" si="1"/>
        <v>2625</v>
      </c>
      <c r="K25" s="310">
        <f t="shared" si="2"/>
        <v>750</v>
      </c>
    </row>
    <row r="26" spans="1:11" x14ac:dyDescent="0.2">
      <c r="A26" t="s">
        <v>461</v>
      </c>
      <c r="B26" t="s">
        <v>387</v>
      </c>
      <c r="C26" s="238" t="s">
        <v>367</v>
      </c>
      <c r="D26" t="s">
        <v>369</v>
      </c>
      <c r="E26" t="s">
        <v>53</v>
      </c>
      <c r="F26" s="330">
        <v>4.5</v>
      </c>
      <c r="G26" s="330">
        <v>4500</v>
      </c>
      <c r="H26" s="310">
        <f t="shared" si="0"/>
        <v>1000</v>
      </c>
      <c r="I26" s="329">
        <v>0.25</v>
      </c>
      <c r="J26" s="310">
        <f t="shared" si="1"/>
        <v>3375</v>
      </c>
      <c r="K26" s="310">
        <f t="shared" si="2"/>
        <v>750</v>
      </c>
    </row>
    <row r="27" spans="1:11" x14ac:dyDescent="0.2">
      <c r="A27" t="s">
        <v>461</v>
      </c>
      <c r="B27" t="s">
        <v>387</v>
      </c>
      <c r="C27" s="238" t="s">
        <v>367</v>
      </c>
      <c r="D27" t="s">
        <v>369</v>
      </c>
      <c r="E27" t="s">
        <v>53</v>
      </c>
      <c r="F27" s="330">
        <v>5</v>
      </c>
      <c r="G27" s="330">
        <v>5000</v>
      </c>
      <c r="H27" s="310">
        <f t="shared" si="0"/>
        <v>1000</v>
      </c>
      <c r="I27" s="329">
        <v>0.25</v>
      </c>
      <c r="J27" s="310">
        <f t="shared" si="1"/>
        <v>3750</v>
      </c>
      <c r="K27" s="310">
        <f t="shared" si="2"/>
        <v>750</v>
      </c>
    </row>
    <row r="28" spans="1:11" x14ac:dyDescent="0.2">
      <c r="A28" t="s">
        <v>461</v>
      </c>
      <c r="B28" t="s">
        <v>387</v>
      </c>
      <c r="C28" s="238" t="s">
        <v>367</v>
      </c>
      <c r="D28" t="s">
        <v>369</v>
      </c>
      <c r="E28" t="s">
        <v>53</v>
      </c>
      <c r="F28" s="330">
        <v>6</v>
      </c>
      <c r="G28" s="330">
        <v>6000</v>
      </c>
      <c r="H28" s="310">
        <f t="shared" si="0"/>
        <v>1000</v>
      </c>
      <c r="I28" s="329">
        <v>0.25</v>
      </c>
      <c r="J28" s="310">
        <f t="shared" si="1"/>
        <v>4500</v>
      </c>
      <c r="K28" s="310">
        <f t="shared" si="2"/>
        <v>750</v>
      </c>
    </row>
    <row r="29" spans="1:11" x14ac:dyDescent="0.2">
      <c r="A29" t="s">
        <v>461</v>
      </c>
      <c r="B29" t="s">
        <v>387</v>
      </c>
      <c r="C29" s="238" t="s">
        <v>367</v>
      </c>
      <c r="D29" t="s">
        <v>369</v>
      </c>
      <c r="E29" t="s">
        <v>53</v>
      </c>
      <c r="F29" s="330">
        <v>7</v>
      </c>
      <c r="G29" s="330">
        <v>6800</v>
      </c>
      <c r="H29" s="310">
        <f t="shared" si="0"/>
        <v>971.42857142857144</v>
      </c>
      <c r="I29" s="329">
        <v>0.25</v>
      </c>
      <c r="J29" s="310">
        <f t="shared" si="1"/>
        <v>5100</v>
      </c>
      <c r="K29" s="310">
        <f t="shared" si="2"/>
        <v>728.57142857142856</v>
      </c>
    </row>
    <row r="30" spans="1:11" x14ac:dyDescent="0.2">
      <c r="A30" t="s">
        <v>461</v>
      </c>
      <c r="B30" t="s">
        <v>387</v>
      </c>
      <c r="C30" s="238" t="s">
        <v>367</v>
      </c>
      <c r="D30" t="s">
        <v>369</v>
      </c>
      <c r="E30" t="s">
        <v>54</v>
      </c>
      <c r="F30" s="330">
        <v>7.5</v>
      </c>
      <c r="G30" s="330">
        <v>7500</v>
      </c>
      <c r="H30" s="310">
        <f t="shared" si="0"/>
        <v>1000</v>
      </c>
      <c r="I30" s="329">
        <v>0.25</v>
      </c>
      <c r="J30" s="310">
        <f t="shared" si="1"/>
        <v>5625</v>
      </c>
      <c r="K30" s="310">
        <f t="shared" si="2"/>
        <v>750</v>
      </c>
    </row>
    <row r="31" spans="1:11" x14ac:dyDescent="0.2">
      <c r="A31" t="s">
        <v>461</v>
      </c>
      <c r="B31" t="s">
        <v>387</v>
      </c>
      <c r="C31" s="238" t="s">
        <v>367</v>
      </c>
      <c r="D31" t="s">
        <v>369</v>
      </c>
      <c r="E31" t="s">
        <v>54</v>
      </c>
      <c r="F31" s="330">
        <v>9</v>
      </c>
      <c r="G31" s="330">
        <v>9000</v>
      </c>
      <c r="H31" s="310">
        <f t="shared" si="0"/>
        <v>1000</v>
      </c>
      <c r="I31" s="329">
        <v>0.25</v>
      </c>
      <c r="J31" s="310">
        <f t="shared" si="1"/>
        <v>6750</v>
      </c>
      <c r="K31" s="310">
        <f t="shared" si="2"/>
        <v>750</v>
      </c>
    </row>
    <row r="32" spans="1:11" x14ac:dyDescent="0.2">
      <c r="A32" t="s">
        <v>461</v>
      </c>
      <c r="B32" t="s">
        <v>387</v>
      </c>
      <c r="C32" s="238" t="s">
        <v>367</v>
      </c>
      <c r="D32" t="s">
        <v>369</v>
      </c>
      <c r="E32" t="s">
        <v>54</v>
      </c>
      <c r="F32" s="330">
        <v>9.5</v>
      </c>
      <c r="G32" s="330">
        <v>9500</v>
      </c>
      <c r="H32" s="310">
        <f t="shared" si="0"/>
        <v>1000</v>
      </c>
      <c r="I32" s="329">
        <v>0.25</v>
      </c>
      <c r="J32" s="310">
        <f t="shared" si="1"/>
        <v>7125</v>
      </c>
      <c r="K32" s="310">
        <f t="shared" si="2"/>
        <v>750</v>
      </c>
    </row>
    <row r="33" spans="1:11" x14ac:dyDescent="0.2">
      <c r="A33" t="s">
        <v>461</v>
      </c>
      <c r="B33" t="s">
        <v>387</v>
      </c>
      <c r="C33" s="238" t="s">
        <v>367</v>
      </c>
      <c r="D33" t="s">
        <v>369</v>
      </c>
      <c r="E33" t="s">
        <v>54</v>
      </c>
      <c r="F33" s="330">
        <v>10</v>
      </c>
      <c r="G33" s="330">
        <v>10000</v>
      </c>
      <c r="H33" s="310">
        <f t="shared" si="0"/>
        <v>1000</v>
      </c>
      <c r="I33" s="329">
        <v>0.25</v>
      </c>
      <c r="J33" s="310">
        <f t="shared" si="1"/>
        <v>7500</v>
      </c>
      <c r="K33" s="310">
        <f t="shared" si="2"/>
        <v>750</v>
      </c>
    </row>
    <row r="34" spans="1:11" x14ac:dyDescent="0.2">
      <c r="A34" t="s">
        <v>461</v>
      </c>
      <c r="B34" t="s">
        <v>387</v>
      </c>
      <c r="C34" s="238" t="s">
        <v>367</v>
      </c>
      <c r="D34" t="s">
        <v>369</v>
      </c>
      <c r="E34" t="s">
        <v>54</v>
      </c>
      <c r="F34" s="330">
        <v>10.5</v>
      </c>
      <c r="G34" s="330">
        <v>10500</v>
      </c>
      <c r="H34" s="310">
        <f t="shared" si="0"/>
        <v>1000</v>
      </c>
      <c r="I34" s="329">
        <v>0.25</v>
      </c>
      <c r="J34" s="310">
        <f t="shared" si="1"/>
        <v>7875</v>
      </c>
      <c r="K34" s="310">
        <f t="shared" si="2"/>
        <v>750</v>
      </c>
    </row>
    <row r="35" spans="1:11" x14ac:dyDescent="0.2">
      <c r="A35" t="s">
        <v>461</v>
      </c>
      <c r="B35" t="s">
        <v>387</v>
      </c>
      <c r="C35" s="238" t="s">
        <v>367</v>
      </c>
      <c r="D35" t="s">
        <v>369</v>
      </c>
      <c r="E35" t="s">
        <v>55</v>
      </c>
      <c r="F35" s="330">
        <v>11.5</v>
      </c>
      <c r="G35" s="330">
        <v>11500</v>
      </c>
      <c r="H35" s="310">
        <f t="shared" si="0"/>
        <v>1000</v>
      </c>
      <c r="I35" s="329">
        <v>0.25</v>
      </c>
      <c r="J35" s="310">
        <f t="shared" si="1"/>
        <v>8625</v>
      </c>
      <c r="K35" s="310">
        <f t="shared" si="2"/>
        <v>750</v>
      </c>
    </row>
    <row r="36" spans="1:11" x14ac:dyDescent="0.2">
      <c r="A36" t="s">
        <v>461</v>
      </c>
      <c r="B36" t="s">
        <v>387</v>
      </c>
      <c r="C36" s="238" t="s">
        <v>367</v>
      </c>
      <c r="D36" t="s">
        <v>369</v>
      </c>
      <c r="E36" t="s">
        <v>55</v>
      </c>
      <c r="F36" s="330">
        <v>12</v>
      </c>
      <c r="G36" s="330">
        <v>12000</v>
      </c>
      <c r="H36" s="310">
        <f t="shared" si="0"/>
        <v>1000</v>
      </c>
      <c r="I36" s="329">
        <v>0.25</v>
      </c>
      <c r="J36" s="310">
        <f t="shared" si="1"/>
        <v>9000</v>
      </c>
      <c r="K36" s="310">
        <f t="shared" si="2"/>
        <v>750</v>
      </c>
    </row>
    <row r="37" spans="1:11" x14ac:dyDescent="0.2">
      <c r="A37" t="s">
        <v>461</v>
      </c>
      <c r="B37" t="s">
        <v>387</v>
      </c>
      <c r="C37" s="238" t="s">
        <v>367</v>
      </c>
      <c r="D37" t="s">
        <v>369</v>
      </c>
      <c r="E37" t="s">
        <v>55</v>
      </c>
      <c r="F37" s="330">
        <v>12.5</v>
      </c>
      <c r="G37" s="330">
        <v>12500</v>
      </c>
      <c r="H37" s="310">
        <f t="shared" si="0"/>
        <v>1000</v>
      </c>
      <c r="I37" s="329">
        <v>0.25</v>
      </c>
      <c r="J37" s="310">
        <f t="shared" si="1"/>
        <v>9375</v>
      </c>
      <c r="K37" s="310">
        <f t="shared" si="2"/>
        <v>750</v>
      </c>
    </row>
    <row r="38" spans="1:11" x14ac:dyDescent="0.2">
      <c r="A38" t="s">
        <v>461</v>
      </c>
      <c r="B38" t="s">
        <v>387</v>
      </c>
      <c r="C38" s="238" t="s">
        <v>367</v>
      </c>
      <c r="D38" t="s">
        <v>369</v>
      </c>
      <c r="E38" t="s">
        <v>55</v>
      </c>
      <c r="F38" s="330">
        <v>13</v>
      </c>
      <c r="G38" s="330">
        <v>13500</v>
      </c>
      <c r="H38" s="310">
        <f t="shared" si="0"/>
        <v>1038.4615384615386</v>
      </c>
      <c r="I38" s="329">
        <v>0.25</v>
      </c>
      <c r="J38" s="310">
        <f t="shared" si="1"/>
        <v>10125</v>
      </c>
      <c r="K38" s="310">
        <f t="shared" si="2"/>
        <v>778.84615384615381</v>
      </c>
    </row>
    <row r="39" spans="1:11" x14ac:dyDescent="0.2">
      <c r="A39" t="s">
        <v>461</v>
      </c>
      <c r="B39" t="s">
        <v>387</v>
      </c>
      <c r="C39" s="238" t="s">
        <v>367</v>
      </c>
      <c r="D39" t="s">
        <v>369</v>
      </c>
      <c r="E39" t="s">
        <v>55</v>
      </c>
      <c r="F39" s="330">
        <v>15</v>
      </c>
      <c r="G39" s="330">
        <v>15000</v>
      </c>
      <c r="H39" s="310">
        <f t="shared" si="0"/>
        <v>1000</v>
      </c>
      <c r="I39" s="329">
        <v>0.25</v>
      </c>
      <c r="J39" s="310">
        <f t="shared" si="1"/>
        <v>11250</v>
      </c>
      <c r="K39" s="310">
        <f t="shared" si="2"/>
        <v>750</v>
      </c>
    </row>
    <row r="40" spans="1:11" x14ac:dyDescent="0.2">
      <c r="A40" t="s">
        <v>461</v>
      </c>
      <c r="B40" t="s">
        <v>387</v>
      </c>
      <c r="C40" s="238" t="s">
        <v>367</v>
      </c>
      <c r="D40" t="s">
        <v>369</v>
      </c>
      <c r="E40" t="s">
        <v>56</v>
      </c>
      <c r="F40" s="330">
        <v>21.5</v>
      </c>
      <c r="G40" s="330">
        <v>22000</v>
      </c>
      <c r="H40" s="310">
        <f t="shared" si="0"/>
        <v>1023.2558139534884</v>
      </c>
      <c r="I40" s="329">
        <v>0.25</v>
      </c>
      <c r="J40" s="310">
        <f t="shared" si="1"/>
        <v>16500</v>
      </c>
      <c r="K40" s="310">
        <f t="shared" si="2"/>
        <v>767.44186046511629</v>
      </c>
    </row>
    <row r="41" spans="1:11" x14ac:dyDescent="0.2">
      <c r="A41" t="s">
        <v>461</v>
      </c>
      <c r="B41" t="s">
        <v>387</v>
      </c>
      <c r="C41" s="238" t="s">
        <v>367</v>
      </c>
      <c r="D41" t="s">
        <v>369</v>
      </c>
      <c r="E41" t="s">
        <v>56</v>
      </c>
      <c r="F41" s="330">
        <v>22</v>
      </c>
      <c r="G41" s="330">
        <v>23000</v>
      </c>
      <c r="H41" s="310">
        <f t="shared" si="0"/>
        <v>1045.4545454545455</v>
      </c>
      <c r="I41" s="329">
        <v>0.25</v>
      </c>
      <c r="J41" s="310">
        <f t="shared" si="1"/>
        <v>17250</v>
      </c>
      <c r="K41" s="310">
        <f t="shared" si="2"/>
        <v>784.09090909090912</v>
      </c>
    </row>
    <row r="42" spans="1:11" x14ac:dyDescent="0.2">
      <c r="A42" t="s">
        <v>461</v>
      </c>
      <c r="B42" t="s">
        <v>387</v>
      </c>
      <c r="C42" s="238" t="s">
        <v>367</v>
      </c>
      <c r="D42" t="s">
        <v>369</v>
      </c>
      <c r="E42" t="s">
        <v>56</v>
      </c>
      <c r="F42" s="330">
        <v>24.5</v>
      </c>
      <c r="G42" s="330">
        <v>25000</v>
      </c>
      <c r="H42" s="310">
        <f t="shared" si="0"/>
        <v>1020.4081632653061</v>
      </c>
      <c r="I42" s="329">
        <v>0.25</v>
      </c>
      <c r="J42" s="310">
        <f t="shared" si="1"/>
        <v>18750</v>
      </c>
      <c r="K42" s="310">
        <f t="shared" si="2"/>
        <v>765.30612244897964</v>
      </c>
    </row>
    <row r="43" spans="1:11" x14ac:dyDescent="0.2">
      <c r="A43" t="s">
        <v>461</v>
      </c>
      <c r="B43" t="s">
        <v>387</v>
      </c>
      <c r="C43" s="238" t="s">
        <v>367</v>
      </c>
      <c r="D43" t="s">
        <v>369</v>
      </c>
      <c r="E43" t="s">
        <v>56</v>
      </c>
      <c r="F43" s="330">
        <v>26.5</v>
      </c>
      <c r="G43" s="330">
        <v>26500</v>
      </c>
      <c r="H43" s="310">
        <f t="shared" si="0"/>
        <v>1000</v>
      </c>
      <c r="I43" s="329">
        <v>0.25</v>
      </c>
      <c r="J43" s="310">
        <f t="shared" si="1"/>
        <v>19875</v>
      </c>
      <c r="K43" s="310">
        <f t="shared" si="2"/>
        <v>750</v>
      </c>
    </row>
    <row r="44" spans="1:11" x14ac:dyDescent="0.2">
      <c r="A44" t="s">
        <v>461</v>
      </c>
      <c r="B44" t="s">
        <v>387</v>
      </c>
      <c r="C44" s="238" t="s">
        <v>367</v>
      </c>
      <c r="D44" t="s">
        <v>369</v>
      </c>
      <c r="E44" t="s">
        <v>56</v>
      </c>
      <c r="F44" s="330">
        <v>29</v>
      </c>
      <c r="G44" s="330">
        <v>30000</v>
      </c>
      <c r="H44" s="310">
        <f t="shared" si="0"/>
        <v>1034.4827586206898</v>
      </c>
      <c r="I44" s="329">
        <v>0.25</v>
      </c>
      <c r="J44" s="310">
        <f t="shared" si="1"/>
        <v>22500</v>
      </c>
      <c r="K44" s="310">
        <f t="shared" si="2"/>
        <v>775.86206896551721</v>
      </c>
    </row>
    <row r="45" spans="1:11" x14ac:dyDescent="0.2">
      <c r="A45" t="s">
        <v>461</v>
      </c>
      <c r="B45" t="s">
        <v>387</v>
      </c>
      <c r="C45" s="238" t="s">
        <v>367</v>
      </c>
      <c r="D45" t="s">
        <v>369</v>
      </c>
      <c r="E45" t="s">
        <v>56</v>
      </c>
      <c r="F45" s="330">
        <v>30</v>
      </c>
      <c r="G45" s="330">
        <v>31000</v>
      </c>
      <c r="H45" s="310">
        <f t="shared" si="0"/>
        <v>1033.3333333333333</v>
      </c>
      <c r="I45" s="329">
        <v>0.25</v>
      </c>
      <c r="J45" s="310">
        <f t="shared" si="1"/>
        <v>23250</v>
      </c>
      <c r="K45" s="310">
        <f t="shared" si="2"/>
        <v>775</v>
      </c>
    </row>
    <row r="46" spans="1:11" x14ac:dyDescent="0.2">
      <c r="A46" t="s">
        <v>461</v>
      </c>
      <c r="B46" t="s">
        <v>387</v>
      </c>
      <c r="C46" s="238" t="s">
        <v>366</v>
      </c>
      <c r="D46" t="s">
        <v>120</v>
      </c>
      <c r="E46" t="s">
        <v>464</v>
      </c>
      <c r="F46" s="330">
        <v>1</v>
      </c>
      <c r="G46" s="330">
        <v>1400</v>
      </c>
      <c r="H46" s="324">
        <f t="shared" si="0"/>
        <v>1400</v>
      </c>
      <c r="I46" s="311">
        <v>0</v>
      </c>
      <c r="J46" s="310">
        <f t="shared" si="1"/>
        <v>1400</v>
      </c>
      <c r="K46" s="310">
        <f t="shared" si="2"/>
        <v>1400</v>
      </c>
    </row>
    <row r="47" spans="1:11" x14ac:dyDescent="0.2">
      <c r="A47" t="s">
        <v>461</v>
      </c>
      <c r="B47" t="s">
        <v>387</v>
      </c>
      <c r="C47" s="238" t="s">
        <v>366</v>
      </c>
      <c r="D47" t="s">
        <v>120</v>
      </c>
      <c r="E47" t="s">
        <v>465</v>
      </c>
      <c r="F47" s="330">
        <v>1.5</v>
      </c>
      <c r="G47" s="330">
        <v>1600</v>
      </c>
      <c r="H47" s="324">
        <f t="shared" si="0"/>
        <v>1066.6666666666667</v>
      </c>
      <c r="I47" s="311">
        <v>0</v>
      </c>
      <c r="J47" s="310">
        <f t="shared" si="1"/>
        <v>1600</v>
      </c>
      <c r="K47" s="310">
        <f t="shared" si="2"/>
        <v>1066.6666666666667</v>
      </c>
    </row>
    <row r="48" spans="1:11" x14ac:dyDescent="0.2">
      <c r="A48" t="s">
        <v>461</v>
      </c>
      <c r="B48" t="s">
        <v>387</v>
      </c>
      <c r="C48" s="238" t="s">
        <v>366</v>
      </c>
      <c r="D48" t="s">
        <v>369</v>
      </c>
      <c r="E48" t="s">
        <v>52</v>
      </c>
      <c r="F48" s="330">
        <v>1.5</v>
      </c>
      <c r="G48" s="330">
        <v>2500</v>
      </c>
      <c r="H48" s="324">
        <f t="shared" si="0"/>
        <v>1666.6666666666667</v>
      </c>
      <c r="I48" s="329">
        <v>0.25</v>
      </c>
      <c r="J48" s="310">
        <f t="shared" si="1"/>
        <v>1875</v>
      </c>
      <c r="K48" s="310">
        <f t="shared" si="2"/>
        <v>1250</v>
      </c>
    </row>
    <row r="49" spans="1:11" x14ac:dyDescent="0.2">
      <c r="A49" t="s">
        <v>461</v>
      </c>
      <c r="B49" t="s">
        <v>387</v>
      </c>
      <c r="C49" s="238" t="s">
        <v>366</v>
      </c>
      <c r="D49" t="s">
        <v>369</v>
      </c>
      <c r="E49" t="s">
        <v>52</v>
      </c>
      <c r="F49" s="330">
        <v>2</v>
      </c>
      <c r="G49" s="330">
        <v>3500</v>
      </c>
      <c r="H49" s="324">
        <f t="shared" si="0"/>
        <v>1750</v>
      </c>
      <c r="I49" s="329">
        <v>0.25</v>
      </c>
      <c r="J49" s="310">
        <f t="shared" si="1"/>
        <v>2625</v>
      </c>
      <c r="K49" s="310">
        <f t="shared" si="2"/>
        <v>1312.5</v>
      </c>
    </row>
    <row r="50" spans="1:11" x14ac:dyDescent="0.2">
      <c r="A50" t="s">
        <v>461</v>
      </c>
      <c r="B50" t="s">
        <v>387</v>
      </c>
      <c r="C50" s="238" t="s">
        <v>366</v>
      </c>
      <c r="D50" t="s">
        <v>369</v>
      </c>
      <c r="E50" t="s">
        <v>52</v>
      </c>
      <c r="F50" s="330">
        <v>2.5</v>
      </c>
      <c r="G50" s="330">
        <v>3800</v>
      </c>
      <c r="H50" s="324">
        <f t="shared" si="0"/>
        <v>1520</v>
      </c>
      <c r="I50" s="329">
        <v>0.25</v>
      </c>
      <c r="J50" s="310">
        <f t="shared" si="1"/>
        <v>2850</v>
      </c>
      <c r="K50" s="310">
        <f t="shared" si="2"/>
        <v>1140</v>
      </c>
    </row>
    <row r="51" spans="1:11" x14ac:dyDescent="0.2">
      <c r="A51" t="s">
        <v>461</v>
      </c>
      <c r="B51" t="s">
        <v>387</v>
      </c>
      <c r="C51" s="238" t="s">
        <v>366</v>
      </c>
      <c r="D51" t="s">
        <v>369</v>
      </c>
      <c r="E51" t="s">
        <v>52</v>
      </c>
      <c r="F51" s="330">
        <v>3</v>
      </c>
      <c r="G51" s="330">
        <v>4300</v>
      </c>
      <c r="H51" s="324">
        <f t="shared" si="0"/>
        <v>1433.3333333333333</v>
      </c>
      <c r="I51" s="329">
        <v>0.25</v>
      </c>
      <c r="J51" s="310">
        <f t="shared" si="1"/>
        <v>3225</v>
      </c>
      <c r="K51" s="310">
        <f t="shared" si="2"/>
        <v>1075</v>
      </c>
    </row>
    <row r="52" spans="1:11" x14ac:dyDescent="0.2">
      <c r="A52" t="s">
        <v>461</v>
      </c>
      <c r="B52" t="s">
        <v>387</v>
      </c>
      <c r="C52" s="238" t="s">
        <v>366</v>
      </c>
      <c r="D52" t="s">
        <v>369</v>
      </c>
      <c r="E52" t="s">
        <v>53</v>
      </c>
      <c r="F52" s="330">
        <v>4.5</v>
      </c>
      <c r="G52" s="330">
        <v>6700</v>
      </c>
      <c r="H52" s="324">
        <f t="shared" si="0"/>
        <v>1488.8888888888889</v>
      </c>
      <c r="I52" s="329">
        <v>0.25</v>
      </c>
      <c r="J52" s="310">
        <f t="shared" si="1"/>
        <v>5025</v>
      </c>
      <c r="K52" s="310">
        <f t="shared" si="2"/>
        <v>1116.6666666666667</v>
      </c>
    </row>
    <row r="53" spans="1:11" x14ac:dyDescent="0.2">
      <c r="A53" t="s">
        <v>461</v>
      </c>
      <c r="B53" t="s">
        <v>387</v>
      </c>
      <c r="C53" s="238" t="s">
        <v>366</v>
      </c>
      <c r="D53" t="s">
        <v>369</v>
      </c>
      <c r="E53" t="s">
        <v>53</v>
      </c>
      <c r="F53" s="330">
        <v>5</v>
      </c>
      <c r="G53" s="330">
        <v>7500</v>
      </c>
      <c r="H53" s="324">
        <f t="shared" si="0"/>
        <v>1500</v>
      </c>
      <c r="I53" s="329">
        <v>0.25</v>
      </c>
      <c r="J53" s="310">
        <f t="shared" si="1"/>
        <v>5625</v>
      </c>
      <c r="K53" s="310">
        <f t="shared" si="2"/>
        <v>1125</v>
      </c>
    </row>
    <row r="54" spans="1:11" x14ac:dyDescent="0.2">
      <c r="A54" t="s">
        <v>461</v>
      </c>
      <c r="B54" t="s">
        <v>387</v>
      </c>
      <c r="C54" s="238" t="s">
        <v>366</v>
      </c>
      <c r="D54" t="s">
        <v>369</v>
      </c>
      <c r="E54" t="s">
        <v>53</v>
      </c>
      <c r="F54" s="330">
        <v>5.5</v>
      </c>
      <c r="G54" s="330">
        <v>8000</v>
      </c>
      <c r="H54" s="324">
        <f t="shared" si="0"/>
        <v>1454.5454545454545</v>
      </c>
      <c r="I54" s="329">
        <v>0.25</v>
      </c>
      <c r="J54" s="310">
        <f t="shared" si="1"/>
        <v>6000</v>
      </c>
      <c r="K54" s="310">
        <f t="shared" si="2"/>
        <v>1090.909090909091</v>
      </c>
    </row>
    <row r="55" spans="1:11" x14ac:dyDescent="0.2">
      <c r="A55" t="s">
        <v>461</v>
      </c>
      <c r="B55" t="s">
        <v>387</v>
      </c>
      <c r="C55" s="238" t="s">
        <v>366</v>
      </c>
      <c r="D55" t="s">
        <v>369</v>
      </c>
      <c r="E55" t="s">
        <v>53</v>
      </c>
      <c r="F55" s="330">
        <v>6.5</v>
      </c>
      <c r="G55" s="330">
        <v>9500</v>
      </c>
      <c r="H55" s="324">
        <f t="shared" si="0"/>
        <v>1461.5384615384614</v>
      </c>
      <c r="I55" s="329">
        <v>0.25</v>
      </c>
      <c r="J55" s="310">
        <f t="shared" si="1"/>
        <v>7125</v>
      </c>
      <c r="K55" s="310">
        <f t="shared" si="2"/>
        <v>1096.1538461538462</v>
      </c>
    </row>
    <row r="56" spans="1:11" x14ac:dyDescent="0.2">
      <c r="A56" t="s">
        <v>461</v>
      </c>
      <c r="B56" t="s">
        <v>387</v>
      </c>
      <c r="C56" s="238" t="s">
        <v>366</v>
      </c>
      <c r="D56" t="s">
        <v>369</v>
      </c>
      <c r="E56" t="s">
        <v>53</v>
      </c>
      <c r="F56" s="330">
        <v>7.5</v>
      </c>
      <c r="G56" s="330">
        <v>11500</v>
      </c>
      <c r="H56" s="324">
        <f t="shared" si="0"/>
        <v>1533.3333333333333</v>
      </c>
      <c r="I56" s="329">
        <v>0.25</v>
      </c>
      <c r="J56" s="310">
        <f t="shared" si="1"/>
        <v>8625</v>
      </c>
      <c r="K56" s="310">
        <f t="shared" si="2"/>
        <v>1150</v>
      </c>
    </row>
    <row r="57" spans="1:11" x14ac:dyDescent="0.2">
      <c r="A57" t="s">
        <v>461</v>
      </c>
      <c r="B57" t="s">
        <v>387</v>
      </c>
      <c r="C57" s="238" t="s">
        <v>366</v>
      </c>
      <c r="D57" t="s">
        <v>369</v>
      </c>
      <c r="E57" t="s">
        <v>54</v>
      </c>
      <c r="F57" s="330">
        <v>8</v>
      </c>
      <c r="G57" s="330">
        <v>12200</v>
      </c>
      <c r="H57" s="324">
        <f t="shared" si="0"/>
        <v>1525</v>
      </c>
      <c r="I57" s="329">
        <v>0.25</v>
      </c>
      <c r="J57" s="310">
        <f t="shared" si="1"/>
        <v>9150</v>
      </c>
      <c r="K57" s="310">
        <f t="shared" si="2"/>
        <v>1143.75</v>
      </c>
    </row>
    <row r="58" spans="1:11" x14ac:dyDescent="0.2">
      <c r="A58" t="s">
        <v>461</v>
      </c>
      <c r="B58" t="s">
        <v>387</v>
      </c>
      <c r="C58" s="238" t="s">
        <v>366</v>
      </c>
      <c r="D58" t="s">
        <v>369</v>
      </c>
      <c r="E58" t="s">
        <v>54</v>
      </c>
      <c r="F58" s="330">
        <v>8.5</v>
      </c>
      <c r="G58" s="330">
        <v>12500</v>
      </c>
      <c r="H58" s="324">
        <f t="shared" si="0"/>
        <v>1470.5882352941176</v>
      </c>
      <c r="I58" s="329">
        <v>0.25</v>
      </c>
      <c r="J58" s="310">
        <f t="shared" si="1"/>
        <v>9375</v>
      </c>
      <c r="K58" s="310">
        <f t="shared" si="2"/>
        <v>1102.9411764705883</v>
      </c>
    </row>
    <row r="59" spans="1:11" x14ac:dyDescent="0.2">
      <c r="A59" t="s">
        <v>461</v>
      </c>
      <c r="B59" t="s">
        <v>387</v>
      </c>
      <c r="C59" s="238" t="s">
        <v>366</v>
      </c>
      <c r="D59" t="s">
        <v>369</v>
      </c>
      <c r="E59" t="s">
        <v>54</v>
      </c>
      <c r="F59" s="330">
        <v>10</v>
      </c>
      <c r="G59" s="330">
        <v>15000</v>
      </c>
      <c r="H59" s="324">
        <f t="shared" si="0"/>
        <v>1500</v>
      </c>
      <c r="I59" s="329">
        <v>0.25</v>
      </c>
      <c r="J59" s="310">
        <f t="shared" si="1"/>
        <v>11250</v>
      </c>
      <c r="K59" s="310">
        <f t="shared" si="2"/>
        <v>1125</v>
      </c>
    </row>
    <row r="60" spans="1:11" x14ac:dyDescent="0.2">
      <c r="A60" t="s">
        <v>461</v>
      </c>
      <c r="B60" t="s">
        <v>387</v>
      </c>
      <c r="C60" s="238" t="s">
        <v>366</v>
      </c>
      <c r="D60" t="s">
        <v>369</v>
      </c>
      <c r="E60" t="s">
        <v>55</v>
      </c>
      <c r="F60" s="330">
        <v>13.5</v>
      </c>
      <c r="G60" s="330">
        <v>20500</v>
      </c>
      <c r="H60" s="324">
        <f t="shared" si="0"/>
        <v>1518.5185185185185</v>
      </c>
      <c r="I60" s="329">
        <v>0.25</v>
      </c>
      <c r="J60" s="310">
        <f t="shared" si="1"/>
        <v>15375</v>
      </c>
      <c r="K60" s="310">
        <f t="shared" si="2"/>
        <v>1138.8888888888889</v>
      </c>
    </row>
    <row r="61" spans="1:11" x14ac:dyDescent="0.2">
      <c r="A61" t="s">
        <v>461</v>
      </c>
      <c r="B61" t="s">
        <v>387</v>
      </c>
      <c r="C61" s="238" t="s">
        <v>366</v>
      </c>
      <c r="D61" t="s">
        <v>369</v>
      </c>
      <c r="E61" t="s">
        <v>55</v>
      </c>
      <c r="F61" s="330">
        <v>14</v>
      </c>
      <c r="G61" s="330">
        <v>21000</v>
      </c>
      <c r="H61" s="324">
        <f t="shared" si="0"/>
        <v>1500</v>
      </c>
      <c r="I61" s="329">
        <v>0.25</v>
      </c>
      <c r="J61" s="310">
        <f t="shared" si="1"/>
        <v>15750</v>
      </c>
      <c r="K61" s="310">
        <f t="shared" si="2"/>
        <v>1125</v>
      </c>
    </row>
    <row r="62" spans="1:11" x14ac:dyDescent="0.2">
      <c r="A62" t="s">
        <v>461</v>
      </c>
      <c r="B62" t="s">
        <v>387</v>
      </c>
      <c r="C62" s="238" t="s">
        <v>366</v>
      </c>
      <c r="D62" t="s">
        <v>369</v>
      </c>
      <c r="E62" t="s">
        <v>56</v>
      </c>
      <c r="F62" s="330">
        <v>19</v>
      </c>
      <c r="G62" s="330">
        <v>28000</v>
      </c>
      <c r="H62" s="324">
        <f t="shared" si="0"/>
        <v>1473.6842105263158</v>
      </c>
      <c r="I62" s="329">
        <v>0.25</v>
      </c>
      <c r="J62" s="310">
        <f t="shared" si="1"/>
        <v>21000</v>
      </c>
      <c r="K62" s="310">
        <f t="shared" si="2"/>
        <v>1105.2631578947369</v>
      </c>
    </row>
    <row r="63" spans="1:11" x14ac:dyDescent="0.2">
      <c r="A63" t="s">
        <v>461</v>
      </c>
      <c r="B63" t="s">
        <v>387</v>
      </c>
      <c r="C63" s="238" t="s">
        <v>366</v>
      </c>
      <c r="D63" t="s">
        <v>369</v>
      </c>
      <c r="E63" t="s">
        <v>56</v>
      </c>
      <c r="F63" s="330">
        <v>22.5</v>
      </c>
      <c r="G63" s="330">
        <v>34000</v>
      </c>
      <c r="H63" s="324">
        <f t="shared" si="0"/>
        <v>1511.1111111111111</v>
      </c>
      <c r="I63" s="329">
        <v>0.25</v>
      </c>
      <c r="J63" s="310">
        <f t="shared" si="1"/>
        <v>25500</v>
      </c>
      <c r="K63" s="310">
        <f t="shared" si="2"/>
        <v>1133.3333333333333</v>
      </c>
    </row>
    <row r="64" spans="1:11" x14ac:dyDescent="0.2">
      <c r="A64" t="s">
        <v>461</v>
      </c>
      <c r="B64" t="s">
        <v>387</v>
      </c>
      <c r="C64" s="238" t="s">
        <v>366</v>
      </c>
      <c r="D64" t="s">
        <v>369</v>
      </c>
      <c r="E64" t="s">
        <v>56</v>
      </c>
      <c r="F64" s="330">
        <v>25.5</v>
      </c>
      <c r="G64" s="330">
        <v>32000</v>
      </c>
      <c r="H64" s="324">
        <f t="shared" si="0"/>
        <v>1254.9019607843138</v>
      </c>
      <c r="I64" s="329">
        <v>0.25</v>
      </c>
      <c r="J64" s="310">
        <f t="shared" si="1"/>
        <v>24000</v>
      </c>
      <c r="K64" s="310">
        <f t="shared" si="2"/>
        <v>941.17647058823525</v>
      </c>
    </row>
    <row r="65" spans="1:11" x14ac:dyDescent="0.2">
      <c r="A65" t="s">
        <v>461</v>
      </c>
      <c r="B65" t="s">
        <v>387</v>
      </c>
      <c r="C65" s="238" t="s">
        <v>366</v>
      </c>
      <c r="D65" t="s">
        <v>369</v>
      </c>
      <c r="E65" t="s">
        <v>56</v>
      </c>
      <c r="F65" s="330">
        <v>42</v>
      </c>
      <c r="G65" s="330">
        <v>50000</v>
      </c>
      <c r="H65" s="324">
        <f t="shared" si="0"/>
        <v>1190.4761904761904</v>
      </c>
      <c r="I65" s="329">
        <v>0.25</v>
      </c>
      <c r="J65" s="310">
        <f t="shared" si="1"/>
        <v>37500</v>
      </c>
      <c r="K65" s="310">
        <f t="shared" si="2"/>
        <v>892.85714285714289</v>
      </c>
    </row>
    <row r="66" spans="1:11" x14ac:dyDescent="0.2">
      <c r="A66" t="s">
        <v>461</v>
      </c>
      <c r="B66" t="s">
        <v>389</v>
      </c>
      <c r="C66" s="238" t="s">
        <v>367</v>
      </c>
      <c r="D66" t="s">
        <v>120</v>
      </c>
      <c r="E66" t="s">
        <v>464</v>
      </c>
      <c r="F66" s="330">
        <v>1</v>
      </c>
      <c r="G66" s="330">
        <v>900</v>
      </c>
      <c r="H66" s="324">
        <f t="shared" ref="H66:H129" si="3">G66/F66</f>
        <v>900</v>
      </c>
      <c r="I66" s="311">
        <v>0</v>
      </c>
      <c r="J66" s="310">
        <f t="shared" ref="J66:J129" si="4">G66*(1-I66)</f>
        <v>900</v>
      </c>
      <c r="K66" s="310">
        <f t="shared" ref="K66:K129" si="5">J66/F66</f>
        <v>900</v>
      </c>
    </row>
    <row r="67" spans="1:11" x14ac:dyDescent="0.2">
      <c r="A67" t="s">
        <v>461</v>
      </c>
      <c r="B67" t="s">
        <v>389</v>
      </c>
      <c r="C67" s="238" t="s">
        <v>367</v>
      </c>
      <c r="D67" t="s">
        <v>120</v>
      </c>
      <c r="E67" t="s">
        <v>465</v>
      </c>
      <c r="F67" s="330">
        <v>1</v>
      </c>
      <c r="G67" s="330">
        <v>1000</v>
      </c>
      <c r="H67" s="324">
        <f t="shared" si="3"/>
        <v>1000</v>
      </c>
      <c r="I67" s="311">
        <v>0</v>
      </c>
      <c r="J67" s="310">
        <f t="shared" si="4"/>
        <v>1000</v>
      </c>
      <c r="K67" s="310">
        <f t="shared" si="5"/>
        <v>1000</v>
      </c>
    </row>
    <row r="68" spans="1:11" x14ac:dyDescent="0.2">
      <c r="A68" t="s">
        <v>461</v>
      </c>
      <c r="B68" t="s">
        <v>389</v>
      </c>
      <c r="C68" s="238" t="s">
        <v>367</v>
      </c>
      <c r="D68" t="s">
        <v>369</v>
      </c>
      <c r="E68" t="s">
        <v>52</v>
      </c>
      <c r="F68" s="330">
        <v>1</v>
      </c>
      <c r="G68" s="330">
        <v>2000</v>
      </c>
      <c r="H68" s="324">
        <f t="shared" si="3"/>
        <v>2000</v>
      </c>
      <c r="I68" s="329">
        <v>0.25</v>
      </c>
      <c r="J68" s="310">
        <f t="shared" si="4"/>
        <v>1500</v>
      </c>
      <c r="K68" s="310">
        <f t="shared" si="5"/>
        <v>1500</v>
      </c>
    </row>
    <row r="69" spans="1:11" x14ac:dyDescent="0.2">
      <c r="A69" t="s">
        <v>461</v>
      </c>
      <c r="B69" t="s">
        <v>389</v>
      </c>
      <c r="C69" s="238" t="s">
        <v>367</v>
      </c>
      <c r="D69" t="s">
        <v>369</v>
      </c>
      <c r="E69" t="s">
        <v>52</v>
      </c>
      <c r="F69" s="330">
        <v>1.5</v>
      </c>
      <c r="G69" s="330">
        <v>2300</v>
      </c>
      <c r="H69" s="324">
        <f t="shared" si="3"/>
        <v>1533.3333333333333</v>
      </c>
      <c r="I69" s="329">
        <v>0.25</v>
      </c>
      <c r="J69" s="310">
        <f t="shared" si="4"/>
        <v>1725</v>
      </c>
      <c r="K69" s="310">
        <f t="shared" si="5"/>
        <v>1150</v>
      </c>
    </row>
    <row r="70" spans="1:11" x14ac:dyDescent="0.2">
      <c r="A70" t="s">
        <v>461</v>
      </c>
      <c r="B70" t="s">
        <v>389</v>
      </c>
      <c r="C70" s="238" t="s">
        <v>367</v>
      </c>
      <c r="D70" t="s">
        <v>369</v>
      </c>
      <c r="E70" t="s">
        <v>52</v>
      </c>
      <c r="F70" s="330">
        <v>2</v>
      </c>
      <c r="G70" s="330">
        <v>2500</v>
      </c>
      <c r="H70" s="324">
        <f t="shared" si="3"/>
        <v>1250</v>
      </c>
      <c r="I70" s="329">
        <v>0.25</v>
      </c>
      <c r="J70" s="310">
        <f t="shared" si="4"/>
        <v>1875</v>
      </c>
      <c r="K70" s="310">
        <f t="shared" si="5"/>
        <v>937.5</v>
      </c>
    </row>
    <row r="71" spans="1:11" x14ac:dyDescent="0.2">
      <c r="A71" t="s">
        <v>461</v>
      </c>
      <c r="B71" t="s">
        <v>389</v>
      </c>
      <c r="C71" s="238" t="s">
        <v>367</v>
      </c>
      <c r="D71" t="s">
        <v>369</v>
      </c>
      <c r="E71" t="s">
        <v>52</v>
      </c>
      <c r="F71" s="330">
        <v>2.5</v>
      </c>
      <c r="G71" s="330">
        <v>3500</v>
      </c>
      <c r="H71" s="324">
        <f t="shared" si="3"/>
        <v>1400</v>
      </c>
      <c r="I71" s="329">
        <v>0.25</v>
      </c>
      <c r="J71" s="310">
        <f t="shared" si="4"/>
        <v>2625</v>
      </c>
      <c r="K71" s="310">
        <f t="shared" si="5"/>
        <v>1050</v>
      </c>
    </row>
    <row r="72" spans="1:11" x14ac:dyDescent="0.2">
      <c r="A72" t="s">
        <v>461</v>
      </c>
      <c r="B72" t="s">
        <v>389</v>
      </c>
      <c r="C72" s="238" t="s">
        <v>367</v>
      </c>
      <c r="D72" t="s">
        <v>369</v>
      </c>
      <c r="E72" t="s">
        <v>52</v>
      </c>
      <c r="F72" s="330">
        <v>3</v>
      </c>
      <c r="G72" s="330">
        <v>4200</v>
      </c>
      <c r="H72" s="324">
        <f t="shared" si="3"/>
        <v>1400</v>
      </c>
      <c r="I72" s="329">
        <v>0.25</v>
      </c>
      <c r="J72" s="310">
        <f t="shared" si="4"/>
        <v>3150</v>
      </c>
      <c r="K72" s="310">
        <f t="shared" si="5"/>
        <v>1050</v>
      </c>
    </row>
    <row r="73" spans="1:11" x14ac:dyDescent="0.2">
      <c r="A73" t="s">
        <v>461</v>
      </c>
      <c r="B73" t="s">
        <v>389</v>
      </c>
      <c r="C73" s="238" t="s">
        <v>367</v>
      </c>
      <c r="D73" t="s">
        <v>369</v>
      </c>
      <c r="E73" t="s">
        <v>53</v>
      </c>
      <c r="F73" s="330">
        <v>3.5</v>
      </c>
      <c r="G73" s="330">
        <v>4500</v>
      </c>
      <c r="H73" s="324">
        <f t="shared" si="3"/>
        <v>1285.7142857142858</v>
      </c>
      <c r="I73" s="329">
        <v>0.25</v>
      </c>
      <c r="J73" s="310">
        <f t="shared" si="4"/>
        <v>3375</v>
      </c>
      <c r="K73" s="310">
        <f t="shared" si="5"/>
        <v>964.28571428571433</v>
      </c>
    </row>
    <row r="74" spans="1:11" x14ac:dyDescent="0.2">
      <c r="A74" t="s">
        <v>461</v>
      </c>
      <c r="B74" t="s">
        <v>389</v>
      </c>
      <c r="C74" s="238" t="s">
        <v>367</v>
      </c>
      <c r="D74" t="s">
        <v>369</v>
      </c>
      <c r="E74" t="s">
        <v>53</v>
      </c>
      <c r="F74" s="330">
        <v>4</v>
      </c>
      <c r="G74" s="330">
        <v>5000</v>
      </c>
      <c r="H74" s="324">
        <f t="shared" si="3"/>
        <v>1250</v>
      </c>
      <c r="I74" s="329">
        <v>0.25</v>
      </c>
      <c r="J74" s="310">
        <f t="shared" si="4"/>
        <v>3750</v>
      </c>
      <c r="K74" s="310">
        <f t="shared" si="5"/>
        <v>937.5</v>
      </c>
    </row>
    <row r="75" spans="1:11" x14ac:dyDescent="0.2">
      <c r="A75" t="s">
        <v>461</v>
      </c>
      <c r="B75" t="s">
        <v>389</v>
      </c>
      <c r="C75" s="238" t="s">
        <v>367</v>
      </c>
      <c r="D75" t="s">
        <v>369</v>
      </c>
      <c r="E75" t="s">
        <v>53</v>
      </c>
      <c r="F75" s="330">
        <v>6</v>
      </c>
      <c r="G75" s="330">
        <v>6500</v>
      </c>
      <c r="H75" s="324">
        <f t="shared" si="3"/>
        <v>1083.3333333333333</v>
      </c>
      <c r="I75" s="329">
        <v>0.25</v>
      </c>
      <c r="J75" s="310">
        <f t="shared" si="4"/>
        <v>4875</v>
      </c>
      <c r="K75" s="310">
        <f t="shared" si="5"/>
        <v>812.5</v>
      </c>
    </row>
    <row r="76" spans="1:11" x14ac:dyDescent="0.2">
      <c r="A76" t="s">
        <v>461</v>
      </c>
      <c r="B76" t="s">
        <v>389</v>
      </c>
      <c r="C76" s="238" t="s">
        <v>367</v>
      </c>
      <c r="D76" t="s">
        <v>369</v>
      </c>
      <c r="E76" t="s">
        <v>53</v>
      </c>
      <c r="F76" s="330">
        <v>6.5</v>
      </c>
      <c r="G76" s="330">
        <v>7000</v>
      </c>
      <c r="H76" s="324">
        <f t="shared" si="3"/>
        <v>1076.9230769230769</v>
      </c>
      <c r="I76" s="329">
        <v>0.25</v>
      </c>
      <c r="J76" s="310">
        <f t="shared" si="4"/>
        <v>5250</v>
      </c>
      <c r="K76" s="310">
        <f t="shared" si="5"/>
        <v>807.69230769230774</v>
      </c>
    </row>
    <row r="77" spans="1:11" x14ac:dyDescent="0.2">
      <c r="A77" t="s">
        <v>461</v>
      </c>
      <c r="B77" t="s">
        <v>389</v>
      </c>
      <c r="C77" s="238" t="s">
        <v>367</v>
      </c>
      <c r="D77" t="s">
        <v>369</v>
      </c>
      <c r="E77" t="s">
        <v>54</v>
      </c>
      <c r="F77" s="330">
        <v>8</v>
      </c>
      <c r="G77" s="330">
        <v>8000</v>
      </c>
      <c r="H77" s="324">
        <f t="shared" si="3"/>
        <v>1000</v>
      </c>
      <c r="I77" s="329">
        <v>0.25</v>
      </c>
      <c r="J77" s="310">
        <f t="shared" si="4"/>
        <v>6000</v>
      </c>
      <c r="K77" s="310">
        <f t="shared" si="5"/>
        <v>750</v>
      </c>
    </row>
    <row r="78" spans="1:11" x14ac:dyDescent="0.2">
      <c r="A78" t="s">
        <v>461</v>
      </c>
      <c r="B78" t="s">
        <v>389</v>
      </c>
      <c r="C78" s="238" t="s">
        <v>367</v>
      </c>
      <c r="D78" t="s">
        <v>369</v>
      </c>
      <c r="E78" t="s">
        <v>54</v>
      </c>
      <c r="F78" s="330">
        <v>8.5</v>
      </c>
      <c r="G78" s="330">
        <v>9000</v>
      </c>
      <c r="H78" s="324">
        <f t="shared" si="3"/>
        <v>1058.8235294117646</v>
      </c>
      <c r="I78" s="329">
        <v>0.25</v>
      </c>
      <c r="J78" s="310">
        <f t="shared" si="4"/>
        <v>6750</v>
      </c>
      <c r="K78" s="310">
        <f t="shared" si="5"/>
        <v>794.11764705882354</v>
      </c>
    </row>
    <row r="79" spans="1:11" x14ac:dyDescent="0.2">
      <c r="A79" t="s">
        <v>461</v>
      </c>
      <c r="B79" t="s">
        <v>389</v>
      </c>
      <c r="C79" s="238" t="s">
        <v>367</v>
      </c>
      <c r="D79" t="s">
        <v>369</v>
      </c>
      <c r="E79" t="s">
        <v>54</v>
      </c>
      <c r="F79" s="330">
        <v>9.5</v>
      </c>
      <c r="G79" s="330">
        <v>9500</v>
      </c>
      <c r="H79" s="324">
        <f t="shared" si="3"/>
        <v>1000</v>
      </c>
      <c r="I79" s="329">
        <v>0.25</v>
      </c>
      <c r="J79" s="310">
        <f t="shared" si="4"/>
        <v>7125</v>
      </c>
      <c r="K79" s="310">
        <f t="shared" si="5"/>
        <v>750</v>
      </c>
    </row>
    <row r="80" spans="1:11" x14ac:dyDescent="0.2">
      <c r="A80" t="s">
        <v>461</v>
      </c>
      <c r="B80" t="s">
        <v>389</v>
      </c>
      <c r="C80" s="238" t="s">
        <v>367</v>
      </c>
      <c r="D80" t="s">
        <v>369</v>
      </c>
      <c r="E80" t="s">
        <v>54</v>
      </c>
      <c r="F80" s="330">
        <v>10</v>
      </c>
      <c r="G80" s="330">
        <v>9500</v>
      </c>
      <c r="H80" s="324">
        <f t="shared" si="3"/>
        <v>950</v>
      </c>
      <c r="I80" s="329">
        <v>0.25</v>
      </c>
      <c r="J80" s="310">
        <f t="shared" si="4"/>
        <v>7125</v>
      </c>
      <c r="K80" s="310">
        <f t="shared" si="5"/>
        <v>712.5</v>
      </c>
    </row>
    <row r="81" spans="1:11" x14ac:dyDescent="0.2">
      <c r="A81" t="s">
        <v>461</v>
      </c>
      <c r="B81" t="s">
        <v>389</v>
      </c>
      <c r="C81" s="238" t="s">
        <v>367</v>
      </c>
      <c r="D81" t="s">
        <v>369</v>
      </c>
      <c r="E81" t="s">
        <v>55</v>
      </c>
      <c r="F81" s="330">
        <v>12</v>
      </c>
      <c r="G81" s="330">
        <v>12000</v>
      </c>
      <c r="H81" s="324">
        <f t="shared" si="3"/>
        <v>1000</v>
      </c>
      <c r="I81" s="329">
        <v>0.25</v>
      </c>
      <c r="J81" s="310">
        <f t="shared" si="4"/>
        <v>9000</v>
      </c>
      <c r="K81" s="310">
        <f t="shared" si="5"/>
        <v>750</v>
      </c>
    </row>
    <row r="82" spans="1:11" x14ac:dyDescent="0.2">
      <c r="A82" t="s">
        <v>461</v>
      </c>
      <c r="B82" t="s">
        <v>389</v>
      </c>
      <c r="C82" s="238" t="s">
        <v>367</v>
      </c>
      <c r="D82" t="s">
        <v>369</v>
      </c>
      <c r="E82" t="s">
        <v>55</v>
      </c>
      <c r="F82" s="330">
        <v>13</v>
      </c>
      <c r="G82" s="330">
        <v>14000</v>
      </c>
      <c r="H82" s="324">
        <f t="shared" si="3"/>
        <v>1076.9230769230769</v>
      </c>
      <c r="I82" s="329">
        <v>0.25</v>
      </c>
      <c r="J82" s="310">
        <f t="shared" si="4"/>
        <v>10500</v>
      </c>
      <c r="K82" s="310">
        <f t="shared" si="5"/>
        <v>807.69230769230774</v>
      </c>
    </row>
    <row r="83" spans="1:11" x14ac:dyDescent="0.2">
      <c r="A83" t="s">
        <v>461</v>
      </c>
      <c r="B83" t="s">
        <v>389</v>
      </c>
      <c r="C83" s="238" t="s">
        <v>367</v>
      </c>
      <c r="D83" t="s">
        <v>369</v>
      </c>
      <c r="E83" t="s">
        <v>55</v>
      </c>
      <c r="F83" s="330">
        <v>14</v>
      </c>
      <c r="G83" s="330">
        <v>14500</v>
      </c>
      <c r="H83" s="324">
        <f t="shared" si="3"/>
        <v>1035.7142857142858</v>
      </c>
      <c r="I83" s="329">
        <v>0.25</v>
      </c>
      <c r="J83" s="310">
        <f t="shared" si="4"/>
        <v>10875</v>
      </c>
      <c r="K83" s="310">
        <f t="shared" si="5"/>
        <v>776.78571428571433</v>
      </c>
    </row>
    <row r="84" spans="1:11" x14ac:dyDescent="0.2">
      <c r="A84" t="s">
        <v>461</v>
      </c>
      <c r="B84" t="s">
        <v>389</v>
      </c>
      <c r="C84" s="238" t="s">
        <v>367</v>
      </c>
      <c r="D84" t="s">
        <v>369</v>
      </c>
      <c r="E84" t="s">
        <v>55</v>
      </c>
      <c r="F84" s="330">
        <v>15</v>
      </c>
      <c r="G84" s="330">
        <v>14500</v>
      </c>
      <c r="H84" s="324">
        <f t="shared" si="3"/>
        <v>966.66666666666663</v>
      </c>
      <c r="I84" s="329">
        <v>0.25</v>
      </c>
      <c r="J84" s="310">
        <f t="shared" si="4"/>
        <v>10875</v>
      </c>
      <c r="K84" s="310">
        <f t="shared" si="5"/>
        <v>725</v>
      </c>
    </row>
    <row r="85" spans="1:11" x14ac:dyDescent="0.2">
      <c r="A85" t="s">
        <v>461</v>
      </c>
      <c r="B85" t="s">
        <v>389</v>
      </c>
      <c r="C85" s="238" t="s">
        <v>367</v>
      </c>
      <c r="D85" t="s">
        <v>369</v>
      </c>
      <c r="E85" t="s">
        <v>55</v>
      </c>
      <c r="F85" s="330">
        <v>16</v>
      </c>
      <c r="G85" s="330">
        <v>16000</v>
      </c>
      <c r="H85" s="324">
        <f t="shared" si="3"/>
        <v>1000</v>
      </c>
      <c r="I85" s="329">
        <v>0.25</v>
      </c>
      <c r="J85" s="310">
        <f t="shared" si="4"/>
        <v>12000</v>
      </c>
      <c r="K85" s="310">
        <f t="shared" si="5"/>
        <v>750</v>
      </c>
    </row>
    <row r="86" spans="1:11" x14ac:dyDescent="0.2">
      <c r="A86" t="s">
        <v>461</v>
      </c>
      <c r="B86" t="s">
        <v>389</v>
      </c>
      <c r="C86" s="238" t="s">
        <v>367</v>
      </c>
      <c r="D86" t="s">
        <v>369</v>
      </c>
      <c r="E86" t="s">
        <v>55</v>
      </c>
      <c r="F86" s="330">
        <v>17</v>
      </c>
      <c r="G86" s="330">
        <v>18000</v>
      </c>
      <c r="H86" s="324">
        <f t="shared" si="3"/>
        <v>1058.8235294117646</v>
      </c>
      <c r="I86" s="329">
        <v>0.25</v>
      </c>
      <c r="J86" s="310">
        <f t="shared" si="4"/>
        <v>13500</v>
      </c>
      <c r="K86" s="310">
        <f t="shared" si="5"/>
        <v>794.11764705882354</v>
      </c>
    </row>
    <row r="87" spans="1:11" x14ac:dyDescent="0.2">
      <c r="A87" t="s">
        <v>461</v>
      </c>
      <c r="B87" t="s">
        <v>389</v>
      </c>
      <c r="C87" s="238" t="s">
        <v>367</v>
      </c>
      <c r="D87" t="s">
        <v>369</v>
      </c>
      <c r="E87" t="s">
        <v>56</v>
      </c>
      <c r="F87" s="330">
        <v>24</v>
      </c>
      <c r="G87" s="330">
        <v>20000</v>
      </c>
      <c r="H87" s="324">
        <f t="shared" si="3"/>
        <v>833.33333333333337</v>
      </c>
      <c r="I87" s="329">
        <v>0.25</v>
      </c>
      <c r="J87" s="310">
        <f t="shared" si="4"/>
        <v>15000</v>
      </c>
      <c r="K87" s="310">
        <f t="shared" si="5"/>
        <v>625</v>
      </c>
    </row>
    <row r="88" spans="1:11" x14ac:dyDescent="0.2">
      <c r="A88" t="s">
        <v>461</v>
      </c>
      <c r="B88" t="s">
        <v>389</v>
      </c>
      <c r="C88" s="238" t="s">
        <v>367</v>
      </c>
      <c r="D88" t="s">
        <v>369</v>
      </c>
      <c r="E88" t="s">
        <v>56</v>
      </c>
      <c r="F88" s="330">
        <v>24.5</v>
      </c>
      <c r="G88" s="330">
        <v>24000</v>
      </c>
      <c r="H88" s="324">
        <f t="shared" si="3"/>
        <v>979.59183673469386</v>
      </c>
      <c r="I88" s="329">
        <v>0.25</v>
      </c>
      <c r="J88" s="310">
        <f t="shared" si="4"/>
        <v>18000</v>
      </c>
      <c r="K88" s="310">
        <f t="shared" si="5"/>
        <v>734.69387755102036</v>
      </c>
    </row>
    <row r="89" spans="1:11" x14ac:dyDescent="0.2">
      <c r="A89" t="s">
        <v>461</v>
      </c>
      <c r="B89" t="s">
        <v>389</v>
      </c>
      <c r="C89" s="238" t="s">
        <v>367</v>
      </c>
      <c r="D89" t="s">
        <v>369</v>
      </c>
      <c r="E89" t="s">
        <v>56</v>
      </c>
      <c r="F89" s="330">
        <v>26</v>
      </c>
      <c r="G89" s="330">
        <v>25000</v>
      </c>
      <c r="H89" s="324">
        <f t="shared" si="3"/>
        <v>961.53846153846155</v>
      </c>
      <c r="I89" s="329">
        <v>0.25</v>
      </c>
      <c r="J89" s="310">
        <f t="shared" si="4"/>
        <v>18750</v>
      </c>
      <c r="K89" s="310">
        <f t="shared" si="5"/>
        <v>721.15384615384619</v>
      </c>
    </row>
    <row r="90" spans="1:11" x14ac:dyDescent="0.2">
      <c r="A90" t="s">
        <v>461</v>
      </c>
      <c r="B90" t="s">
        <v>389</v>
      </c>
      <c r="C90" s="238" t="s">
        <v>367</v>
      </c>
      <c r="D90" t="s">
        <v>369</v>
      </c>
      <c r="E90" t="s">
        <v>56</v>
      </c>
      <c r="F90" s="330">
        <v>26.5</v>
      </c>
      <c r="G90" s="330">
        <v>26000</v>
      </c>
      <c r="H90" s="324">
        <f t="shared" si="3"/>
        <v>981.13207547169816</v>
      </c>
      <c r="I90" s="329">
        <v>0.25</v>
      </c>
      <c r="J90" s="310">
        <f t="shared" si="4"/>
        <v>19500</v>
      </c>
      <c r="K90" s="310">
        <f t="shared" si="5"/>
        <v>735.84905660377353</v>
      </c>
    </row>
    <row r="91" spans="1:11" x14ac:dyDescent="0.2">
      <c r="A91" t="s">
        <v>461</v>
      </c>
      <c r="B91" t="s">
        <v>389</v>
      </c>
      <c r="C91" s="238" t="s">
        <v>367</v>
      </c>
      <c r="D91" t="s">
        <v>369</v>
      </c>
      <c r="E91" t="s">
        <v>56</v>
      </c>
      <c r="F91" s="330">
        <v>28</v>
      </c>
      <c r="G91" s="330">
        <v>28000</v>
      </c>
      <c r="H91" s="324">
        <f t="shared" si="3"/>
        <v>1000</v>
      </c>
      <c r="I91" s="329">
        <v>0.25</v>
      </c>
      <c r="J91" s="310">
        <f t="shared" si="4"/>
        <v>21000</v>
      </c>
      <c r="K91" s="310">
        <f t="shared" si="5"/>
        <v>750</v>
      </c>
    </row>
    <row r="92" spans="1:11" x14ac:dyDescent="0.2">
      <c r="A92" t="s">
        <v>461</v>
      </c>
      <c r="B92" t="s">
        <v>389</v>
      </c>
      <c r="C92" s="238" t="s">
        <v>367</v>
      </c>
      <c r="D92" t="s">
        <v>369</v>
      </c>
      <c r="E92" t="s">
        <v>56</v>
      </c>
      <c r="F92" s="330">
        <v>29</v>
      </c>
      <c r="G92" s="330">
        <v>30000</v>
      </c>
      <c r="H92" s="324">
        <f t="shared" si="3"/>
        <v>1034.4827586206898</v>
      </c>
      <c r="I92" s="329">
        <v>0.25</v>
      </c>
      <c r="J92" s="310">
        <f t="shared" si="4"/>
        <v>22500</v>
      </c>
      <c r="K92" s="310">
        <f t="shared" si="5"/>
        <v>775.86206896551721</v>
      </c>
    </row>
    <row r="93" spans="1:11" x14ac:dyDescent="0.2">
      <c r="A93" t="s">
        <v>461</v>
      </c>
      <c r="B93" t="s">
        <v>388</v>
      </c>
      <c r="C93" s="238" t="s">
        <v>367</v>
      </c>
      <c r="D93" t="s">
        <v>120</v>
      </c>
      <c r="E93" t="s">
        <v>464</v>
      </c>
      <c r="F93" s="330">
        <v>1</v>
      </c>
      <c r="G93" s="330">
        <v>1200</v>
      </c>
      <c r="H93" s="310">
        <f t="shared" si="3"/>
        <v>1200</v>
      </c>
      <c r="I93" s="311">
        <v>0</v>
      </c>
      <c r="J93" s="310">
        <f t="shared" si="4"/>
        <v>1200</v>
      </c>
      <c r="K93" s="310">
        <f t="shared" si="5"/>
        <v>1200</v>
      </c>
    </row>
    <row r="94" spans="1:11" x14ac:dyDescent="0.2">
      <c r="A94" t="s">
        <v>461</v>
      </c>
      <c r="B94" t="s">
        <v>388</v>
      </c>
      <c r="C94" s="238" t="s">
        <v>367</v>
      </c>
      <c r="D94" t="s">
        <v>120</v>
      </c>
      <c r="E94" t="s">
        <v>465</v>
      </c>
      <c r="F94" s="330">
        <v>1</v>
      </c>
      <c r="G94" s="330">
        <v>1300</v>
      </c>
      <c r="H94" s="324">
        <f t="shared" si="3"/>
        <v>1300</v>
      </c>
      <c r="I94" s="311">
        <v>0</v>
      </c>
      <c r="J94" s="310">
        <f t="shared" si="4"/>
        <v>1300</v>
      </c>
      <c r="K94" s="310">
        <f t="shared" si="5"/>
        <v>1300</v>
      </c>
    </row>
    <row r="95" spans="1:11" x14ac:dyDescent="0.2">
      <c r="A95" t="s">
        <v>461</v>
      </c>
      <c r="B95" t="s">
        <v>388</v>
      </c>
      <c r="C95" s="238" t="s">
        <v>367</v>
      </c>
      <c r="D95" t="s">
        <v>369</v>
      </c>
      <c r="E95" t="s">
        <v>52</v>
      </c>
      <c r="F95" s="330">
        <v>1</v>
      </c>
      <c r="G95" s="330">
        <v>1500</v>
      </c>
      <c r="H95" s="324">
        <f t="shared" si="3"/>
        <v>1500</v>
      </c>
      <c r="I95" s="329">
        <v>0.25</v>
      </c>
      <c r="J95" s="310">
        <f t="shared" si="4"/>
        <v>1125</v>
      </c>
      <c r="K95" s="310">
        <f t="shared" si="5"/>
        <v>1125</v>
      </c>
    </row>
    <row r="96" spans="1:11" x14ac:dyDescent="0.2">
      <c r="A96" t="s">
        <v>461</v>
      </c>
      <c r="B96" t="s">
        <v>388</v>
      </c>
      <c r="C96" s="238" t="s">
        <v>367</v>
      </c>
      <c r="D96" t="s">
        <v>369</v>
      </c>
      <c r="E96" t="s">
        <v>52</v>
      </c>
      <c r="F96" s="330">
        <v>1.5</v>
      </c>
      <c r="G96" s="330">
        <v>2000</v>
      </c>
      <c r="H96" s="324">
        <f t="shared" si="3"/>
        <v>1333.3333333333333</v>
      </c>
      <c r="I96" s="329">
        <v>0.25</v>
      </c>
      <c r="J96" s="310">
        <f t="shared" si="4"/>
        <v>1500</v>
      </c>
      <c r="K96" s="310">
        <f t="shared" si="5"/>
        <v>1000</v>
      </c>
    </row>
    <row r="97" spans="1:11" x14ac:dyDescent="0.2">
      <c r="A97" t="s">
        <v>461</v>
      </c>
      <c r="B97" t="s">
        <v>388</v>
      </c>
      <c r="C97" s="238" t="s">
        <v>367</v>
      </c>
      <c r="D97" t="s">
        <v>369</v>
      </c>
      <c r="E97" t="s">
        <v>52</v>
      </c>
      <c r="F97" s="330">
        <v>2</v>
      </c>
      <c r="G97" s="330">
        <v>2500</v>
      </c>
      <c r="H97" s="324">
        <f t="shared" si="3"/>
        <v>1250</v>
      </c>
      <c r="I97" s="329">
        <v>0.25</v>
      </c>
      <c r="J97" s="310">
        <f t="shared" si="4"/>
        <v>1875</v>
      </c>
      <c r="K97" s="310">
        <f t="shared" si="5"/>
        <v>937.5</v>
      </c>
    </row>
    <row r="98" spans="1:11" x14ac:dyDescent="0.2">
      <c r="A98" t="s">
        <v>461</v>
      </c>
      <c r="B98" t="s">
        <v>388</v>
      </c>
      <c r="C98" s="238" t="s">
        <v>367</v>
      </c>
      <c r="D98" t="s">
        <v>369</v>
      </c>
      <c r="E98" t="s">
        <v>52</v>
      </c>
      <c r="F98" s="330">
        <v>2.5</v>
      </c>
      <c r="G98" s="330">
        <v>3000</v>
      </c>
      <c r="H98" s="324">
        <f t="shared" si="3"/>
        <v>1200</v>
      </c>
      <c r="I98" s="329">
        <v>0.25</v>
      </c>
      <c r="J98" s="310">
        <f t="shared" si="4"/>
        <v>2250</v>
      </c>
      <c r="K98" s="310">
        <f t="shared" si="5"/>
        <v>900</v>
      </c>
    </row>
    <row r="99" spans="1:11" x14ac:dyDescent="0.2">
      <c r="A99" t="s">
        <v>461</v>
      </c>
      <c r="B99" t="s">
        <v>388</v>
      </c>
      <c r="C99" s="238" t="s">
        <v>367</v>
      </c>
      <c r="D99" t="s">
        <v>369</v>
      </c>
      <c r="E99" t="s">
        <v>52</v>
      </c>
      <c r="F99" s="330">
        <v>3</v>
      </c>
      <c r="G99" s="330">
        <v>3500</v>
      </c>
      <c r="H99" s="324">
        <f t="shared" si="3"/>
        <v>1166.6666666666667</v>
      </c>
      <c r="I99" s="329">
        <v>0.25</v>
      </c>
      <c r="J99" s="310">
        <f t="shared" si="4"/>
        <v>2625</v>
      </c>
      <c r="K99" s="310">
        <f t="shared" si="5"/>
        <v>875</v>
      </c>
    </row>
    <row r="100" spans="1:11" x14ac:dyDescent="0.2">
      <c r="A100" t="s">
        <v>461</v>
      </c>
      <c r="B100" t="s">
        <v>388</v>
      </c>
      <c r="C100" s="238" t="s">
        <v>367</v>
      </c>
      <c r="D100" t="s">
        <v>369</v>
      </c>
      <c r="E100" t="s">
        <v>53</v>
      </c>
      <c r="F100" s="330">
        <v>3.5</v>
      </c>
      <c r="G100" s="330">
        <v>4000</v>
      </c>
      <c r="H100" s="324">
        <f t="shared" si="3"/>
        <v>1142.8571428571429</v>
      </c>
      <c r="I100" s="329">
        <v>0.25</v>
      </c>
      <c r="J100" s="310">
        <f t="shared" si="4"/>
        <v>3000</v>
      </c>
      <c r="K100" s="310">
        <f t="shared" si="5"/>
        <v>857.14285714285711</v>
      </c>
    </row>
    <row r="101" spans="1:11" x14ac:dyDescent="0.2">
      <c r="A101" t="s">
        <v>461</v>
      </c>
      <c r="B101" t="s">
        <v>388</v>
      </c>
      <c r="C101" s="238" t="s">
        <v>367</v>
      </c>
      <c r="D101" t="s">
        <v>369</v>
      </c>
      <c r="E101" t="s">
        <v>53</v>
      </c>
      <c r="F101" s="330">
        <v>4</v>
      </c>
      <c r="G101" s="330">
        <v>4500</v>
      </c>
      <c r="H101" s="324">
        <f t="shared" si="3"/>
        <v>1125</v>
      </c>
      <c r="I101" s="329">
        <v>0.25</v>
      </c>
      <c r="J101" s="310">
        <f t="shared" si="4"/>
        <v>3375</v>
      </c>
      <c r="K101" s="310">
        <f t="shared" si="5"/>
        <v>843.75</v>
      </c>
    </row>
    <row r="102" spans="1:11" x14ac:dyDescent="0.2">
      <c r="A102" t="s">
        <v>461</v>
      </c>
      <c r="B102" t="s">
        <v>388</v>
      </c>
      <c r="C102" s="238" t="s">
        <v>367</v>
      </c>
      <c r="D102" t="s">
        <v>369</v>
      </c>
      <c r="E102" t="s">
        <v>53</v>
      </c>
      <c r="F102" s="330">
        <v>4.5</v>
      </c>
      <c r="G102" s="330">
        <v>4800</v>
      </c>
      <c r="H102" s="324">
        <f t="shared" si="3"/>
        <v>1066.6666666666667</v>
      </c>
      <c r="I102" s="329">
        <v>0.25</v>
      </c>
      <c r="J102" s="310">
        <f t="shared" si="4"/>
        <v>3600</v>
      </c>
      <c r="K102" s="310">
        <f t="shared" si="5"/>
        <v>800</v>
      </c>
    </row>
    <row r="103" spans="1:11" x14ac:dyDescent="0.2">
      <c r="A103" t="s">
        <v>461</v>
      </c>
      <c r="B103" t="s">
        <v>388</v>
      </c>
      <c r="C103" s="238" t="s">
        <v>367</v>
      </c>
      <c r="D103" t="s">
        <v>369</v>
      </c>
      <c r="E103" t="s">
        <v>53</v>
      </c>
      <c r="F103" s="330">
        <v>5</v>
      </c>
      <c r="G103" s="330">
        <v>5000</v>
      </c>
      <c r="H103" s="324">
        <f t="shared" si="3"/>
        <v>1000</v>
      </c>
      <c r="I103" s="329">
        <v>0.25</v>
      </c>
      <c r="J103" s="310">
        <f t="shared" si="4"/>
        <v>3750</v>
      </c>
      <c r="K103" s="310">
        <f t="shared" si="5"/>
        <v>750</v>
      </c>
    </row>
    <row r="104" spans="1:11" x14ac:dyDescent="0.2">
      <c r="A104" t="s">
        <v>461</v>
      </c>
      <c r="B104" t="s">
        <v>388</v>
      </c>
      <c r="C104" s="238" t="s">
        <v>367</v>
      </c>
      <c r="D104" t="s">
        <v>369</v>
      </c>
      <c r="E104" t="s">
        <v>53</v>
      </c>
      <c r="F104" s="330">
        <v>5.5</v>
      </c>
      <c r="G104" s="330">
        <v>5500</v>
      </c>
      <c r="H104" s="324">
        <f t="shared" si="3"/>
        <v>1000</v>
      </c>
      <c r="I104" s="329">
        <v>0.25</v>
      </c>
      <c r="J104" s="310">
        <f t="shared" si="4"/>
        <v>4125</v>
      </c>
      <c r="K104" s="310">
        <f t="shared" si="5"/>
        <v>750</v>
      </c>
    </row>
    <row r="105" spans="1:11" x14ac:dyDescent="0.2">
      <c r="A105" t="s">
        <v>461</v>
      </c>
      <c r="B105" t="s">
        <v>388</v>
      </c>
      <c r="C105" s="238" t="s">
        <v>367</v>
      </c>
      <c r="D105" t="s">
        <v>369</v>
      </c>
      <c r="E105" t="s">
        <v>53</v>
      </c>
      <c r="F105" s="330">
        <v>6</v>
      </c>
      <c r="G105" s="330">
        <v>6000</v>
      </c>
      <c r="H105" s="324">
        <f t="shared" si="3"/>
        <v>1000</v>
      </c>
      <c r="I105" s="329">
        <v>0.25</v>
      </c>
      <c r="J105" s="310">
        <f t="shared" si="4"/>
        <v>4500</v>
      </c>
      <c r="K105" s="310">
        <f t="shared" si="5"/>
        <v>750</v>
      </c>
    </row>
    <row r="106" spans="1:11" x14ac:dyDescent="0.2">
      <c r="A106" t="s">
        <v>461</v>
      </c>
      <c r="B106" t="s">
        <v>388</v>
      </c>
      <c r="C106" s="238" t="s">
        <v>367</v>
      </c>
      <c r="D106" t="s">
        <v>369</v>
      </c>
      <c r="E106" t="s">
        <v>53</v>
      </c>
      <c r="F106" s="330">
        <v>6.5</v>
      </c>
      <c r="G106" s="330">
        <v>6250</v>
      </c>
      <c r="H106" s="324">
        <f t="shared" si="3"/>
        <v>961.53846153846155</v>
      </c>
      <c r="I106" s="329">
        <v>0.25</v>
      </c>
      <c r="J106" s="310">
        <f t="shared" si="4"/>
        <v>4687.5</v>
      </c>
      <c r="K106" s="310">
        <f t="shared" si="5"/>
        <v>721.15384615384619</v>
      </c>
    </row>
    <row r="107" spans="1:11" x14ac:dyDescent="0.2">
      <c r="A107" t="s">
        <v>461</v>
      </c>
      <c r="B107" t="s">
        <v>388</v>
      </c>
      <c r="C107" s="238" t="s">
        <v>367</v>
      </c>
      <c r="D107" t="s">
        <v>369</v>
      </c>
      <c r="E107" t="s">
        <v>53</v>
      </c>
      <c r="F107" s="330">
        <v>7</v>
      </c>
      <c r="G107" s="330">
        <v>7000</v>
      </c>
      <c r="H107" s="324">
        <f t="shared" si="3"/>
        <v>1000</v>
      </c>
      <c r="I107" s="329">
        <v>0.25</v>
      </c>
      <c r="J107" s="310">
        <f t="shared" si="4"/>
        <v>5250</v>
      </c>
      <c r="K107" s="310">
        <f t="shared" si="5"/>
        <v>750</v>
      </c>
    </row>
    <row r="108" spans="1:11" x14ac:dyDescent="0.2">
      <c r="A108" t="s">
        <v>461</v>
      </c>
      <c r="B108" t="s">
        <v>388</v>
      </c>
      <c r="C108" s="238" t="s">
        <v>367</v>
      </c>
      <c r="D108" t="s">
        <v>369</v>
      </c>
      <c r="E108" t="s">
        <v>54</v>
      </c>
      <c r="F108" s="330">
        <v>7.5</v>
      </c>
      <c r="G108" s="330">
        <v>7500</v>
      </c>
      <c r="H108" s="324">
        <f t="shared" si="3"/>
        <v>1000</v>
      </c>
      <c r="I108" s="329">
        <v>0.25</v>
      </c>
      <c r="J108" s="310">
        <f t="shared" si="4"/>
        <v>5625</v>
      </c>
      <c r="K108" s="310">
        <f t="shared" si="5"/>
        <v>750</v>
      </c>
    </row>
    <row r="109" spans="1:11" x14ac:dyDescent="0.2">
      <c r="A109" t="s">
        <v>461</v>
      </c>
      <c r="B109" t="s">
        <v>388</v>
      </c>
      <c r="C109" s="238" t="s">
        <v>367</v>
      </c>
      <c r="D109" t="s">
        <v>369</v>
      </c>
      <c r="E109" t="s">
        <v>54</v>
      </c>
      <c r="F109" s="330">
        <v>8</v>
      </c>
      <c r="G109" s="330">
        <v>8000</v>
      </c>
      <c r="H109" s="324">
        <f t="shared" si="3"/>
        <v>1000</v>
      </c>
      <c r="I109" s="329">
        <v>0.25</v>
      </c>
      <c r="J109" s="310">
        <f t="shared" si="4"/>
        <v>6000</v>
      </c>
      <c r="K109" s="310">
        <f t="shared" si="5"/>
        <v>750</v>
      </c>
    </row>
    <row r="110" spans="1:11" x14ac:dyDescent="0.2">
      <c r="A110" t="s">
        <v>461</v>
      </c>
      <c r="B110" t="s">
        <v>388</v>
      </c>
      <c r="C110" s="238" t="s">
        <v>367</v>
      </c>
      <c r="D110" t="s">
        <v>369</v>
      </c>
      <c r="E110" t="s">
        <v>54</v>
      </c>
      <c r="F110" s="330">
        <v>8.5</v>
      </c>
      <c r="G110" s="330">
        <v>8500</v>
      </c>
      <c r="H110" s="324">
        <f t="shared" si="3"/>
        <v>1000</v>
      </c>
      <c r="I110" s="329">
        <v>0.25</v>
      </c>
      <c r="J110" s="310">
        <f t="shared" si="4"/>
        <v>6375</v>
      </c>
      <c r="K110" s="310">
        <f t="shared" si="5"/>
        <v>750</v>
      </c>
    </row>
    <row r="111" spans="1:11" x14ac:dyDescent="0.2">
      <c r="A111" t="s">
        <v>461</v>
      </c>
      <c r="B111" t="s">
        <v>388</v>
      </c>
      <c r="C111" s="238" t="s">
        <v>367</v>
      </c>
      <c r="D111" t="s">
        <v>369</v>
      </c>
      <c r="E111" t="s">
        <v>54</v>
      </c>
      <c r="F111" s="330">
        <v>9</v>
      </c>
      <c r="G111" s="330">
        <v>9000</v>
      </c>
      <c r="H111" s="324">
        <f t="shared" si="3"/>
        <v>1000</v>
      </c>
      <c r="I111" s="329">
        <v>0.25</v>
      </c>
      <c r="J111" s="310">
        <f t="shared" si="4"/>
        <v>6750</v>
      </c>
      <c r="K111" s="310">
        <f t="shared" si="5"/>
        <v>750</v>
      </c>
    </row>
    <row r="112" spans="1:11" x14ac:dyDescent="0.2">
      <c r="A112" t="s">
        <v>461</v>
      </c>
      <c r="B112" t="s">
        <v>388</v>
      </c>
      <c r="C112" s="238" t="s">
        <v>367</v>
      </c>
      <c r="D112" t="s">
        <v>369</v>
      </c>
      <c r="E112" t="s">
        <v>54</v>
      </c>
      <c r="F112" s="330">
        <v>9.5</v>
      </c>
      <c r="G112" s="330">
        <v>9500</v>
      </c>
      <c r="H112" s="324">
        <f t="shared" si="3"/>
        <v>1000</v>
      </c>
      <c r="I112" s="329">
        <v>0.25</v>
      </c>
      <c r="J112" s="310">
        <f t="shared" si="4"/>
        <v>7125</v>
      </c>
      <c r="K112" s="310">
        <f t="shared" si="5"/>
        <v>750</v>
      </c>
    </row>
    <row r="113" spans="1:11" x14ac:dyDescent="0.2">
      <c r="A113" t="s">
        <v>461</v>
      </c>
      <c r="B113" t="s">
        <v>388</v>
      </c>
      <c r="C113" s="238" t="s">
        <v>367</v>
      </c>
      <c r="D113" t="s">
        <v>369</v>
      </c>
      <c r="E113" t="s">
        <v>54</v>
      </c>
      <c r="F113" s="330">
        <v>10</v>
      </c>
      <c r="G113" s="330">
        <v>10000</v>
      </c>
      <c r="H113" s="324">
        <f t="shared" si="3"/>
        <v>1000</v>
      </c>
      <c r="I113" s="329">
        <v>0.25</v>
      </c>
      <c r="J113" s="310">
        <f t="shared" si="4"/>
        <v>7500</v>
      </c>
      <c r="K113" s="310">
        <f t="shared" si="5"/>
        <v>750</v>
      </c>
    </row>
    <row r="114" spans="1:11" x14ac:dyDescent="0.2">
      <c r="A114" t="s">
        <v>461</v>
      </c>
      <c r="B114" t="s">
        <v>388</v>
      </c>
      <c r="C114" s="238" t="s">
        <v>367</v>
      </c>
      <c r="D114" t="s">
        <v>369</v>
      </c>
      <c r="E114" t="s">
        <v>55</v>
      </c>
      <c r="F114" s="330">
        <v>12</v>
      </c>
      <c r="G114" s="330">
        <v>12000</v>
      </c>
      <c r="H114" s="324">
        <f t="shared" si="3"/>
        <v>1000</v>
      </c>
      <c r="I114" s="329">
        <v>0.25</v>
      </c>
      <c r="J114" s="310">
        <f t="shared" si="4"/>
        <v>9000</v>
      </c>
      <c r="K114" s="310">
        <f t="shared" si="5"/>
        <v>750</v>
      </c>
    </row>
    <row r="115" spans="1:11" x14ac:dyDescent="0.2">
      <c r="A115" t="s">
        <v>461</v>
      </c>
      <c r="B115" t="s">
        <v>388</v>
      </c>
      <c r="C115" s="238" t="s">
        <v>367</v>
      </c>
      <c r="D115" t="s">
        <v>369</v>
      </c>
      <c r="E115" t="s">
        <v>55</v>
      </c>
      <c r="F115" s="330">
        <v>12.5</v>
      </c>
      <c r="G115" s="330">
        <v>12500</v>
      </c>
      <c r="H115" s="324">
        <f t="shared" si="3"/>
        <v>1000</v>
      </c>
      <c r="I115" s="329">
        <v>0.25</v>
      </c>
      <c r="J115" s="310">
        <f t="shared" si="4"/>
        <v>9375</v>
      </c>
      <c r="K115" s="310">
        <f t="shared" si="5"/>
        <v>750</v>
      </c>
    </row>
    <row r="116" spans="1:11" x14ac:dyDescent="0.2">
      <c r="A116" t="s">
        <v>461</v>
      </c>
      <c r="B116" t="s">
        <v>388</v>
      </c>
      <c r="C116" s="238" t="s">
        <v>367</v>
      </c>
      <c r="D116" t="s">
        <v>369</v>
      </c>
      <c r="E116" t="s">
        <v>55</v>
      </c>
      <c r="F116" s="330">
        <v>14</v>
      </c>
      <c r="G116" s="330">
        <v>12500</v>
      </c>
      <c r="H116" s="324">
        <f t="shared" si="3"/>
        <v>892.85714285714289</v>
      </c>
      <c r="I116" s="329">
        <v>0.25</v>
      </c>
      <c r="J116" s="310">
        <f t="shared" si="4"/>
        <v>9375</v>
      </c>
      <c r="K116" s="310">
        <f t="shared" si="5"/>
        <v>669.64285714285711</v>
      </c>
    </row>
    <row r="117" spans="1:11" x14ac:dyDescent="0.2">
      <c r="A117" t="s">
        <v>461</v>
      </c>
      <c r="B117" t="s">
        <v>388</v>
      </c>
      <c r="C117" s="238" t="s">
        <v>367</v>
      </c>
      <c r="D117" t="s">
        <v>369</v>
      </c>
      <c r="E117" t="s">
        <v>55</v>
      </c>
      <c r="F117" s="330">
        <v>15</v>
      </c>
      <c r="G117" s="330">
        <v>13500</v>
      </c>
      <c r="H117" s="324">
        <f t="shared" si="3"/>
        <v>900</v>
      </c>
      <c r="I117" s="329">
        <v>0.25</v>
      </c>
      <c r="J117" s="310">
        <f t="shared" si="4"/>
        <v>10125</v>
      </c>
      <c r="K117" s="310">
        <f t="shared" si="5"/>
        <v>675</v>
      </c>
    </row>
    <row r="118" spans="1:11" x14ac:dyDescent="0.2">
      <c r="A118" t="s">
        <v>461</v>
      </c>
      <c r="B118" t="s">
        <v>388</v>
      </c>
      <c r="C118" s="238" t="s">
        <v>367</v>
      </c>
      <c r="D118" t="s">
        <v>369</v>
      </c>
      <c r="E118" t="s">
        <v>55</v>
      </c>
      <c r="F118" s="330">
        <v>16</v>
      </c>
      <c r="G118" s="330">
        <v>14000</v>
      </c>
      <c r="H118" s="324">
        <f t="shared" si="3"/>
        <v>875</v>
      </c>
      <c r="I118" s="329">
        <v>0.25</v>
      </c>
      <c r="J118" s="310">
        <f t="shared" si="4"/>
        <v>10500</v>
      </c>
      <c r="K118" s="310">
        <f t="shared" si="5"/>
        <v>656.25</v>
      </c>
    </row>
    <row r="119" spans="1:11" x14ac:dyDescent="0.2">
      <c r="A119" t="s">
        <v>461</v>
      </c>
      <c r="B119" t="s">
        <v>388</v>
      </c>
      <c r="C119" s="238" t="s">
        <v>367</v>
      </c>
      <c r="D119" t="s">
        <v>369</v>
      </c>
      <c r="E119" t="s">
        <v>56</v>
      </c>
      <c r="F119" s="330">
        <v>22</v>
      </c>
      <c r="G119" s="330">
        <v>18500</v>
      </c>
      <c r="H119" s="324">
        <f t="shared" si="3"/>
        <v>840.90909090909088</v>
      </c>
      <c r="I119" s="329">
        <v>0.25</v>
      </c>
      <c r="J119" s="310">
        <f t="shared" si="4"/>
        <v>13875</v>
      </c>
      <c r="K119" s="310">
        <f t="shared" si="5"/>
        <v>630.68181818181813</v>
      </c>
    </row>
    <row r="120" spans="1:11" x14ac:dyDescent="0.2">
      <c r="A120" t="s">
        <v>461</v>
      </c>
      <c r="B120" t="s">
        <v>388</v>
      </c>
      <c r="C120" s="238" t="s">
        <v>367</v>
      </c>
      <c r="D120" t="s">
        <v>369</v>
      </c>
      <c r="E120" t="s">
        <v>56</v>
      </c>
      <c r="F120" s="330">
        <v>24</v>
      </c>
      <c r="G120" s="330">
        <v>20000</v>
      </c>
      <c r="H120" s="324">
        <f t="shared" si="3"/>
        <v>833.33333333333337</v>
      </c>
      <c r="I120" s="329">
        <v>0.25</v>
      </c>
      <c r="J120" s="310">
        <f t="shared" si="4"/>
        <v>15000</v>
      </c>
      <c r="K120" s="310">
        <f t="shared" si="5"/>
        <v>625</v>
      </c>
    </row>
    <row r="121" spans="1:11" x14ac:dyDescent="0.2">
      <c r="A121" t="s">
        <v>461</v>
      </c>
      <c r="B121" t="s">
        <v>388</v>
      </c>
      <c r="C121" s="238" t="s">
        <v>367</v>
      </c>
      <c r="D121" t="s">
        <v>369</v>
      </c>
      <c r="E121" t="s">
        <v>56</v>
      </c>
      <c r="F121" s="330">
        <v>24.5</v>
      </c>
      <c r="G121" s="330">
        <v>20500</v>
      </c>
      <c r="H121" s="324">
        <f t="shared" si="3"/>
        <v>836.73469387755097</v>
      </c>
      <c r="I121" s="329">
        <v>0.25</v>
      </c>
      <c r="J121" s="310">
        <f t="shared" si="4"/>
        <v>15375</v>
      </c>
      <c r="K121" s="310">
        <f t="shared" si="5"/>
        <v>627.55102040816325</v>
      </c>
    </row>
    <row r="122" spans="1:11" x14ac:dyDescent="0.2">
      <c r="A122" t="s">
        <v>461</v>
      </c>
      <c r="B122" t="s">
        <v>388</v>
      </c>
      <c r="C122" s="238" t="s">
        <v>367</v>
      </c>
      <c r="D122" t="s">
        <v>369</v>
      </c>
      <c r="E122" t="s">
        <v>56</v>
      </c>
      <c r="F122" s="330">
        <v>25</v>
      </c>
      <c r="G122" s="330">
        <v>21000</v>
      </c>
      <c r="H122" s="324">
        <f t="shared" si="3"/>
        <v>840</v>
      </c>
      <c r="I122" s="329">
        <v>0.25</v>
      </c>
      <c r="J122" s="310">
        <f t="shared" si="4"/>
        <v>15750</v>
      </c>
      <c r="K122" s="310">
        <f t="shared" si="5"/>
        <v>630</v>
      </c>
    </row>
    <row r="123" spans="1:11" x14ac:dyDescent="0.2">
      <c r="A123" t="s">
        <v>461</v>
      </c>
      <c r="B123" t="s">
        <v>388</v>
      </c>
      <c r="C123" s="238" t="s">
        <v>367</v>
      </c>
      <c r="D123" t="s">
        <v>369</v>
      </c>
      <c r="E123" t="s">
        <v>56</v>
      </c>
      <c r="F123" s="330">
        <v>25.5</v>
      </c>
      <c r="G123" s="330">
        <v>22000</v>
      </c>
      <c r="H123" s="324">
        <f t="shared" si="3"/>
        <v>862.74509803921569</v>
      </c>
      <c r="I123" s="329">
        <v>0.25</v>
      </c>
      <c r="J123" s="310">
        <f t="shared" si="4"/>
        <v>16500</v>
      </c>
      <c r="K123" s="310">
        <f t="shared" si="5"/>
        <v>647.05882352941171</v>
      </c>
    </row>
    <row r="124" spans="1:11" x14ac:dyDescent="0.2">
      <c r="A124" t="s">
        <v>461</v>
      </c>
      <c r="B124" t="s">
        <v>388</v>
      </c>
      <c r="C124" s="238" t="s">
        <v>367</v>
      </c>
      <c r="D124" t="s">
        <v>369</v>
      </c>
      <c r="E124" t="s">
        <v>56</v>
      </c>
      <c r="F124" s="330">
        <v>26</v>
      </c>
      <c r="G124" s="330">
        <v>22500</v>
      </c>
      <c r="H124" s="324">
        <f t="shared" si="3"/>
        <v>865.38461538461536</v>
      </c>
      <c r="I124" s="329">
        <v>0.25</v>
      </c>
      <c r="J124" s="310">
        <f t="shared" si="4"/>
        <v>16875</v>
      </c>
      <c r="K124" s="310">
        <f t="shared" si="5"/>
        <v>649.03846153846155</v>
      </c>
    </row>
    <row r="125" spans="1:11" x14ac:dyDescent="0.2">
      <c r="A125" t="s">
        <v>461</v>
      </c>
      <c r="B125" t="s">
        <v>388</v>
      </c>
      <c r="C125" s="238" t="s">
        <v>367</v>
      </c>
      <c r="D125" t="s">
        <v>369</v>
      </c>
      <c r="E125" t="s">
        <v>56</v>
      </c>
      <c r="F125" s="330">
        <v>27.5</v>
      </c>
      <c r="G125" s="330">
        <v>23000</v>
      </c>
      <c r="H125" s="324">
        <f t="shared" si="3"/>
        <v>836.36363636363637</v>
      </c>
      <c r="I125" s="329">
        <v>0.25</v>
      </c>
      <c r="J125" s="310">
        <f t="shared" si="4"/>
        <v>17250</v>
      </c>
      <c r="K125" s="310">
        <f t="shared" si="5"/>
        <v>627.27272727272725</v>
      </c>
    </row>
    <row r="126" spans="1:11" x14ac:dyDescent="0.2">
      <c r="A126" t="s">
        <v>461</v>
      </c>
      <c r="B126" t="s">
        <v>388</v>
      </c>
      <c r="C126" s="238" t="s">
        <v>367</v>
      </c>
      <c r="D126" t="s">
        <v>369</v>
      </c>
      <c r="E126" t="s">
        <v>56</v>
      </c>
      <c r="F126" s="330">
        <v>28</v>
      </c>
      <c r="G126" s="330">
        <v>23500</v>
      </c>
      <c r="H126" s="324">
        <f t="shared" si="3"/>
        <v>839.28571428571433</v>
      </c>
      <c r="I126" s="329">
        <v>0.25</v>
      </c>
      <c r="J126" s="310">
        <f t="shared" si="4"/>
        <v>17625</v>
      </c>
      <c r="K126" s="310">
        <f t="shared" si="5"/>
        <v>629.46428571428567</v>
      </c>
    </row>
    <row r="127" spans="1:11" x14ac:dyDescent="0.2">
      <c r="A127" t="s">
        <v>461</v>
      </c>
      <c r="B127" t="s">
        <v>388</v>
      </c>
      <c r="C127" s="238" t="s">
        <v>367</v>
      </c>
      <c r="D127" t="s">
        <v>369</v>
      </c>
      <c r="E127" t="s">
        <v>56</v>
      </c>
      <c r="F127" s="330">
        <v>29.5</v>
      </c>
      <c r="G127" s="330">
        <v>24500</v>
      </c>
      <c r="H127" s="324">
        <f t="shared" si="3"/>
        <v>830.50847457627117</v>
      </c>
      <c r="I127" s="329">
        <v>0.25</v>
      </c>
      <c r="J127" s="310">
        <f t="shared" si="4"/>
        <v>18375</v>
      </c>
      <c r="K127" s="310">
        <f t="shared" si="5"/>
        <v>622.88135593220341</v>
      </c>
    </row>
    <row r="128" spans="1:11" x14ac:dyDescent="0.2">
      <c r="A128" t="s">
        <v>461</v>
      </c>
      <c r="B128" t="s">
        <v>388</v>
      </c>
      <c r="C128" s="238" t="s">
        <v>367</v>
      </c>
      <c r="D128" t="s">
        <v>369</v>
      </c>
      <c r="E128" t="s">
        <v>56</v>
      </c>
      <c r="F128" s="330">
        <v>30</v>
      </c>
      <c r="G128" s="330">
        <v>25000</v>
      </c>
      <c r="H128" s="324">
        <f t="shared" si="3"/>
        <v>833.33333333333337</v>
      </c>
      <c r="I128" s="329">
        <v>0.25</v>
      </c>
      <c r="J128" s="310">
        <f t="shared" si="4"/>
        <v>18750</v>
      </c>
      <c r="K128" s="310">
        <f t="shared" si="5"/>
        <v>625</v>
      </c>
    </row>
    <row r="129" spans="1:11" x14ac:dyDescent="0.2">
      <c r="A129" t="s">
        <v>461</v>
      </c>
      <c r="B129" t="s">
        <v>388</v>
      </c>
      <c r="C129" s="238" t="s">
        <v>367</v>
      </c>
      <c r="D129" t="s">
        <v>369</v>
      </c>
      <c r="E129" t="s">
        <v>56</v>
      </c>
      <c r="F129" s="330">
        <v>30</v>
      </c>
      <c r="G129" s="330">
        <v>26000</v>
      </c>
      <c r="H129" s="324">
        <f t="shared" si="3"/>
        <v>866.66666666666663</v>
      </c>
      <c r="I129" s="329">
        <v>0.25</v>
      </c>
      <c r="J129" s="310">
        <f t="shared" si="4"/>
        <v>19500</v>
      </c>
      <c r="K129" s="310">
        <f t="shared" si="5"/>
        <v>650</v>
      </c>
    </row>
    <row r="130" spans="1:11" x14ac:dyDescent="0.2">
      <c r="A130" t="s">
        <v>371</v>
      </c>
      <c r="B130" t="s">
        <v>72</v>
      </c>
      <c r="C130" t="s">
        <v>367</v>
      </c>
      <c r="D130" t="s">
        <v>120</v>
      </c>
      <c r="E130" t="s">
        <v>60</v>
      </c>
      <c r="F130" s="330">
        <v>0.72</v>
      </c>
      <c r="G130" s="330">
        <v>1400</v>
      </c>
      <c r="H130" s="310">
        <f t="shared" ref="H130:H193" si="6">G130/F130</f>
        <v>1944.4444444444446</v>
      </c>
      <c r="I130" s="311">
        <v>0.15</v>
      </c>
      <c r="J130" s="310">
        <f t="shared" ref="J130:J193" si="7">G130*(1-I130)</f>
        <v>1190</v>
      </c>
      <c r="K130" s="310">
        <f t="shared" ref="K130:K193" si="8">J130/F130</f>
        <v>1652.7777777777778</v>
      </c>
    </row>
    <row r="131" spans="1:11" x14ac:dyDescent="0.2">
      <c r="A131" t="s">
        <v>371</v>
      </c>
      <c r="B131" t="s">
        <v>72</v>
      </c>
      <c r="C131" t="s">
        <v>366</v>
      </c>
      <c r="D131" t="s">
        <v>120</v>
      </c>
      <c r="E131" t="s">
        <v>60</v>
      </c>
      <c r="F131" s="330">
        <v>0.72</v>
      </c>
      <c r="G131" s="330">
        <v>1400</v>
      </c>
      <c r="H131" s="310">
        <f t="shared" si="6"/>
        <v>1944.4444444444446</v>
      </c>
      <c r="I131" s="311">
        <v>0.15</v>
      </c>
      <c r="J131" s="310">
        <f t="shared" si="7"/>
        <v>1190</v>
      </c>
      <c r="K131" s="310">
        <f t="shared" si="8"/>
        <v>1652.7777777777778</v>
      </c>
    </row>
    <row r="132" spans="1:11" x14ac:dyDescent="0.2">
      <c r="A132" t="s">
        <v>371</v>
      </c>
      <c r="B132" t="s">
        <v>72</v>
      </c>
      <c r="C132" t="s">
        <v>367</v>
      </c>
      <c r="D132" t="s">
        <v>120</v>
      </c>
      <c r="E132" t="s">
        <v>61</v>
      </c>
      <c r="F132" s="330">
        <v>0.72</v>
      </c>
      <c r="G132" s="330">
        <v>1200</v>
      </c>
      <c r="H132" s="310">
        <f t="shared" si="6"/>
        <v>1666.6666666666667</v>
      </c>
      <c r="I132" s="311">
        <v>0.15</v>
      </c>
      <c r="J132" s="310">
        <f t="shared" si="7"/>
        <v>1020</v>
      </c>
      <c r="K132" s="310">
        <f t="shared" si="8"/>
        <v>1416.6666666666667</v>
      </c>
    </row>
    <row r="133" spans="1:11" x14ac:dyDescent="0.2">
      <c r="A133" t="s">
        <v>371</v>
      </c>
      <c r="B133" t="s">
        <v>72</v>
      </c>
      <c r="C133" t="s">
        <v>366</v>
      </c>
      <c r="D133" t="s">
        <v>120</v>
      </c>
      <c r="E133" t="s">
        <v>61</v>
      </c>
      <c r="F133" s="330">
        <v>0.72</v>
      </c>
      <c r="G133" s="330">
        <v>1200</v>
      </c>
      <c r="H133" s="310">
        <f t="shared" si="6"/>
        <v>1666.6666666666667</v>
      </c>
      <c r="I133" s="311">
        <v>0.15</v>
      </c>
      <c r="J133" s="310">
        <f t="shared" si="7"/>
        <v>1020</v>
      </c>
      <c r="K133" s="310">
        <f t="shared" si="8"/>
        <v>1416.6666666666667</v>
      </c>
    </row>
    <row r="134" spans="1:11" x14ac:dyDescent="0.2">
      <c r="A134" t="s">
        <v>371</v>
      </c>
      <c r="B134" t="s">
        <v>72</v>
      </c>
      <c r="C134" t="s">
        <v>366</v>
      </c>
      <c r="D134" t="s">
        <v>369</v>
      </c>
      <c r="E134" t="s">
        <v>52</v>
      </c>
      <c r="F134" s="330">
        <v>2.25</v>
      </c>
      <c r="G134" s="330">
        <v>3700</v>
      </c>
      <c r="H134" s="310">
        <f t="shared" si="6"/>
        <v>1644.4444444444443</v>
      </c>
      <c r="I134" s="311">
        <v>0.15</v>
      </c>
      <c r="J134" s="310">
        <f t="shared" si="7"/>
        <v>3145</v>
      </c>
      <c r="K134" s="310">
        <f t="shared" si="8"/>
        <v>1397.7777777777778</v>
      </c>
    </row>
    <row r="135" spans="1:11" x14ac:dyDescent="0.2">
      <c r="A135" t="s">
        <v>371</v>
      </c>
      <c r="B135" t="s">
        <v>72</v>
      </c>
      <c r="C135" t="s">
        <v>367</v>
      </c>
      <c r="D135" t="s">
        <v>369</v>
      </c>
      <c r="E135" t="s">
        <v>52</v>
      </c>
      <c r="F135" s="330">
        <v>2.25</v>
      </c>
      <c r="G135" s="330">
        <v>3200</v>
      </c>
      <c r="H135" s="310">
        <f t="shared" si="6"/>
        <v>1422.2222222222222</v>
      </c>
      <c r="I135" s="311">
        <v>0.15</v>
      </c>
      <c r="J135" s="310">
        <f t="shared" si="7"/>
        <v>2720</v>
      </c>
      <c r="K135" s="310">
        <f t="shared" si="8"/>
        <v>1208.8888888888889</v>
      </c>
    </row>
    <row r="136" spans="1:11" x14ac:dyDescent="0.2">
      <c r="A136" t="s">
        <v>371</v>
      </c>
      <c r="B136" t="s">
        <v>72</v>
      </c>
      <c r="C136" t="s">
        <v>366</v>
      </c>
      <c r="D136" t="s">
        <v>369</v>
      </c>
      <c r="E136" t="s">
        <v>53</v>
      </c>
      <c r="F136" s="330">
        <v>3</v>
      </c>
      <c r="G136" s="330">
        <v>4800</v>
      </c>
      <c r="H136" s="310">
        <f t="shared" si="6"/>
        <v>1600</v>
      </c>
      <c r="I136" s="311">
        <v>0.15</v>
      </c>
      <c r="J136" s="310">
        <f t="shared" si="7"/>
        <v>4080</v>
      </c>
      <c r="K136" s="310">
        <f t="shared" si="8"/>
        <v>1360</v>
      </c>
    </row>
    <row r="137" spans="1:11" x14ac:dyDescent="0.2">
      <c r="A137" t="s">
        <v>371</v>
      </c>
      <c r="B137" t="s">
        <v>72</v>
      </c>
      <c r="C137" t="s">
        <v>367</v>
      </c>
      <c r="D137" t="s">
        <v>120</v>
      </c>
      <c r="E137" t="s">
        <v>62</v>
      </c>
      <c r="F137" s="330">
        <v>1.3</v>
      </c>
      <c r="G137" s="330">
        <v>1900</v>
      </c>
      <c r="H137" s="310">
        <f t="shared" si="6"/>
        <v>1461.5384615384614</v>
      </c>
      <c r="I137" s="311">
        <v>0.15</v>
      </c>
      <c r="J137" s="310">
        <f t="shared" si="7"/>
        <v>1615</v>
      </c>
      <c r="K137" s="310">
        <f t="shared" si="8"/>
        <v>1242.3076923076924</v>
      </c>
    </row>
    <row r="138" spans="1:11" x14ac:dyDescent="0.2">
      <c r="A138" t="s">
        <v>371</v>
      </c>
      <c r="B138" t="s">
        <v>72</v>
      </c>
      <c r="C138" t="s">
        <v>366</v>
      </c>
      <c r="D138" t="s">
        <v>120</v>
      </c>
      <c r="E138" t="s">
        <v>62</v>
      </c>
      <c r="F138" s="330">
        <v>1.3</v>
      </c>
      <c r="G138" s="330">
        <v>1900</v>
      </c>
      <c r="H138" s="310">
        <f t="shared" si="6"/>
        <v>1461.5384615384614</v>
      </c>
      <c r="I138" s="311">
        <v>0.15</v>
      </c>
      <c r="J138" s="310">
        <f t="shared" si="7"/>
        <v>1615</v>
      </c>
      <c r="K138" s="310">
        <f t="shared" si="8"/>
        <v>1242.3076923076924</v>
      </c>
    </row>
    <row r="139" spans="1:11" x14ac:dyDescent="0.2">
      <c r="A139" t="s">
        <v>371</v>
      </c>
      <c r="B139" t="s">
        <v>72</v>
      </c>
      <c r="C139" t="s">
        <v>367</v>
      </c>
      <c r="D139" t="s">
        <v>369</v>
      </c>
      <c r="E139" t="s">
        <v>53</v>
      </c>
      <c r="F139" s="330">
        <v>3</v>
      </c>
      <c r="G139" s="330">
        <v>4200</v>
      </c>
      <c r="H139" s="310">
        <f t="shared" si="6"/>
        <v>1400</v>
      </c>
      <c r="I139" s="311">
        <v>0.15</v>
      </c>
      <c r="J139" s="310">
        <f t="shared" si="7"/>
        <v>3570</v>
      </c>
      <c r="K139" s="310">
        <f t="shared" si="8"/>
        <v>1190</v>
      </c>
    </row>
    <row r="140" spans="1:11" x14ac:dyDescent="0.2">
      <c r="A140" t="s">
        <v>371</v>
      </c>
      <c r="B140" t="s">
        <v>72</v>
      </c>
      <c r="C140" t="s">
        <v>366</v>
      </c>
      <c r="D140" t="s">
        <v>369</v>
      </c>
      <c r="E140" t="s">
        <v>54</v>
      </c>
      <c r="F140" s="330">
        <v>4.5</v>
      </c>
      <c r="G140" s="330">
        <v>7000</v>
      </c>
      <c r="H140" s="310">
        <f t="shared" si="6"/>
        <v>1555.5555555555557</v>
      </c>
      <c r="I140" s="311">
        <v>0.15</v>
      </c>
      <c r="J140" s="310">
        <f t="shared" si="7"/>
        <v>5950</v>
      </c>
      <c r="K140" s="310">
        <f t="shared" si="8"/>
        <v>1322.2222222222222</v>
      </c>
    </row>
    <row r="141" spans="1:11" x14ac:dyDescent="0.2">
      <c r="A141" t="s">
        <v>371</v>
      </c>
      <c r="B141" t="s">
        <v>72</v>
      </c>
      <c r="C141" t="s">
        <v>367</v>
      </c>
      <c r="D141" t="s">
        <v>369</v>
      </c>
      <c r="E141" t="s">
        <v>54</v>
      </c>
      <c r="F141" s="330">
        <v>4.5</v>
      </c>
      <c r="G141" s="330">
        <v>5300</v>
      </c>
      <c r="H141" s="310">
        <f t="shared" si="6"/>
        <v>1177.7777777777778</v>
      </c>
      <c r="I141" s="311">
        <v>0.15</v>
      </c>
      <c r="J141" s="310">
        <f t="shared" si="7"/>
        <v>4505</v>
      </c>
      <c r="K141" s="310">
        <f t="shared" si="8"/>
        <v>1001.1111111111111</v>
      </c>
    </row>
    <row r="142" spans="1:11" x14ac:dyDescent="0.2">
      <c r="A142" t="s">
        <v>371</v>
      </c>
      <c r="B142" t="s">
        <v>72</v>
      </c>
      <c r="C142" t="s">
        <v>366</v>
      </c>
      <c r="D142" t="s">
        <v>369</v>
      </c>
      <c r="E142" t="s">
        <v>55</v>
      </c>
      <c r="F142" s="330">
        <v>6</v>
      </c>
      <c r="G142" s="330">
        <v>8500</v>
      </c>
      <c r="H142" s="310">
        <f t="shared" si="6"/>
        <v>1416.6666666666667</v>
      </c>
      <c r="I142" s="311">
        <v>0.15</v>
      </c>
      <c r="J142" s="310">
        <f t="shared" si="7"/>
        <v>7225</v>
      </c>
      <c r="K142" s="310">
        <f t="shared" si="8"/>
        <v>1204.1666666666667</v>
      </c>
    </row>
    <row r="143" spans="1:11" x14ac:dyDescent="0.2">
      <c r="A143" t="s">
        <v>371</v>
      </c>
      <c r="B143" t="s">
        <v>72</v>
      </c>
      <c r="C143" t="s">
        <v>367</v>
      </c>
      <c r="D143" t="s">
        <v>369</v>
      </c>
      <c r="E143" t="s">
        <v>55</v>
      </c>
      <c r="F143" s="330">
        <v>6</v>
      </c>
      <c r="G143" s="330">
        <v>7000</v>
      </c>
      <c r="H143" s="310">
        <f t="shared" si="6"/>
        <v>1166.6666666666667</v>
      </c>
      <c r="I143" s="311">
        <v>0.15</v>
      </c>
      <c r="J143" s="310">
        <f t="shared" si="7"/>
        <v>5950</v>
      </c>
      <c r="K143" s="310">
        <f t="shared" si="8"/>
        <v>991.66666666666663</v>
      </c>
    </row>
    <row r="144" spans="1:11" x14ac:dyDescent="0.2">
      <c r="A144" t="s">
        <v>371</v>
      </c>
      <c r="B144" t="s">
        <v>72</v>
      </c>
      <c r="C144" t="s">
        <v>367</v>
      </c>
      <c r="D144" t="s">
        <v>120</v>
      </c>
      <c r="E144" t="s">
        <v>63</v>
      </c>
      <c r="F144" s="330">
        <v>1.3</v>
      </c>
      <c r="G144" s="330">
        <v>1700</v>
      </c>
      <c r="H144" s="310">
        <f t="shared" si="6"/>
        <v>1307.6923076923076</v>
      </c>
      <c r="I144" s="311">
        <v>0.15</v>
      </c>
      <c r="J144" s="310">
        <f t="shared" si="7"/>
        <v>1445</v>
      </c>
      <c r="K144" s="310">
        <f t="shared" si="8"/>
        <v>1111.5384615384614</v>
      </c>
    </row>
    <row r="145" spans="1:11" x14ac:dyDescent="0.2">
      <c r="A145" t="s">
        <v>371</v>
      </c>
      <c r="B145" t="s">
        <v>72</v>
      </c>
      <c r="C145" t="s">
        <v>366</v>
      </c>
      <c r="D145" t="s">
        <v>120</v>
      </c>
      <c r="E145" t="s">
        <v>63</v>
      </c>
      <c r="F145" s="330">
        <v>1.3</v>
      </c>
      <c r="G145" s="330">
        <v>1700</v>
      </c>
      <c r="H145" s="310">
        <f t="shared" si="6"/>
        <v>1307.6923076923076</v>
      </c>
      <c r="I145" s="311">
        <v>0.15</v>
      </c>
      <c r="J145" s="310">
        <f t="shared" si="7"/>
        <v>1445</v>
      </c>
      <c r="K145" s="310">
        <f t="shared" si="8"/>
        <v>1111.5384615384614</v>
      </c>
    </row>
    <row r="146" spans="1:11" x14ac:dyDescent="0.2">
      <c r="A146" t="s">
        <v>371</v>
      </c>
      <c r="B146" t="s">
        <v>72</v>
      </c>
      <c r="C146" t="s">
        <v>366</v>
      </c>
      <c r="D146" t="s">
        <v>369</v>
      </c>
      <c r="E146" t="s">
        <v>56</v>
      </c>
      <c r="F146" s="330">
        <v>9</v>
      </c>
      <c r="G146" s="330">
        <v>12000</v>
      </c>
      <c r="H146" s="310">
        <f t="shared" si="6"/>
        <v>1333.3333333333333</v>
      </c>
      <c r="I146" s="311">
        <v>0.15</v>
      </c>
      <c r="J146" s="310">
        <f t="shared" si="7"/>
        <v>10200</v>
      </c>
      <c r="K146" s="310">
        <f t="shared" si="8"/>
        <v>1133.3333333333333</v>
      </c>
    </row>
    <row r="147" spans="1:11" x14ac:dyDescent="0.2">
      <c r="A147" t="s">
        <v>371</v>
      </c>
      <c r="B147" t="s">
        <v>72</v>
      </c>
      <c r="C147" t="s">
        <v>367</v>
      </c>
      <c r="D147" t="s">
        <v>369</v>
      </c>
      <c r="E147" t="s">
        <v>56</v>
      </c>
      <c r="F147" s="330">
        <v>9</v>
      </c>
      <c r="G147" s="330">
        <v>10000</v>
      </c>
      <c r="H147" s="310">
        <f t="shared" si="6"/>
        <v>1111.1111111111111</v>
      </c>
      <c r="I147" s="311">
        <v>0.15</v>
      </c>
      <c r="J147" s="310">
        <f t="shared" si="7"/>
        <v>8500</v>
      </c>
      <c r="K147" s="310">
        <f t="shared" si="8"/>
        <v>944.44444444444446</v>
      </c>
    </row>
    <row r="148" spans="1:11" x14ac:dyDescent="0.2">
      <c r="A148" t="s">
        <v>371</v>
      </c>
      <c r="B148" t="s">
        <v>72</v>
      </c>
      <c r="C148" t="s">
        <v>366</v>
      </c>
      <c r="D148" t="s">
        <v>369</v>
      </c>
      <c r="E148" t="s">
        <v>57</v>
      </c>
      <c r="F148" s="330">
        <v>12.5</v>
      </c>
      <c r="G148" s="330">
        <v>17000</v>
      </c>
      <c r="H148" s="310">
        <f t="shared" si="6"/>
        <v>1360</v>
      </c>
      <c r="I148" s="311">
        <v>0.15</v>
      </c>
      <c r="J148" s="310">
        <f t="shared" si="7"/>
        <v>14450</v>
      </c>
      <c r="K148" s="310">
        <f t="shared" si="8"/>
        <v>1156</v>
      </c>
    </row>
    <row r="149" spans="1:11" x14ac:dyDescent="0.2">
      <c r="A149" t="s">
        <v>371</v>
      </c>
      <c r="B149" t="s">
        <v>72</v>
      </c>
      <c r="C149" t="s">
        <v>367</v>
      </c>
      <c r="D149" t="s">
        <v>369</v>
      </c>
      <c r="E149" t="s">
        <v>57</v>
      </c>
      <c r="F149" s="330">
        <v>12.5</v>
      </c>
      <c r="G149" s="330">
        <v>14000</v>
      </c>
      <c r="H149" s="310">
        <f t="shared" si="6"/>
        <v>1120</v>
      </c>
      <c r="I149" s="311">
        <v>0.15</v>
      </c>
      <c r="J149" s="310">
        <f t="shared" si="7"/>
        <v>11900</v>
      </c>
      <c r="K149" s="310">
        <f t="shared" si="8"/>
        <v>952</v>
      </c>
    </row>
    <row r="150" spans="1:11" x14ac:dyDescent="0.2">
      <c r="A150" t="s">
        <v>371</v>
      </c>
      <c r="B150" t="s">
        <v>72</v>
      </c>
      <c r="C150" t="s">
        <v>366</v>
      </c>
      <c r="D150" t="s">
        <v>369</v>
      </c>
      <c r="E150" t="s">
        <v>65</v>
      </c>
      <c r="F150" s="330">
        <v>18</v>
      </c>
      <c r="G150" s="330">
        <v>23000</v>
      </c>
      <c r="H150" s="310">
        <f t="shared" si="6"/>
        <v>1277.7777777777778</v>
      </c>
      <c r="I150" s="311">
        <v>0.15</v>
      </c>
      <c r="J150" s="310">
        <f t="shared" si="7"/>
        <v>19550</v>
      </c>
      <c r="K150" s="310">
        <f t="shared" si="8"/>
        <v>1086.1111111111111</v>
      </c>
    </row>
    <row r="151" spans="1:11" x14ac:dyDescent="0.2">
      <c r="A151" t="s">
        <v>371</v>
      </c>
      <c r="B151" t="s">
        <v>72</v>
      </c>
      <c r="C151" t="s">
        <v>367</v>
      </c>
      <c r="D151" t="s">
        <v>369</v>
      </c>
      <c r="E151" t="s">
        <v>65</v>
      </c>
      <c r="F151" s="330">
        <v>19.8</v>
      </c>
      <c r="G151" s="330">
        <v>19000</v>
      </c>
      <c r="H151" s="310">
        <f t="shared" si="6"/>
        <v>959.59595959595958</v>
      </c>
      <c r="I151" s="311">
        <v>0.15</v>
      </c>
      <c r="J151" s="310">
        <f t="shared" si="7"/>
        <v>16150</v>
      </c>
      <c r="K151" s="310">
        <f t="shared" si="8"/>
        <v>815.65656565656559</v>
      </c>
    </row>
    <row r="152" spans="1:11" x14ac:dyDescent="0.2">
      <c r="A152" t="s">
        <v>371</v>
      </c>
      <c r="B152" t="s">
        <v>72</v>
      </c>
      <c r="C152" t="s">
        <v>367</v>
      </c>
      <c r="D152" t="s">
        <v>369</v>
      </c>
      <c r="E152" t="s">
        <v>66</v>
      </c>
      <c r="F152" s="330">
        <v>25</v>
      </c>
      <c r="G152" s="330">
        <v>21000</v>
      </c>
      <c r="H152" s="310">
        <f t="shared" si="6"/>
        <v>840</v>
      </c>
      <c r="I152" s="311">
        <v>0.15</v>
      </c>
      <c r="J152" s="310">
        <f t="shared" si="7"/>
        <v>17850</v>
      </c>
      <c r="K152" s="310">
        <f t="shared" si="8"/>
        <v>714</v>
      </c>
    </row>
    <row r="153" spans="1:11" x14ac:dyDescent="0.2">
      <c r="A153" t="s">
        <v>371</v>
      </c>
      <c r="B153" t="s">
        <v>72</v>
      </c>
      <c r="C153" t="s">
        <v>366</v>
      </c>
      <c r="D153" t="s">
        <v>369</v>
      </c>
      <c r="E153" t="s">
        <v>66</v>
      </c>
      <c r="F153" s="330">
        <v>25</v>
      </c>
      <c r="G153" s="330">
        <v>21000</v>
      </c>
      <c r="H153" s="310">
        <f t="shared" si="6"/>
        <v>840</v>
      </c>
      <c r="I153" s="311">
        <v>0.15</v>
      </c>
      <c r="J153" s="310">
        <f t="shared" si="7"/>
        <v>17850</v>
      </c>
      <c r="K153" s="310">
        <f t="shared" si="8"/>
        <v>714</v>
      </c>
    </row>
    <row r="154" spans="1:11" x14ac:dyDescent="0.2">
      <c r="A154" t="s">
        <v>371</v>
      </c>
      <c r="B154" t="s">
        <v>69</v>
      </c>
      <c r="C154" t="s">
        <v>366</v>
      </c>
      <c r="D154" t="s">
        <v>120</v>
      </c>
      <c r="E154" t="s">
        <v>60</v>
      </c>
      <c r="F154" s="330">
        <v>0.72</v>
      </c>
      <c r="G154" s="330">
        <v>1400</v>
      </c>
      <c r="H154" s="310">
        <f t="shared" si="6"/>
        <v>1944.4444444444446</v>
      </c>
      <c r="I154" s="311">
        <v>0.15</v>
      </c>
      <c r="J154" s="310">
        <f t="shared" si="7"/>
        <v>1190</v>
      </c>
      <c r="K154" s="310">
        <f t="shared" si="8"/>
        <v>1652.7777777777778</v>
      </c>
    </row>
    <row r="155" spans="1:11" x14ac:dyDescent="0.2">
      <c r="A155" t="s">
        <v>371</v>
      </c>
      <c r="B155" t="s">
        <v>69</v>
      </c>
      <c r="C155" t="s">
        <v>366</v>
      </c>
      <c r="D155" t="s">
        <v>120</v>
      </c>
      <c r="E155" t="s">
        <v>61</v>
      </c>
      <c r="F155" s="330">
        <v>0.72</v>
      </c>
      <c r="G155" s="330">
        <v>1400</v>
      </c>
      <c r="H155" s="310">
        <f t="shared" si="6"/>
        <v>1944.4444444444446</v>
      </c>
      <c r="I155" s="311">
        <v>0.15</v>
      </c>
      <c r="J155" s="310">
        <f t="shared" si="7"/>
        <v>1190</v>
      </c>
      <c r="K155" s="310">
        <f t="shared" si="8"/>
        <v>1652.7777777777778</v>
      </c>
    </row>
    <row r="156" spans="1:11" x14ac:dyDescent="0.2">
      <c r="A156" t="s">
        <v>371</v>
      </c>
      <c r="B156" t="s">
        <v>69</v>
      </c>
      <c r="C156" t="s">
        <v>366</v>
      </c>
      <c r="D156" t="s">
        <v>369</v>
      </c>
      <c r="E156" t="s">
        <v>52</v>
      </c>
      <c r="F156" s="330">
        <v>2.25</v>
      </c>
      <c r="G156" s="330">
        <v>3700</v>
      </c>
      <c r="H156" s="310">
        <f t="shared" si="6"/>
        <v>1644.4444444444443</v>
      </c>
      <c r="I156" s="311">
        <v>0.15</v>
      </c>
      <c r="J156" s="310">
        <f t="shared" si="7"/>
        <v>3145</v>
      </c>
      <c r="K156" s="310">
        <f t="shared" si="8"/>
        <v>1397.7777777777778</v>
      </c>
    </row>
    <row r="157" spans="1:11" x14ac:dyDescent="0.2">
      <c r="A157" t="s">
        <v>371</v>
      </c>
      <c r="B157" t="s">
        <v>69</v>
      </c>
      <c r="C157" t="s">
        <v>366</v>
      </c>
      <c r="D157" t="s">
        <v>369</v>
      </c>
      <c r="E157" t="s">
        <v>53</v>
      </c>
      <c r="F157" s="330">
        <v>3</v>
      </c>
      <c r="G157" s="330">
        <v>4800</v>
      </c>
      <c r="H157" s="310">
        <f t="shared" si="6"/>
        <v>1600</v>
      </c>
      <c r="I157" s="311">
        <v>0.15</v>
      </c>
      <c r="J157" s="310">
        <f t="shared" si="7"/>
        <v>4080</v>
      </c>
      <c r="K157" s="310">
        <f t="shared" si="8"/>
        <v>1360</v>
      </c>
    </row>
    <row r="158" spans="1:11" x14ac:dyDescent="0.2">
      <c r="A158" t="s">
        <v>371</v>
      </c>
      <c r="B158" t="s">
        <v>69</v>
      </c>
      <c r="C158" t="s">
        <v>366</v>
      </c>
      <c r="D158" t="s">
        <v>369</v>
      </c>
      <c r="E158" t="s">
        <v>54</v>
      </c>
      <c r="F158" s="330">
        <v>4.5</v>
      </c>
      <c r="G158" s="330">
        <v>7000</v>
      </c>
      <c r="H158" s="310">
        <f t="shared" si="6"/>
        <v>1555.5555555555557</v>
      </c>
      <c r="I158" s="311">
        <v>0.15</v>
      </c>
      <c r="J158" s="310">
        <f t="shared" si="7"/>
        <v>5950</v>
      </c>
      <c r="K158" s="310">
        <f t="shared" si="8"/>
        <v>1322.2222222222222</v>
      </c>
    </row>
    <row r="159" spans="1:11" x14ac:dyDescent="0.2">
      <c r="A159" t="s">
        <v>371</v>
      </c>
      <c r="B159" t="s">
        <v>69</v>
      </c>
      <c r="C159" t="s">
        <v>366</v>
      </c>
      <c r="D159" t="s">
        <v>120</v>
      </c>
      <c r="E159" t="s">
        <v>62</v>
      </c>
      <c r="F159" s="330">
        <v>1.3</v>
      </c>
      <c r="G159" s="330">
        <v>1900</v>
      </c>
      <c r="H159" s="310">
        <f t="shared" si="6"/>
        <v>1461.5384615384614</v>
      </c>
      <c r="I159" s="311">
        <v>0.15</v>
      </c>
      <c r="J159" s="310">
        <f t="shared" si="7"/>
        <v>1615</v>
      </c>
      <c r="K159" s="310">
        <f t="shared" si="8"/>
        <v>1242.3076923076924</v>
      </c>
    </row>
    <row r="160" spans="1:11" x14ac:dyDescent="0.2">
      <c r="A160" t="s">
        <v>371</v>
      </c>
      <c r="B160" t="s">
        <v>69</v>
      </c>
      <c r="C160" t="s">
        <v>366</v>
      </c>
      <c r="D160" t="s">
        <v>120</v>
      </c>
      <c r="E160" t="s">
        <v>63</v>
      </c>
      <c r="F160" s="330">
        <v>1.3</v>
      </c>
      <c r="G160" s="330">
        <v>1900</v>
      </c>
      <c r="H160" s="310">
        <f t="shared" si="6"/>
        <v>1461.5384615384614</v>
      </c>
      <c r="I160" s="311">
        <v>0.15</v>
      </c>
      <c r="J160" s="310">
        <f t="shared" si="7"/>
        <v>1615</v>
      </c>
      <c r="K160" s="310">
        <f t="shared" si="8"/>
        <v>1242.3076923076924</v>
      </c>
    </row>
    <row r="161" spans="1:11" x14ac:dyDescent="0.2">
      <c r="A161" t="s">
        <v>371</v>
      </c>
      <c r="B161" t="s">
        <v>69</v>
      </c>
      <c r="C161" t="s">
        <v>366</v>
      </c>
      <c r="D161" t="s">
        <v>369</v>
      </c>
      <c r="E161" t="s">
        <v>55</v>
      </c>
      <c r="F161" s="330">
        <v>6</v>
      </c>
      <c r="G161" s="330">
        <v>8500</v>
      </c>
      <c r="H161" s="310">
        <f t="shared" si="6"/>
        <v>1416.6666666666667</v>
      </c>
      <c r="I161" s="311">
        <v>0.15</v>
      </c>
      <c r="J161" s="310">
        <f t="shared" si="7"/>
        <v>7225</v>
      </c>
      <c r="K161" s="310">
        <f t="shared" si="8"/>
        <v>1204.1666666666667</v>
      </c>
    </row>
    <row r="162" spans="1:11" x14ac:dyDescent="0.2">
      <c r="A162" t="s">
        <v>371</v>
      </c>
      <c r="B162" t="s">
        <v>69</v>
      </c>
      <c r="C162" t="s">
        <v>366</v>
      </c>
      <c r="D162" t="s">
        <v>369</v>
      </c>
      <c r="E162" t="s">
        <v>56</v>
      </c>
      <c r="F162" s="330">
        <v>9</v>
      </c>
      <c r="G162" s="330">
        <v>12000</v>
      </c>
      <c r="H162" s="310">
        <f t="shared" si="6"/>
        <v>1333.3333333333333</v>
      </c>
      <c r="I162" s="311">
        <v>0.15</v>
      </c>
      <c r="J162" s="310">
        <f t="shared" si="7"/>
        <v>10200</v>
      </c>
      <c r="K162" s="310">
        <f t="shared" si="8"/>
        <v>1133.3333333333333</v>
      </c>
    </row>
    <row r="163" spans="1:11" x14ac:dyDescent="0.2">
      <c r="A163" t="s">
        <v>371</v>
      </c>
      <c r="B163" t="s">
        <v>68</v>
      </c>
      <c r="C163" t="s">
        <v>367</v>
      </c>
      <c r="D163" t="s">
        <v>120</v>
      </c>
      <c r="E163" t="s">
        <v>60</v>
      </c>
      <c r="F163" s="330">
        <v>0.72</v>
      </c>
      <c r="G163" s="330">
        <v>1400</v>
      </c>
      <c r="H163" s="310">
        <f t="shared" si="6"/>
        <v>1944.4444444444446</v>
      </c>
      <c r="I163" s="311">
        <v>0.15</v>
      </c>
      <c r="J163" s="310">
        <f t="shared" si="7"/>
        <v>1190</v>
      </c>
      <c r="K163" s="310">
        <f t="shared" si="8"/>
        <v>1652.7777777777778</v>
      </c>
    </row>
    <row r="164" spans="1:11" x14ac:dyDescent="0.2">
      <c r="A164" t="s">
        <v>371</v>
      </c>
      <c r="B164" t="s">
        <v>68</v>
      </c>
      <c r="C164" t="s">
        <v>366</v>
      </c>
      <c r="D164" t="s">
        <v>120</v>
      </c>
      <c r="E164" t="s">
        <v>60</v>
      </c>
      <c r="F164" s="330">
        <v>0.72</v>
      </c>
      <c r="G164" s="330">
        <v>1400</v>
      </c>
      <c r="H164" s="310">
        <f t="shared" si="6"/>
        <v>1944.4444444444446</v>
      </c>
      <c r="I164" s="311">
        <v>0.15</v>
      </c>
      <c r="J164" s="310">
        <f t="shared" si="7"/>
        <v>1190</v>
      </c>
      <c r="K164" s="310">
        <f t="shared" si="8"/>
        <v>1652.7777777777778</v>
      </c>
    </row>
    <row r="165" spans="1:11" x14ac:dyDescent="0.2">
      <c r="A165" t="s">
        <v>371</v>
      </c>
      <c r="B165" t="s">
        <v>68</v>
      </c>
      <c r="C165" t="s">
        <v>367</v>
      </c>
      <c r="D165" t="s">
        <v>120</v>
      </c>
      <c r="E165" t="s">
        <v>61</v>
      </c>
      <c r="F165" s="330">
        <v>0.72</v>
      </c>
      <c r="G165" s="330">
        <v>1200</v>
      </c>
      <c r="H165" s="310">
        <f t="shared" si="6"/>
        <v>1666.6666666666667</v>
      </c>
      <c r="I165" s="311">
        <v>0.15</v>
      </c>
      <c r="J165" s="310">
        <f t="shared" si="7"/>
        <v>1020</v>
      </c>
      <c r="K165" s="310">
        <f t="shared" si="8"/>
        <v>1416.6666666666667</v>
      </c>
    </row>
    <row r="166" spans="1:11" x14ac:dyDescent="0.2">
      <c r="A166" t="s">
        <v>371</v>
      </c>
      <c r="B166" t="s">
        <v>68</v>
      </c>
      <c r="C166" t="s">
        <v>366</v>
      </c>
      <c r="D166" t="s">
        <v>120</v>
      </c>
      <c r="E166" t="s">
        <v>61</v>
      </c>
      <c r="F166" s="330">
        <v>0.72</v>
      </c>
      <c r="G166" s="330">
        <v>1200</v>
      </c>
      <c r="H166" s="310">
        <f t="shared" si="6"/>
        <v>1666.6666666666667</v>
      </c>
      <c r="I166" s="311">
        <v>0.15</v>
      </c>
      <c r="J166" s="310">
        <f t="shared" si="7"/>
        <v>1020</v>
      </c>
      <c r="K166" s="310">
        <f t="shared" si="8"/>
        <v>1416.6666666666667</v>
      </c>
    </row>
    <row r="167" spans="1:11" x14ac:dyDescent="0.2">
      <c r="A167" t="s">
        <v>371</v>
      </c>
      <c r="B167" t="s">
        <v>68</v>
      </c>
      <c r="C167" t="s">
        <v>366</v>
      </c>
      <c r="D167" t="s">
        <v>369</v>
      </c>
      <c r="E167" t="s">
        <v>52</v>
      </c>
      <c r="F167" s="330">
        <v>2.25</v>
      </c>
      <c r="G167" s="330">
        <v>3700</v>
      </c>
      <c r="H167" s="310">
        <f t="shared" si="6"/>
        <v>1644.4444444444443</v>
      </c>
      <c r="I167" s="311">
        <v>0.15</v>
      </c>
      <c r="J167" s="310">
        <f t="shared" si="7"/>
        <v>3145</v>
      </c>
      <c r="K167" s="310">
        <f t="shared" si="8"/>
        <v>1397.7777777777778</v>
      </c>
    </row>
    <row r="168" spans="1:11" x14ac:dyDescent="0.2">
      <c r="A168" t="s">
        <v>371</v>
      </c>
      <c r="B168" t="s">
        <v>68</v>
      </c>
      <c r="C168" t="s">
        <v>366</v>
      </c>
      <c r="D168" t="s">
        <v>369</v>
      </c>
      <c r="E168" t="s">
        <v>53</v>
      </c>
      <c r="F168" s="330">
        <v>3</v>
      </c>
      <c r="G168" s="330">
        <v>4800</v>
      </c>
      <c r="H168" s="310">
        <f t="shared" si="6"/>
        <v>1600</v>
      </c>
      <c r="I168" s="311">
        <v>0.15</v>
      </c>
      <c r="J168" s="310">
        <f t="shared" si="7"/>
        <v>4080</v>
      </c>
      <c r="K168" s="310">
        <f t="shared" si="8"/>
        <v>1360</v>
      </c>
    </row>
    <row r="169" spans="1:11" x14ac:dyDescent="0.2">
      <c r="A169" t="s">
        <v>371</v>
      </c>
      <c r="B169" t="s">
        <v>68</v>
      </c>
      <c r="C169" t="s">
        <v>366</v>
      </c>
      <c r="D169" t="s">
        <v>369</v>
      </c>
      <c r="E169" t="s">
        <v>54</v>
      </c>
      <c r="F169" s="330">
        <v>4.5</v>
      </c>
      <c r="G169" s="330">
        <v>7000</v>
      </c>
      <c r="H169" s="310">
        <f t="shared" si="6"/>
        <v>1555.5555555555557</v>
      </c>
      <c r="I169" s="311">
        <v>0.15</v>
      </c>
      <c r="J169" s="310">
        <f t="shared" si="7"/>
        <v>5950</v>
      </c>
      <c r="K169" s="310">
        <f t="shared" si="8"/>
        <v>1322.2222222222222</v>
      </c>
    </row>
    <row r="170" spans="1:11" x14ac:dyDescent="0.2">
      <c r="A170" t="s">
        <v>371</v>
      </c>
      <c r="B170" t="s">
        <v>68</v>
      </c>
      <c r="C170" t="s">
        <v>366</v>
      </c>
      <c r="D170" t="s">
        <v>120</v>
      </c>
      <c r="E170" t="s">
        <v>62</v>
      </c>
      <c r="F170" s="330">
        <v>1.3</v>
      </c>
      <c r="G170" s="330">
        <v>1900</v>
      </c>
      <c r="H170" s="310">
        <f t="shared" si="6"/>
        <v>1461.5384615384614</v>
      </c>
      <c r="I170" s="311">
        <v>0.15</v>
      </c>
      <c r="J170" s="310">
        <f t="shared" si="7"/>
        <v>1615</v>
      </c>
      <c r="K170" s="310">
        <f t="shared" si="8"/>
        <v>1242.3076923076924</v>
      </c>
    </row>
    <row r="171" spans="1:11" x14ac:dyDescent="0.2">
      <c r="A171" t="s">
        <v>371</v>
      </c>
      <c r="B171" t="s">
        <v>68</v>
      </c>
      <c r="C171" t="s">
        <v>367</v>
      </c>
      <c r="D171" t="s">
        <v>120</v>
      </c>
      <c r="E171" t="s">
        <v>62</v>
      </c>
      <c r="F171" s="330">
        <v>1.3</v>
      </c>
      <c r="G171" s="330">
        <v>1900</v>
      </c>
      <c r="H171" s="310">
        <f t="shared" si="6"/>
        <v>1461.5384615384614</v>
      </c>
      <c r="I171" s="311">
        <v>0.15</v>
      </c>
      <c r="J171" s="310">
        <f t="shared" si="7"/>
        <v>1615</v>
      </c>
      <c r="K171" s="310">
        <f t="shared" si="8"/>
        <v>1242.3076923076924</v>
      </c>
    </row>
    <row r="172" spans="1:11" x14ac:dyDescent="0.2">
      <c r="A172" t="s">
        <v>371</v>
      </c>
      <c r="B172" t="s">
        <v>68</v>
      </c>
      <c r="C172" t="s">
        <v>367</v>
      </c>
      <c r="D172" t="s">
        <v>369</v>
      </c>
      <c r="E172" t="s">
        <v>52</v>
      </c>
      <c r="F172" s="330">
        <v>2.25</v>
      </c>
      <c r="G172" s="330">
        <v>3200</v>
      </c>
      <c r="H172" s="310">
        <f t="shared" si="6"/>
        <v>1422.2222222222222</v>
      </c>
      <c r="I172" s="311">
        <v>0.15</v>
      </c>
      <c r="J172" s="310">
        <f t="shared" si="7"/>
        <v>2720</v>
      </c>
      <c r="K172" s="310">
        <f t="shared" si="8"/>
        <v>1208.8888888888889</v>
      </c>
    </row>
    <row r="173" spans="1:11" x14ac:dyDescent="0.2">
      <c r="A173" t="s">
        <v>371</v>
      </c>
      <c r="B173" t="s">
        <v>68</v>
      </c>
      <c r="C173" t="s">
        <v>366</v>
      </c>
      <c r="D173" t="s">
        <v>369</v>
      </c>
      <c r="E173" t="s">
        <v>55</v>
      </c>
      <c r="F173" s="330">
        <v>6</v>
      </c>
      <c r="G173" s="330">
        <v>8500</v>
      </c>
      <c r="H173" s="310">
        <f t="shared" si="6"/>
        <v>1416.6666666666667</v>
      </c>
      <c r="I173" s="311">
        <v>0.15</v>
      </c>
      <c r="J173" s="310">
        <f t="shared" si="7"/>
        <v>7225</v>
      </c>
      <c r="K173" s="310">
        <f t="shared" si="8"/>
        <v>1204.1666666666667</v>
      </c>
    </row>
    <row r="174" spans="1:11" x14ac:dyDescent="0.2">
      <c r="A174" t="s">
        <v>371</v>
      </c>
      <c r="B174" t="s">
        <v>68</v>
      </c>
      <c r="C174" t="s">
        <v>367</v>
      </c>
      <c r="D174" t="s">
        <v>369</v>
      </c>
      <c r="E174" t="s">
        <v>53</v>
      </c>
      <c r="F174" s="330">
        <v>3</v>
      </c>
      <c r="G174" s="330">
        <v>4200</v>
      </c>
      <c r="H174" s="310">
        <f t="shared" si="6"/>
        <v>1400</v>
      </c>
      <c r="I174" s="311">
        <v>0.15</v>
      </c>
      <c r="J174" s="310">
        <f t="shared" si="7"/>
        <v>3570</v>
      </c>
      <c r="K174" s="310">
        <f t="shared" si="8"/>
        <v>1190</v>
      </c>
    </row>
    <row r="175" spans="1:11" x14ac:dyDescent="0.2">
      <c r="A175" t="s">
        <v>371</v>
      </c>
      <c r="B175" t="s">
        <v>68</v>
      </c>
      <c r="C175" t="s">
        <v>366</v>
      </c>
      <c r="D175" t="s">
        <v>369</v>
      </c>
      <c r="E175" t="s">
        <v>56</v>
      </c>
      <c r="F175" s="330">
        <v>9</v>
      </c>
      <c r="G175" s="330">
        <v>12000</v>
      </c>
      <c r="H175" s="310">
        <f t="shared" si="6"/>
        <v>1333.3333333333333</v>
      </c>
      <c r="I175" s="311">
        <v>0.15</v>
      </c>
      <c r="J175" s="310">
        <f t="shared" si="7"/>
        <v>10200</v>
      </c>
      <c r="K175" s="310">
        <f t="shared" si="8"/>
        <v>1133.3333333333333</v>
      </c>
    </row>
    <row r="176" spans="1:11" x14ac:dyDescent="0.2">
      <c r="A176" t="s">
        <v>371</v>
      </c>
      <c r="B176" t="s">
        <v>68</v>
      </c>
      <c r="C176" t="s">
        <v>366</v>
      </c>
      <c r="D176" t="s">
        <v>120</v>
      </c>
      <c r="E176" t="s">
        <v>63</v>
      </c>
      <c r="F176" s="330">
        <v>1.3</v>
      </c>
      <c r="G176" s="330">
        <v>1700</v>
      </c>
      <c r="H176" s="310">
        <f t="shared" si="6"/>
        <v>1307.6923076923076</v>
      </c>
      <c r="I176" s="311">
        <v>0.15</v>
      </c>
      <c r="J176" s="310">
        <f t="shared" si="7"/>
        <v>1445</v>
      </c>
      <c r="K176" s="310">
        <f t="shared" si="8"/>
        <v>1111.5384615384614</v>
      </c>
    </row>
    <row r="177" spans="1:11" x14ac:dyDescent="0.2">
      <c r="A177" t="s">
        <v>371</v>
      </c>
      <c r="B177" t="s">
        <v>68</v>
      </c>
      <c r="C177" t="s">
        <v>367</v>
      </c>
      <c r="D177" t="s">
        <v>120</v>
      </c>
      <c r="E177" t="s">
        <v>63</v>
      </c>
      <c r="F177" s="330">
        <v>1.3</v>
      </c>
      <c r="G177" s="330">
        <v>1700</v>
      </c>
      <c r="H177" s="310">
        <f t="shared" si="6"/>
        <v>1307.6923076923076</v>
      </c>
      <c r="I177" s="311">
        <v>0.15</v>
      </c>
      <c r="J177" s="310">
        <f t="shared" si="7"/>
        <v>1445</v>
      </c>
      <c r="K177" s="310">
        <f t="shared" si="8"/>
        <v>1111.5384615384614</v>
      </c>
    </row>
    <row r="178" spans="1:11" x14ac:dyDescent="0.2">
      <c r="A178" t="s">
        <v>371</v>
      </c>
      <c r="B178" t="s">
        <v>68</v>
      </c>
      <c r="C178" t="s">
        <v>367</v>
      </c>
      <c r="D178" t="s">
        <v>369</v>
      </c>
      <c r="E178" t="s">
        <v>54</v>
      </c>
      <c r="F178" s="330">
        <v>4.5</v>
      </c>
      <c r="G178" s="330">
        <v>5300</v>
      </c>
      <c r="H178" s="310">
        <f t="shared" si="6"/>
        <v>1177.7777777777778</v>
      </c>
      <c r="I178" s="311">
        <v>0.15</v>
      </c>
      <c r="J178" s="310">
        <f t="shared" si="7"/>
        <v>4505</v>
      </c>
      <c r="K178" s="310">
        <f t="shared" si="8"/>
        <v>1001.1111111111111</v>
      </c>
    </row>
    <row r="179" spans="1:11" x14ac:dyDescent="0.2">
      <c r="A179" t="s">
        <v>371</v>
      </c>
      <c r="B179" t="s">
        <v>68</v>
      </c>
      <c r="C179" t="s">
        <v>367</v>
      </c>
      <c r="D179" t="s">
        <v>369</v>
      </c>
      <c r="E179" t="s">
        <v>55</v>
      </c>
      <c r="F179" s="330">
        <v>6</v>
      </c>
      <c r="G179" s="330">
        <v>7000</v>
      </c>
      <c r="H179" s="310">
        <f t="shared" si="6"/>
        <v>1166.6666666666667</v>
      </c>
      <c r="I179" s="311">
        <v>0.15</v>
      </c>
      <c r="J179" s="310">
        <f t="shared" si="7"/>
        <v>5950</v>
      </c>
      <c r="K179" s="310">
        <f t="shared" si="8"/>
        <v>991.66666666666663</v>
      </c>
    </row>
    <row r="180" spans="1:11" x14ac:dyDescent="0.2">
      <c r="A180" t="s">
        <v>371</v>
      </c>
      <c r="B180" t="s">
        <v>68</v>
      </c>
      <c r="C180" t="s">
        <v>367</v>
      </c>
      <c r="D180" t="s">
        <v>369</v>
      </c>
      <c r="E180" t="s">
        <v>56</v>
      </c>
      <c r="F180" s="330">
        <v>9</v>
      </c>
      <c r="G180" s="330">
        <v>10000</v>
      </c>
      <c r="H180" s="310">
        <f t="shared" si="6"/>
        <v>1111.1111111111111</v>
      </c>
      <c r="I180" s="311">
        <v>0.15</v>
      </c>
      <c r="J180" s="310">
        <f t="shared" si="7"/>
        <v>8500</v>
      </c>
      <c r="K180" s="310">
        <f t="shared" si="8"/>
        <v>944.44444444444446</v>
      </c>
    </row>
    <row r="181" spans="1:11" x14ac:dyDescent="0.2">
      <c r="A181" t="s">
        <v>371</v>
      </c>
      <c r="B181" t="s">
        <v>70</v>
      </c>
      <c r="C181" t="s">
        <v>367</v>
      </c>
      <c r="D181" t="s">
        <v>120</v>
      </c>
      <c r="E181" t="s">
        <v>60</v>
      </c>
      <c r="F181" s="330">
        <v>0.72</v>
      </c>
      <c r="G181" s="330">
        <v>1400</v>
      </c>
      <c r="H181" s="310">
        <f t="shared" si="6"/>
        <v>1944.4444444444446</v>
      </c>
      <c r="I181" s="311">
        <v>0.1</v>
      </c>
      <c r="J181" s="310">
        <f t="shared" si="7"/>
        <v>1260</v>
      </c>
      <c r="K181" s="310">
        <f t="shared" si="8"/>
        <v>1750</v>
      </c>
    </row>
    <row r="182" spans="1:11" x14ac:dyDescent="0.2">
      <c r="A182" t="s">
        <v>371</v>
      </c>
      <c r="B182" t="s">
        <v>70</v>
      </c>
      <c r="C182" t="s">
        <v>366</v>
      </c>
      <c r="D182" t="s">
        <v>369</v>
      </c>
      <c r="E182" t="s">
        <v>53</v>
      </c>
      <c r="F182" s="330">
        <v>3</v>
      </c>
      <c r="G182" s="330">
        <v>5300</v>
      </c>
      <c r="H182" s="310">
        <f t="shared" si="6"/>
        <v>1766.6666666666667</v>
      </c>
      <c r="I182" s="311">
        <v>0.1</v>
      </c>
      <c r="J182" s="310">
        <f t="shared" si="7"/>
        <v>4770</v>
      </c>
      <c r="K182" s="310">
        <f t="shared" si="8"/>
        <v>1590</v>
      </c>
    </row>
    <row r="183" spans="1:11" x14ac:dyDescent="0.2">
      <c r="A183" t="s">
        <v>371</v>
      </c>
      <c r="B183" t="s">
        <v>70</v>
      </c>
      <c r="C183" t="s">
        <v>367</v>
      </c>
      <c r="D183" t="s">
        <v>120</v>
      </c>
      <c r="E183" t="s">
        <v>61</v>
      </c>
      <c r="F183" s="330">
        <v>0.72</v>
      </c>
      <c r="G183" s="330">
        <v>1200</v>
      </c>
      <c r="H183" s="310">
        <f t="shared" si="6"/>
        <v>1666.6666666666667</v>
      </c>
      <c r="I183" s="311">
        <v>0.1</v>
      </c>
      <c r="J183" s="310">
        <f t="shared" si="7"/>
        <v>1080</v>
      </c>
      <c r="K183" s="310">
        <f t="shared" si="8"/>
        <v>1500</v>
      </c>
    </row>
    <row r="184" spans="1:11" x14ac:dyDescent="0.2">
      <c r="A184" t="s">
        <v>371</v>
      </c>
      <c r="B184" t="s">
        <v>70</v>
      </c>
      <c r="C184" t="s">
        <v>366</v>
      </c>
      <c r="D184" t="s">
        <v>369</v>
      </c>
      <c r="E184" t="s">
        <v>54</v>
      </c>
      <c r="F184" s="330">
        <v>4.5</v>
      </c>
      <c r="G184" s="330">
        <v>7000</v>
      </c>
      <c r="H184" s="310">
        <f t="shared" si="6"/>
        <v>1555.5555555555557</v>
      </c>
      <c r="I184" s="311">
        <v>0.1</v>
      </c>
      <c r="J184" s="310">
        <f t="shared" si="7"/>
        <v>6300</v>
      </c>
      <c r="K184" s="310">
        <f t="shared" si="8"/>
        <v>1400</v>
      </c>
    </row>
    <row r="185" spans="1:11" x14ac:dyDescent="0.2">
      <c r="A185" t="s">
        <v>371</v>
      </c>
      <c r="B185" t="s">
        <v>70</v>
      </c>
      <c r="C185" t="s">
        <v>367</v>
      </c>
      <c r="D185" t="s">
        <v>120</v>
      </c>
      <c r="E185" t="s">
        <v>62</v>
      </c>
      <c r="F185" s="330">
        <v>1.3</v>
      </c>
      <c r="G185" s="330">
        <v>1900</v>
      </c>
      <c r="H185" s="310">
        <f t="shared" si="6"/>
        <v>1461.5384615384614</v>
      </c>
      <c r="I185" s="311">
        <v>0.1</v>
      </c>
      <c r="J185" s="310">
        <f t="shared" si="7"/>
        <v>1710</v>
      </c>
      <c r="K185" s="310">
        <f t="shared" si="8"/>
        <v>1315.3846153846152</v>
      </c>
    </row>
    <row r="186" spans="1:11" x14ac:dyDescent="0.2">
      <c r="A186" t="s">
        <v>371</v>
      </c>
      <c r="B186" t="s">
        <v>70</v>
      </c>
      <c r="C186" t="s">
        <v>367</v>
      </c>
      <c r="D186" t="s">
        <v>369</v>
      </c>
      <c r="E186" t="s">
        <v>52</v>
      </c>
      <c r="F186" s="330">
        <v>2.25</v>
      </c>
      <c r="G186" s="330">
        <v>3200</v>
      </c>
      <c r="H186" s="310">
        <f t="shared" si="6"/>
        <v>1422.2222222222222</v>
      </c>
      <c r="I186" s="311">
        <v>0.1</v>
      </c>
      <c r="J186" s="310">
        <f t="shared" si="7"/>
        <v>2880</v>
      </c>
      <c r="K186" s="310">
        <f t="shared" si="8"/>
        <v>1280</v>
      </c>
    </row>
    <row r="187" spans="1:11" x14ac:dyDescent="0.2">
      <c r="A187" t="s">
        <v>371</v>
      </c>
      <c r="B187" t="s">
        <v>70</v>
      </c>
      <c r="C187" t="s">
        <v>366</v>
      </c>
      <c r="D187" t="s">
        <v>369</v>
      </c>
      <c r="E187" t="s">
        <v>55</v>
      </c>
      <c r="F187" s="330">
        <v>6</v>
      </c>
      <c r="G187" s="330">
        <v>8500</v>
      </c>
      <c r="H187" s="310">
        <f t="shared" si="6"/>
        <v>1416.6666666666667</v>
      </c>
      <c r="I187" s="311">
        <v>0.1</v>
      </c>
      <c r="J187" s="310">
        <f t="shared" si="7"/>
        <v>7650</v>
      </c>
      <c r="K187" s="310">
        <f t="shared" si="8"/>
        <v>1275</v>
      </c>
    </row>
    <row r="188" spans="1:11" x14ac:dyDescent="0.2">
      <c r="A188" t="s">
        <v>371</v>
      </c>
      <c r="B188" t="s">
        <v>70</v>
      </c>
      <c r="C188" t="s">
        <v>367</v>
      </c>
      <c r="D188" t="s">
        <v>369</v>
      </c>
      <c r="E188" t="s">
        <v>53</v>
      </c>
      <c r="F188" s="330">
        <v>3</v>
      </c>
      <c r="G188" s="330">
        <v>4200</v>
      </c>
      <c r="H188" s="310">
        <f t="shared" si="6"/>
        <v>1400</v>
      </c>
      <c r="I188" s="311">
        <v>0.1</v>
      </c>
      <c r="J188" s="310">
        <f t="shared" si="7"/>
        <v>3780</v>
      </c>
      <c r="K188" s="310">
        <f t="shared" si="8"/>
        <v>1260</v>
      </c>
    </row>
    <row r="189" spans="1:11" x14ac:dyDescent="0.2">
      <c r="A189" t="s">
        <v>371</v>
      </c>
      <c r="B189" t="s">
        <v>70</v>
      </c>
      <c r="C189" t="s">
        <v>366</v>
      </c>
      <c r="D189" t="s">
        <v>369</v>
      </c>
      <c r="E189" t="s">
        <v>65</v>
      </c>
      <c r="F189" s="330">
        <v>18</v>
      </c>
      <c r="G189" s="330">
        <v>25000</v>
      </c>
      <c r="H189" s="310">
        <f t="shared" si="6"/>
        <v>1388.8888888888889</v>
      </c>
      <c r="I189" s="311">
        <v>0.1</v>
      </c>
      <c r="J189" s="310">
        <f t="shared" si="7"/>
        <v>22500</v>
      </c>
      <c r="K189" s="310">
        <f t="shared" si="8"/>
        <v>1250</v>
      </c>
    </row>
    <row r="190" spans="1:11" x14ac:dyDescent="0.2">
      <c r="A190" t="s">
        <v>371</v>
      </c>
      <c r="B190" t="s">
        <v>70</v>
      </c>
      <c r="C190" t="s">
        <v>366</v>
      </c>
      <c r="D190" t="s">
        <v>369</v>
      </c>
      <c r="E190" t="s">
        <v>56</v>
      </c>
      <c r="F190" s="330">
        <v>9</v>
      </c>
      <c r="G190" s="330">
        <v>12000</v>
      </c>
      <c r="H190" s="310">
        <f t="shared" si="6"/>
        <v>1333.3333333333333</v>
      </c>
      <c r="I190" s="311">
        <v>0.1</v>
      </c>
      <c r="J190" s="310">
        <f t="shared" si="7"/>
        <v>10800</v>
      </c>
      <c r="K190" s="310">
        <f t="shared" si="8"/>
        <v>1200</v>
      </c>
    </row>
    <row r="191" spans="1:11" x14ac:dyDescent="0.2">
      <c r="A191" t="s">
        <v>371</v>
      </c>
      <c r="B191" t="s">
        <v>70</v>
      </c>
      <c r="C191" t="s">
        <v>367</v>
      </c>
      <c r="D191" t="s">
        <v>120</v>
      </c>
      <c r="E191" t="s">
        <v>63</v>
      </c>
      <c r="F191" s="330">
        <v>1.3</v>
      </c>
      <c r="G191" s="330">
        <v>1700</v>
      </c>
      <c r="H191" s="310">
        <f t="shared" si="6"/>
        <v>1307.6923076923076</v>
      </c>
      <c r="I191" s="311">
        <v>0.1</v>
      </c>
      <c r="J191" s="310">
        <f t="shared" si="7"/>
        <v>1530</v>
      </c>
      <c r="K191" s="310">
        <f t="shared" si="8"/>
        <v>1176.9230769230769</v>
      </c>
    </row>
    <row r="192" spans="1:11" x14ac:dyDescent="0.2">
      <c r="A192" t="s">
        <v>371</v>
      </c>
      <c r="B192" t="s">
        <v>70</v>
      </c>
      <c r="C192" t="s">
        <v>367</v>
      </c>
      <c r="D192" t="s">
        <v>369</v>
      </c>
      <c r="E192" t="s">
        <v>54</v>
      </c>
      <c r="F192" s="330">
        <v>4.5</v>
      </c>
      <c r="G192" s="330">
        <v>5300</v>
      </c>
      <c r="H192" s="310">
        <f t="shared" si="6"/>
        <v>1177.7777777777778</v>
      </c>
      <c r="I192" s="311">
        <v>0.1</v>
      </c>
      <c r="J192" s="310">
        <f t="shared" si="7"/>
        <v>4770</v>
      </c>
      <c r="K192" s="310">
        <f t="shared" si="8"/>
        <v>1060</v>
      </c>
    </row>
    <row r="193" spans="1:11" x14ac:dyDescent="0.2">
      <c r="A193" t="s">
        <v>371</v>
      </c>
      <c r="B193" t="s">
        <v>70</v>
      </c>
      <c r="C193" t="s">
        <v>367</v>
      </c>
      <c r="D193" t="s">
        <v>369</v>
      </c>
      <c r="E193" t="s">
        <v>55</v>
      </c>
      <c r="F193" s="330">
        <v>6</v>
      </c>
      <c r="G193" s="330">
        <v>7000</v>
      </c>
      <c r="H193" s="310">
        <f t="shared" si="6"/>
        <v>1166.6666666666667</v>
      </c>
      <c r="I193" s="311">
        <v>0.1</v>
      </c>
      <c r="J193" s="310">
        <f t="shared" si="7"/>
        <v>6300</v>
      </c>
      <c r="K193" s="310">
        <f t="shared" si="8"/>
        <v>1050</v>
      </c>
    </row>
    <row r="194" spans="1:11" x14ac:dyDescent="0.2">
      <c r="A194" t="s">
        <v>371</v>
      </c>
      <c r="B194" t="s">
        <v>70</v>
      </c>
      <c r="C194" t="s">
        <v>367</v>
      </c>
      <c r="D194" t="s">
        <v>369</v>
      </c>
      <c r="E194" t="s">
        <v>56</v>
      </c>
      <c r="F194" s="330">
        <v>9</v>
      </c>
      <c r="G194" s="330">
        <v>10000</v>
      </c>
      <c r="H194" s="310">
        <f t="shared" ref="H194:H257" si="9">G194/F194</f>
        <v>1111.1111111111111</v>
      </c>
      <c r="I194" s="311">
        <v>0.1</v>
      </c>
      <c r="J194" s="310">
        <f t="shared" ref="J194:J257" si="10">G194*(1-I194)</f>
        <v>9000</v>
      </c>
      <c r="K194" s="310">
        <f t="shared" ref="K194:K257" si="11">J194/F194</f>
        <v>1000</v>
      </c>
    </row>
    <row r="195" spans="1:11" x14ac:dyDescent="0.2">
      <c r="A195" t="s">
        <v>371</v>
      </c>
      <c r="B195" t="s">
        <v>70</v>
      </c>
      <c r="C195" t="s">
        <v>367</v>
      </c>
      <c r="D195" t="s">
        <v>369</v>
      </c>
      <c r="E195" t="s">
        <v>65</v>
      </c>
      <c r="F195" s="330">
        <v>19.8</v>
      </c>
      <c r="G195" s="330">
        <v>19000</v>
      </c>
      <c r="H195" s="310">
        <f t="shared" si="9"/>
        <v>959.59595959595958</v>
      </c>
      <c r="I195" s="311">
        <v>0.1</v>
      </c>
      <c r="J195" s="310">
        <f t="shared" si="10"/>
        <v>17100</v>
      </c>
      <c r="K195" s="310">
        <f t="shared" si="11"/>
        <v>863.63636363636363</v>
      </c>
    </row>
    <row r="196" spans="1:11" x14ac:dyDescent="0.2">
      <c r="A196" t="s">
        <v>371</v>
      </c>
      <c r="B196" t="s">
        <v>73</v>
      </c>
      <c r="C196" t="s">
        <v>367</v>
      </c>
      <c r="D196" t="s">
        <v>120</v>
      </c>
      <c r="E196" t="s">
        <v>60</v>
      </c>
      <c r="F196" s="330">
        <v>0.72</v>
      </c>
      <c r="G196" s="330">
        <v>1300</v>
      </c>
      <c r="H196" s="310">
        <f t="shared" si="9"/>
        <v>1805.5555555555557</v>
      </c>
      <c r="I196" s="311">
        <v>0.15</v>
      </c>
      <c r="J196" s="310">
        <f t="shared" si="10"/>
        <v>1105</v>
      </c>
      <c r="K196" s="310">
        <f t="shared" si="11"/>
        <v>1534.7222222222222</v>
      </c>
    </row>
    <row r="197" spans="1:11" x14ac:dyDescent="0.2">
      <c r="A197" t="s">
        <v>371</v>
      </c>
      <c r="B197" t="s">
        <v>73</v>
      </c>
      <c r="C197" t="s">
        <v>366</v>
      </c>
      <c r="D197" t="s">
        <v>369</v>
      </c>
      <c r="E197" t="s">
        <v>52</v>
      </c>
      <c r="F197" s="330">
        <v>2.25</v>
      </c>
      <c r="G197" s="330">
        <v>3500</v>
      </c>
      <c r="H197" s="310">
        <f t="shared" si="9"/>
        <v>1555.5555555555557</v>
      </c>
      <c r="I197" s="311">
        <v>0.15</v>
      </c>
      <c r="J197" s="310">
        <f t="shared" si="10"/>
        <v>2975</v>
      </c>
      <c r="K197" s="310">
        <f t="shared" si="11"/>
        <v>1322.2222222222222</v>
      </c>
    </row>
    <row r="198" spans="1:11" x14ac:dyDescent="0.2">
      <c r="A198" t="s">
        <v>371</v>
      </c>
      <c r="B198" t="s">
        <v>73</v>
      </c>
      <c r="C198" t="s">
        <v>367</v>
      </c>
      <c r="D198" t="s">
        <v>120</v>
      </c>
      <c r="E198" t="s">
        <v>63</v>
      </c>
      <c r="F198" s="330">
        <v>0.72</v>
      </c>
      <c r="G198" s="330">
        <v>1100</v>
      </c>
      <c r="H198" s="310">
        <f t="shared" si="9"/>
        <v>1527.7777777777778</v>
      </c>
      <c r="I198" s="311">
        <v>0.15</v>
      </c>
      <c r="J198" s="310">
        <f t="shared" si="10"/>
        <v>935</v>
      </c>
      <c r="K198" s="310">
        <f t="shared" si="11"/>
        <v>1298.6111111111111</v>
      </c>
    </row>
    <row r="199" spans="1:11" x14ac:dyDescent="0.2">
      <c r="A199" t="s">
        <v>371</v>
      </c>
      <c r="B199" t="s">
        <v>73</v>
      </c>
      <c r="C199" t="s">
        <v>366</v>
      </c>
      <c r="D199" t="s">
        <v>369</v>
      </c>
      <c r="E199" t="s">
        <v>53</v>
      </c>
      <c r="F199" s="330">
        <v>3</v>
      </c>
      <c r="G199" s="330">
        <v>4500</v>
      </c>
      <c r="H199" s="310">
        <f t="shared" si="9"/>
        <v>1500</v>
      </c>
      <c r="I199" s="311">
        <v>0.15</v>
      </c>
      <c r="J199" s="310">
        <f t="shared" si="10"/>
        <v>3825</v>
      </c>
      <c r="K199" s="310">
        <f t="shared" si="11"/>
        <v>1275</v>
      </c>
    </row>
    <row r="200" spans="1:11" x14ac:dyDescent="0.2">
      <c r="A200" t="s">
        <v>371</v>
      </c>
      <c r="B200" t="s">
        <v>73</v>
      </c>
      <c r="C200" t="s">
        <v>366</v>
      </c>
      <c r="D200" t="s">
        <v>369</v>
      </c>
      <c r="E200" t="s">
        <v>54</v>
      </c>
      <c r="F200" s="330">
        <v>4.5</v>
      </c>
      <c r="G200" s="330">
        <v>6500</v>
      </c>
      <c r="H200" s="310">
        <f t="shared" si="9"/>
        <v>1444.4444444444443</v>
      </c>
      <c r="I200" s="311">
        <v>0.15</v>
      </c>
      <c r="J200" s="310">
        <f t="shared" si="10"/>
        <v>5525</v>
      </c>
      <c r="K200" s="310">
        <f t="shared" si="11"/>
        <v>1227.7777777777778</v>
      </c>
    </row>
    <row r="201" spans="1:11" x14ac:dyDescent="0.2">
      <c r="A201" t="s">
        <v>371</v>
      </c>
      <c r="B201" t="s">
        <v>73</v>
      </c>
      <c r="C201" t="s">
        <v>367</v>
      </c>
      <c r="D201" t="s">
        <v>120</v>
      </c>
      <c r="E201" t="s">
        <v>62</v>
      </c>
      <c r="F201" s="330">
        <v>1.3</v>
      </c>
      <c r="G201" s="330">
        <v>1800</v>
      </c>
      <c r="H201" s="310">
        <f t="shared" si="9"/>
        <v>1384.6153846153845</v>
      </c>
      <c r="I201" s="311">
        <v>0.15</v>
      </c>
      <c r="J201" s="310">
        <f t="shared" si="10"/>
        <v>1530</v>
      </c>
      <c r="K201" s="310">
        <f t="shared" si="11"/>
        <v>1176.9230769230769</v>
      </c>
    </row>
    <row r="202" spans="1:11" x14ac:dyDescent="0.2">
      <c r="A202" t="s">
        <v>371</v>
      </c>
      <c r="B202" t="s">
        <v>73</v>
      </c>
      <c r="C202" t="s">
        <v>366</v>
      </c>
      <c r="D202" t="s">
        <v>369</v>
      </c>
      <c r="E202" t="s">
        <v>55</v>
      </c>
      <c r="F202" s="330">
        <v>6</v>
      </c>
      <c r="G202" s="330">
        <v>8000</v>
      </c>
      <c r="H202" s="310">
        <f t="shared" si="9"/>
        <v>1333.3333333333333</v>
      </c>
      <c r="I202" s="311">
        <v>0.15</v>
      </c>
      <c r="J202" s="310">
        <f t="shared" si="10"/>
        <v>6800</v>
      </c>
      <c r="K202" s="310">
        <f t="shared" si="11"/>
        <v>1133.3333333333333</v>
      </c>
    </row>
    <row r="203" spans="1:11" x14ac:dyDescent="0.2">
      <c r="A203" t="s">
        <v>371</v>
      </c>
      <c r="B203" t="s">
        <v>73</v>
      </c>
      <c r="C203" t="s">
        <v>367</v>
      </c>
      <c r="D203" t="s">
        <v>369</v>
      </c>
      <c r="E203" t="s">
        <v>52</v>
      </c>
      <c r="F203" s="330">
        <v>2.25</v>
      </c>
      <c r="G203" s="330">
        <v>3000</v>
      </c>
      <c r="H203" s="310">
        <f t="shared" si="9"/>
        <v>1333.3333333333333</v>
      </c>
      <c r="I203" s="311">
        <v>0.15</v>
      </c>
      <c r="J203" s="310">
        <f t="shared" si="10"/>
        <v>2550</v>
      </c>
      <c r="K203" s="310">
        <f t="shared" si="11"/>
        <v>1133.3333333333333</v>
      </c>
    </row>
    <row r="204" spans="1:11" x14ac:dyDescent="0.2">
      <c r="A204" t="s">
        <v>371</v>
      </c>
      <c r="B204" t="s">
        <v>73</v>
      </c>
      <c r="C204" t="s">
        <v>367</v>
      </c>
      <c r="D204" t="s">
        <v>369</v>
      </c>
      <c r="E204" t="s">
        <v>53</v>
      </c>
      <c r="F204" s="330">
        <v>3</v>
      </c>
      <c r="G204" s="330">
        <v>4000</v>
      </c>
      <c r="H204" s="310">
        <f t="shared" si="9"/>
        <v>1333.3333333333333</v>
      </c>
      <c r="I204" s="311">
        <v>0.15</v>
      </c>
      <c r="J204" s="310">
        <f t="shared" si="10"/>
        <v>3400</v>
      </c>
      <c r="K204" s="310">
        <f t="shared" si="11"/>
        <v>1133.3333333333333</v>
      </c>
    </row>
    <row r="205" spans="1:11" x14ac:dyDescent="0.2">
      <c r="A205" t="s">
        <v>371</v>
      </c>
      <c r="B205" t="s">
        <v>73</v>
      </c>
      <c r="C205" t="s">
        <v>367</v>
      </c>
      <c r="D205" t="s">
        <v>120</v>
      </c>
      <c r="E205" t="s">
        <v>63</v>
      </c>
      <c r="F205" s="330">
        <v>1.3</v>
      </c>
      <c r="G205" s="330">
        <v>1600</v>
      </c>
      <c r="H205" s="310">
        <f t="shared" si="9"/>
        <v>1230.7692307692307</v>
      </c>
      <c r="I205" s="311">
        <v>0.15</v>
      </c>
      <c r="J205" s="310">
        <f t="shared" si="10"/>
        <v>1360</v>
      </c>
      <c r="K205" s="310">
        <f t="shared" si="11"/>
        <v>1046.1538461538462</v>
      </c>
    </row>
    <row r="206" spans="1:11" x14ac:dyDescent="0.2">
      <c r="A206" t="s">
        <v>371</v>
      </c>
      <c r="B206" t="s">
        <v>73</v>
      </c>
      <c r="C206" t="s">
        <v>366</v>
      </c>
      <c r="D206" t="s">
        <v>369</v>
      </c>
      <c r="E206" t="s">
        <v>56</v>
      </c>
      <c r="F206" s="330">
        <v>9</v>
      </c>
      <c r="G206" s="330">
        <v>11000</v>
      </c>
      <c r="H206" s="310">
        <f t="shared" si="9"/>
        <v>1222.2222222222222</v>
      </c>
      <c r="I206" s="311">
        <v>0.15</v>
      </c>
      <c r="J206" s="310">
        <f t="shared" si="10"/>
        <v>9350</v>
      </c>
      <c r="K206" s="310">
        <f t="shared" si="11"/>
        <v>1038.8888888888889</v>
      </c>
    </row>
    <row r="207" spans="1:11" x14ac:dyDescent="0.2">
      <c r="A207" t="s">
        <v>371</v>
      </c>
      <c r="B207" t="s">
        <v>73</v>
      </c>
      <c r="C207" t="s">
        <v>367</v>
      </c>
      <c r="D207" t="s">
        <v>369</v>
      </c>
      <c r="E207" t="s">
        <v>54</v>
      </c>
      <c r="F207" s="330">
        <v>4.5</v>
      </c>
      <c r="G207" s="330">
        <v>5000</v>
      </c>
      <c r="H207" s="310">
        <f t="shared" si="9"/>
        <v>1111.1111111111111</v>
      </c>
      <c r="I207" s="311">
        <v>0.15</v>
      </c>
      <c r="J207" s="310">
        <f t="shared" si="10"/>
        <v>4250</v>
      </c>
      <c r="K207" s="310">
        <f t="shared" si="11"/>
        <v>944.44444444444446</v>
      </c>
    </row>
    <row r="208" spans="1:11" x14ac:dyDescent="0.2">
      <c r="A208" t="s">
        <v>371</v>
      </c>
      <c r="B208" t="s">
        <v>73</v>
      </c>
      <c r="C208" t="s">
        <v>367</v>
      </c>
      <c r="D208" t="s">
        <v>369</v>
      </c>
      <c r="E208" t="s">
        <v>55</v>
      </c>
      <c r="F208" s="330">
        <v>6</v>
      </c>
      <c r="G208" s="330">
        <v>6500</v>
      </c>
      <c r="H208" s="310">
        <f t="shared" si="9"/>
        <v>1083.3333333333333</v>
      </c>
      <c r="I208" s="311">
        <v>0.15</v>
      </c>
      <c r="J208" s="310">
        <f t="shared" si="10"/>
        <v>5525</v>
      </c>
      <c r="K208" s="310">
        <f t="shared" si="11"/>
        <v>920.83333333333337</v>
      </c>
    </row>
    <row r="209" spans="1:11" x14ac:dyDescent="0.2">
      <c r="A209" t="s">
        <v>371</v>
      </c>
      <c r="B209" t="s">
        <v>73</v>
      </c>
      <c r="C209" t="s">
        <v>367</v>
      </c>
      <c r="D209" t="s">
        <v>369</v>
      </c>
      <c r="E209" t="s">
        <v>57</v>
      </c>
      <c r="F209" s="330">
        <v>12.5</v>
      </c>
      <c r="G209" s="330">
        <v>13500</v>
      </c>
      <c r="H209" s="310">
        <f t="shared" si="9"/>
        <v>1080</v>
      </c>
      <c r="I209" s="311">
        <v>0.15</v>
      </c>
      <c r="J209" s="310">
        <f t="shared" si="10"/>
        <v>11475</v>
      </c>
      <c r="K209" s="310">
        <f t="shared" si="11"/>
        <v>918</v>
      </c>
    </row>
    <row r="210" spans="1:11" x14ac:dyDescent="0.2">
      <c r="A210" t="s">
        <v>371</v>
      </c>
      <c r="B210" t="s">
        <v>73</v>
      </c>
      <c r="C210" t="s">
        <v>367</v>
      </c>
      <c r="D210" t="s">
        <v>369</v>
      </c>
      <c r="E210" t="s">
        <v>56</v>
      </c>
      <c r="F210" s="330">
        <v>9</v>
      </c>
      <c r="G210" s="330">
        <v>9500</v>
      </c>
      <c r="H210" s="310">
        <f t="shared" si="9"/>
        <v>1055.5555555555557</v>
      </c>
      <c r="I210" s="311">
        <v>0.15</v>
      </c>
      <c r="J210" s="310">
        <f t="shared" si="10"/>
        <v>8075</v>
      </c>
      <c r="K210" s="310">
        <f t="shared" si="11"/>
        <v>897.22222222222217</v>
      </c>
    </row>
    <row r="211" spans="1:11" x14ac:dyDescent="0.2">
      <c r="A211" t="s">
        <v>371</v>
      </c>
      <c r="B211" t="s">
        <v>73</v>
      </c>
      <c r="C211" t="s">
        <v>367</v>
      </c>
      <c r="D211" t="s">
        <v>66</v>
      </c>
      <c r="E211" t="s">
        <v>66</v>
      </c>
      <c r="F211" s="330">
        <v>25</v>
      </c>
      <c r="G211" s="330">
        <v>20000</v>
      </c>
      <c r="H211" s="310">
        <f t="shared" si="9"/>
        <v>800</v>
      </c>
      <c r="I211" s="311">
        <v>0.15</v>
      </c>
      <c r="J211" s="310">
        <f t="shared" si="10"/>
        <v>17000</v>
      </c>
      <c r="K211" s="310">
        <f t="shared" si="11"/>
        <v>680</v>
      </c>
    </row>
    <row r="212" spans="1:11" x14ac:dyDescent="0.2">
      <c r="A212" t="s">
        <v>371</v>
      </c>
      <c r="B212" t="s">
        <v>71</v>
      </c>
      <c r="C212" t="s">
        <v>367</v>
      </c>
      <c r="D212" t="s">
        <v>120</v>
      </c>
      <c r="E212" t="s">
        <v>61</v>
      </c>
      <c r="F212" s="330">
        <v>0.72</v>
      </c>
      <c r="G212" s="330">
        <v>1400</v>
      </c>
      <c r="H212" s="310">
        <f t="shared" si="9"/>
        <v>1944.4444444444446</v>
      </c>
      <c r="I212" s="311">
        <v>0.15</v>
      </c>
      <c r="J212" s="310">
        <f t="shared" si="10"/>
        <v>1190</v>
      </c>
      <c r="K212" s="310">
        <f t="shared" si="11"/>
        <v>1652.7777777777778</v>
      </c>
    </row>
    <row r="213" spans="1:11" x14ac:dyDescent="0.2">
      <c r="A213" t="s">
        <v>371</v>
      </c>
      <c r="B213" t="s">
        <v>71</v>
      </c>
      <c r="C213" t="s">
        <v>366</v>
      </c>
      <c r="D213" t="s">
        <v>120</v>
      </c>
      <c r="E213" t="s">
        <v>61</v>
      </c>
      <c r="F213" s="330">
        <v>0.72</v>
      </c>
      <c r="G213" s="330">
        <v>1400</v>
      </c>
      <c r="H213" s="310">
        <f t="shared" si="9"/>
        <v>1944.4444444444446</v>
      </c>
      <c r="I213" s="311">
        <v>0.15</v>
      </c>
      <c r="J213" s="310">
        <f t="shared" si="10"/>
        <v>1190</v>
      </c>
      <c r="K213" s="310">
        <f t="shared" si="11"/>
        <v>1652.7777777777778</v>
      </c>
    </row>
    <row r="214" spans="1:11" x14ac:dyDescent="0.2">
      <c r="A214" t="s">
        <v>371</v>
      </c>
      <c r="B214" t="s">
        <v>71</v>
      </c>
      <c r="C214" t="s">
        <v>367</v>
      </c>
      <c r="D214" t="s">
        <v>120</v>
      </c>
      <c r="E214" t="s">
        <v>60</v>
      </c>
      <c r="F214" s="330">
        <v>0.72</v>
      </c>
      <c r="G214" s="330">
        <v>1200</v>
      </c>
      <c r="H214" s="310">
        <f t="shared" si="9"/>
        <v>1666.6666666666667</v>
      </c>
      <c r="I214" s="311">
        <v>0.15</v>
      </c>
      <c r="J214" s="310">
        <f t="shared" si="10"/>
        <v>1020</v>
      </c>
      <c r="K214" s="310">
        <f t="shared" si="11"/>
        <v>1416.6666666666667</v>
      </c>
    </row>
    <row r="215" spans="1:11" x14ac:dyDescent="0.2">
      <c r="A215" t="s">
        <v>371</v>
      </c>
      <c r="B215" t="s">
        <v>71</v>
      </c>
      <c r="C215" t="s">
        <v>366</v>
      </c>
      <c r="D215" t="s">
        <v>120</v>
      </c>
      <c r="E215" t="s">
        <v>60</v>
      </c>
      <c r="F215" s="330">
        <v>0.72</v>
      </c>
      <c r="G215" s="330">
        <v>1200</v>
      </c>
      <c r="H215" s="310">
        <f t="shared" si="9"/>
        <v>1666.6666666666667</v>
      </c>
      <c r="I215" s="311">
        <v>0.15</v>
      </c>
      <c r="J215" s="310">
        <f t="shared" si="10"/>
        <v>1020</v>
      </c>
      <c r="K215" s="310">
        <f t="shared" si="11"/>
        <v>1416.6666666666667</v>
      </c>
    </row>
    <row r="216" spans="1:11" x14ac:dyDescent="0.2">
      <c r="A216" t="s">
        <v>371</v>
      </c>
      <c r="B216" t="s">
        <v>71</v>
      </c>
      <c r="C216" t="s">
        <v>366</v>
      </c>
      <c r="D216" t="s">
        <v>369</v>
      </c>
      <c r="E216" t="s">
        <v>52</v>
      </c>
      <c r="F216" s="330">
        <v>2.25</v>
      </c>
      <c r="G216" s="330">
        <v>3700</v>
      </c>
      <c r="H216" s="310">
        <f t="shared" si="9"/>
        <v>1644.4444444444443</v>
      </c>
      <c r="I216" s="311">
        <v>0.15</v>
      </c>
      <c r="J216" s="310">
        <f t="shared" si="10"/>
        <v>3145</v>
      </c>
      <c r="K216" s="310">
        <f t="shared" si="11"/>
        <v>1397.7777777777778</v>
      </c>
    </row>
    <row r="217" spans="1:11" x14ac:dyDescent="0.2">
      <c r="A217" t="s">
        <v>371</v>
      </c>
      <c r="B217" t="s">
        <v>71</v>
      </c>
      <c r="C217" t="s">
        <v>366</v>
      </c>
      <c r="D217" t="s">
        <v>369</v>
      </c>
      <c r="E217" t="s">
        <v>53</v>
      </c>
      <c r="F217" s="330">
        <v>3</v>
      </c>
      <c r="G217" s="330">
        <v>4800</v>
      </c>
      <c r="H217" s="310">
        <f t="shared" si="9"/>
        <v>1600</v>
      </c>
      <c r="I217" s="311">
        <v>0.15</v>
      </c>
      <c r="J217" s="310">
        <f t="shared" si="10"/>
        <v>4080</v>
      </c>
      <c r="K217" s="310">
        <f t="shared" si="11"/>
        <v>1360</v>
      </c>
    </row>
    <row r="218" spans="1:11" x14ac:dyDescent="0.2">
      <c r="A218" t="s">
        <v>371</v>
      </c>
      <c r="B218" t="s">
        <v>71</v>
      </c>
      <c r="C218" t="s">
        <v>366</v>
      </c>
      <c r="D218" t="s">
        <v>369</v>
      </c>
      <c r="E218" t="s">
        <v>54</v>
      </c>
      <c r="F218" s="330">
        <v>4.5</v>
      </c>
      <c r="G218" s="330">
        <v>7000</v>
      </c>
      <c r="H218" s="310">
        <f t="shared" si="9"/>
        <v>1555.5555555555557</v>
      </c>
      <c r="I218" s="311">
        <v>0.15</v>
      </c>
      <c r="J218" s="310">
        <f t="shared" si="10"/>
        <v>5950</v>
      </c>
      <c r="K218" s="310">
        <f t="shared" si="11"/>
        <v>1322.2222222222222</v>
      </c>
    </row>
    <row r="219" spans="1:11" x14ac:dyDescent="0.2">
      <c r="A219" t="s">
        <v>371</v>
      </c>
      <c r="B219" t="s">
        <v>71</v>
      </c>
      <c r="C219" t="s">
        <v>367</v>
      </c>
      <c r="D219" t="s">
        <v>120</v>
      </c>
      <c r="E219" t="s">
        <v>63</v>
      </c>
      <c r="F219" s="330">
        <v>1.3</v>
      </c>
      <c r="G219" s="330">
        <v>1900</v>
      </c>
      <c r="H219" s="310">
        <f t="shared" si="9"/>
        <v>1461.5384615384614</v>
      </c>
      <c r="I219" s="311">
        <v>0.15</v>
      </c>
      <c r="J219" s="310">
        <f t="shared" si="10"/>
        <v>1615</v>
      </c>
      <c r="K219" s="310">
        <f t="shared" si="11"/>
        <v>1242.3076923076924</v>
      </c>
    </row>
    <row r="220" spans="1:11" x14ac:dyDescent="0.2">
      <c r="A220" t="s">
        <v>371</v>
      </c>
      <c r="B220" t="s">
        <v>71</v>
      </c>
      <c r="C220" t="s">
        <v>366</v>
      </c>
      <c r="D220" t="s">
        <v>120</v>
      </c>
      <c r="E220" t="s">
        <v>63</v>
      </c>
      <c r="F220" s="330">
        <v>1.3</v>
      </c>
      <c r="G220" s="330">
        <v>1900</v>
      </c>
      <c r="H220" s="310">
        <f t="shared" si="9"/>
        <v>1461.5384615384614</v>
      </c>
      <c r="I220" s="311">
        <v>0.15</v>
      </c>
      <c r="J220" s="310">
        <f t="shared" si="10"/>
        <v>1615</v>
      </c>
      <c r="K220" s="310">
        <f t="shared" si="11"/>
        <v>1242.3076923076924</v>
      </c>
    </row>
    <row r="221" spans="1:11" x14ac:dyDescent="0.2">
      <c r="A221" t="s">
        <v>371</v>
      </c>
      <c r="B221" t="s">
        <v>71</v>
      </c>
      <c r="C221" t="s">
        <v>367</v>
      </c>
      <c r="D221" t="s">
        <v>369</v>
      </c>
      <c r="E221" t="s">
        <v>52</v>
      </c>
      <c r="F221" s="330">
        <v>2.25</v>
      </c>
      <c r="G221" s="330">
        <v>3200</v>
      </c>
      <c r="H221" s="310">
        <f t="shared" si="9"/>
        <v>1422.2222222222222</v>
      </c>
      <c r="I221" s="311">
        <v>0.15</v>
      </c>
      <c r="J221" s="310">
        <f t="shared" si="10"/>
        <v>2720</v>
      </c>
      <c r="K221" s="310">
        <f t="shared" si="11"/>
        <v>1208.8888888888889</v>
      </c>
    </row>
    <row r="222" spans="1:11" x14ac:dyDescent="0.2">
      <c r="A222" t="s">
        <v>371</v>
      </c>
      <c r="B222" t="s">
        <v>71</v>
      </c>
      <c r="C222" t="s">
        <v>366</v>
      </c>
      <c r="D222" t="s">
        <v>369</v>
      </c>
      <c r="E222" t="s">
        <v>55</v>
      </c>
      <c r="F222" s="330">
        <v>6</v>
      </c>
      <c r="G222" s="330">
        <v>8500</v>
      </c>
      <c r="H222" s="310">
        <f t="shared" si="9"/>
        <v>1416.6666666666667</v>
      </c>
      <c r="I222" s="311">
        <v>0.15</v>
      </c>
      <c r="J222" s="310">
        <f t="shared" si="10"/>
        <v>7225</v>
      </c>
      <c r="K222" s="310">
        <f t="shared" si="11"/>
        <v>1204.1666666666667</v>
      </c>
    </row>
    <row r="223" spans="1:11" x14ac:dyDescent="0.2">
      <c r="A223" t="s">
        <v>371</v>
      </c>
      <c r="B223" t="s">
        <v>71</v>
      </c>
      <c r="C223" t="s">
        <v>367</v>
      </c>
      <c r="D223" t="s">
        <v>369</v>
      </c>
      <c r="E223" t="s">
        <v>53</v>
      </c>
      <c r="F223" s="330">
        <v>3</v>
      </c>
      <c r="G223" s="330">
        <v>4200</v>
      </c>
      <c r="H223" s="310">
        <f t="shared" si="9"/>
        <v>1400</v>
      </c>
      <c r="I223" s="311">
        <v>0.15</v>
      </c>
      <c r="J223" s="310">
        <f t="shared" si="10"/>
        <v>3570</v>
      </c>
      <c r="K223" s="310">
        <f t="shared" si="11"/>
        <v>1190</v>
      </c>
    </row>
    <row r="224" spans="1:11" x14ac:dyDescent="0.2">
      <c r="A224" t="s">
        <v>371</v>
      </c>
      <c r="B224" t="s">
        <v>71</v>
      </c>
      <c r="C224" t="s">
        <v>366</v>
      </c>
      <c r="D224" t="s">
        <v>369</v>
      </c>
      <c r="E224" t="s">
        <v>57</v>
      </c>
      <c r="F224" s="330">
        <v>12.5</v>
      </c>
      <c r="G224" s="330">
        <v>17000</v>
      </c>
      <c r="H224" s="310">
        <f t="shared" si="9"/>
        <v>1360</v>
      </c>
      <c r="I224" s="311">
        <v>0.15</v>
      </c>
      <c r="J224" s="310">
        <f t="shared" si="10"/>
        <v>14450</v>
      </c>
      <c r="K224" s="310">
        <f t="shared" si="11"/>
        <v>1156</v>
      </c>
    </row>
    <row r="225" spans="1:11" x14ac:dyDescent="0.2">
      <c r="A225" t="s">
        <v>371</v>
      </c>
      <c r="B225" t="s">
        <v>71</v>
      </c>
      <c r="C225" t="s">
        <v>366</v>
      </c>
      <c r="D225" t="s">
        <v>369</v>
      </c>
      <c r="E225" t="s">
        <v>56</v>
      </c>
      <c r="F225" s="330">
        <v>9</v>
      </c>
      <c r="G225" s="330">
        <v>12000</v>
      </c>
      <c r="H225" s="310">
        <f t="shared" si="9"/>
        <v>1333.3333333333333</v>
      </c>
      <c r="I225" s="311">
        <v>0.15</v>
      </c>
      <c r="J225" s="310">
        <f t="shared" si="10"/>
        <v>10200</v>
      </c>
      <c r="K225" s="310">
        <f t="shared" si="11"/>
        <v>1133.3333333333333</v>
      </c>
    </row>
    <row r="226" spans="1:11" x14ac:dyDescent="0.2">
      <c r="A226" t="s">
        <v>371</v>
      </c>
      <c r="B226" t="s">
        <v>71</v>
      </c>
      <c r="C226" t="s">
        <v>367</v>
      </c>
      <c r="D226" t="s">
        <v>120</v>
      </c>
      <c r="E226" t="s">
        <v>62</v>
      </c>
      <c r="F226" s="330">
        <v>1.3</v>
      </c>
      <c r="G226" s="330">
        <v>1700</v>
      </c>
      <c r="H226" s="310">
        <f t="shared" si="9"/>
        <v>1307.6923076923076</v>
      </c>
      <c r="I226" s="311">
        <v>0.15</v>
      </c>
      <c r="J226" s="310">
        <f t="shared" si="10"/>
        <v>1445</v>
      </c>
      <c r="K226" s="310">
        <f t="shared" si="11"/>
        <v>1111.5384615384614</v>
      </c>
    </row>
    <row r="227" spans="1:11" x14ac:dyDescent="0.2">
      <c r="A227" t="s">
        <v>371</v>
      </c>
      <c r="B227" t="s">
        <v>71</v>
      </c>
      <c r="C227" t="s">
        <v>366</v>
      </c>
      <c r="D227" t="s">
        <v>120</v>
      </c>
      <c r="E227" t="s">
        <v>62</v>
      </c>
      <c r="F227" s="330">
        <v>1.3</v>
      </c>
      <c r="G227" s="330">
        <v>1700</v>
      </c>
      <c r="H227" s="310">
        <f t="shared" si="9"/>
        <v>1307.6923076923076</v>
      </c>
      <c r="I227" s="311">
        <v>0.15</v>
      </c>
      <c r="J227" s="310">
        <f t="shared" si="10"/>
        <v>1445</v>
      </c>
      <c r="K227" s="310">
        <f t="shared" si="11"/>
        <v>1111.5384615384614</v>
      </c>
    </row>
    <row r="228" spans="1:11" x14ac:dyDescent="0.2">
      <c r="A228" t="s">
        <v>371</v>
      </c>
      <c r="B228" t="s">
        <v>71</v>
      </c>
      <c r="C228" t="s">
        <v>367</v>
      </c>
      <c r="D228" t="s">
        <v>369</v>
      </c>
      <c r="E228" t="s">
        <v>54</v>
      </c>
      <c r="F228" s="330">
        <v>4.5</v>
      </c>
      <c r="G228" s="330">
        <v>5300</v>
      </c>
      <c r="H228" s="310">
        <f t="shared" si="9"/>
        <v>1177.7777777777778</v>
      </c>
      <c r="I228" s="311">
        <v>0.15</v>
      </c>
      <c r="J228" s="310">
        <f t="shared" si="10"/>
        <v>4505</v>
      </c>
      <c r="K228" s="310">
        <f t="shared" si="11"/>
        <v>1001.1111111111111</v>
      </c>
    </row>
    <row r="229" spans="1:11" x14ac:dyDescent="0.2">
      <c r="A229" t="s">
        <v>371</v>
      </c>
      <c r="B229" t="s">
        <v>71</v>
      </c>
      <c r="C229" t="s">
        <v>367</v>
      </c>
      <c r="D229" t="s">
        <v>369</v>
      </c>
      <c r="E229" t="s">
        <v>55</v>
      </c>
      <c r="F229" s="330">
        <v>6</v>
      </c>
      <c r="G229" s="330">
        <v>7000</v>
      </c>
      <c r="H229" s="310">
        <f t="shared" si="9"/>
        <v>1166.6666666666667</v>
      </c>
      <c r="I229" s="311">
        <v>0.15</v>
      </c>
      <c r="J229" s="310">
        <f t="shared" si="10"/>
        <v>5950</v>
      </c>
      <c r="K229" s="310">
        <f t="shared" si="11"/>
        <v>991.66666666666663</v>
      </c>
    </row>
    <row r="230" spans="1:11" x14ac:dyDescent="0.2">
      <c r="A230" t="s">
        <v>371</v>
      </c>
      <c r="B230" t="s">
        <v>71</v>
      </c>
      <c r="C230" t="s">
        <v>367</v>
      </c>
      <c r="D230" t="s">
        <v>369</v>
      </c>
      <c r="E230" t="s">
        <v>57</v>
      </c>
      <c r="F230" s="330">
        <v>12.5</v>
      </c>
      <c r="G230" s="330">
        <v>14000</v>
      </c>
      <c r="H230" s="310">
        <f t="shared" si="9"/>
        <v>1120</v>
      </c>
      <c r="I230" s="311">
        <v>0.15</v>
      </c>
      <c r="J230" s="310">
        <f t="shared" si="10"/>
        <v>11900</v>
      </c>
      <c r="K230" s="310">
        <f t="shared" si="11"/>
        <v>952</v>
      </c>
    </row>
    <row r="231" spans="1:11" x14ac:dyDescent="0.2">
      <c r="A231" t="s">
        <v>371</v>
      </c>
      <c r="B231" t="s">
        <v>71</v>
      </c>
      <c r="C231" t="s">
        <v>367</v>
      </c>
      <c r="D231" t="s">
        <v>369</v>
      </c>
      <c r="E231" t="s">
        <v>56</v>
      </c>
      <c r="F231" s="330">
        <v>9</v>
      </c>
      <c r="G231" s="330">
        <v>10000</v>
      </c>
      <c r="H231" s="310">
        <f t="shared" si="9"/>
        <v>1111.1111111111111</v>
      </c>
      <c r="I231" s="311">
        <v>0.15</v>
      </c>
      <c r="J231" s="310">
        <f t="shared" si="10"/>
        <v>8500</v>
      </c>
      <c r="K231" s="310">
        <f t="shared" si="11"/>
        <v>944.44444444444446</v>
      </c>
    </row>
    <row r="232" spans="1:11" x14ac:dyDescent="0.2">
      <c r="A232" t="s">
        <v>371</v>
      </c>
      <c r="B232" t="s">
        <v>372</v>
      </c>
      <c r="C232" t="s">
        <v>367</v>
      </c>
      <c r="D232" t="s">
        <v>120</v>
      </c>
      <c r="E232" t="s">
        <v>60</v>
      </c>
      <c r="F232" s="330">
        <v>0.72</v>
      </c>
      <c r="G232" s="330">
        <v>1200</v>
      </c>
      <c r="H232" s="310">
        <f t="shared" si="9"/>
        <v>1666.6666666666667</v>
      </c>
      <c r="I232" s="311">
        <v>0.15</v>
      </c>
      <c r="J232" s="310">
        <f t="shared" si="10"/>
        <v>1020</v>
      </c>
      <c r="K232" s="310">
        <f t="shared" si="11"/>
        <v>1416.6666666666667</v>
      </c>
    </row>
    <row r="233" spans="1:11" x14ac:dyDescent="0.2">
      <c r="A233" t="s">
        <v>371</v>
      </c>
      <c r="B233" t="s">
        <v>372</v>
      </c>
      <c r="C233" t="s">
        <v>366</v>
      </c>
      <c r="D233" t="s">
        <v>120</v>
      </c>
      <c r="E233" t="s">
        <v>60</v>
      </c>
      <c r="F233" s="330">
        <v>0.72</v>
      </c>
      <c r="G233" s="330">
        <v>1200</v>
      </c>
      <c r="H233" s="310">
        <f t="shared" si="9"/>
        <v>1666.6666666666667</v>
      </c>
      <c r="I233" s="311">
        <v>0.15</v>
      </c>
      <c r="J233" s="310">
        <f t="shared" si="10"/>
        <v>1020</v>
      </c>
      <c r="K233" s="310">
        <f t="shared" si="11"/>
        <v>1416.6666666666667</v>
      </c>
    </row>
    <row r="234" spans="1:11" x14ac:dyDescent="0.2">
      <c r="A234" t="s">
        <v>371</v>
      </c>
      <c r="B234" t="s">
        <v>372</v>
      </c>
      <c r="C234" t="s">
        <v>367</v>
      </c>
      <c r="D234" t="s">
        <v>120</v>
      </c>
      <c r="E234" t="s">
        <v>61</v>
      </c>
      <c r="F234" s="330">
        <v>0.72</v>
      </c>
      <c r="G234" s="330">
        <v>1000</v>
      </c>
      <c r="H234" s="310">
        <f t="shared" si="9"/>
        <v>1388.8888888888889</v>
      </c>
      <c r="I234" s="311">
        <v>0.15</v>
      </c>
      <c r="J234" s="310">
        <f t="shared" si="10"/>
        <v>850</v>
      </c>
      <c r="K234" s="310">
        <f t="shared" si="11"/>
        <v>1180.5555555555557</v>
      </c>
    </row>
    <row r="235" spans="1:11" x14ac:dyDescent="0.2">
      <c r="A235" t="s">
        <v>371</v>
      </c>
      <c r="B235" t="s">
        <v>372</v>
      </c>
      <c r="C235" t="s">
        <v>366</v>
      </c>
      <c r="D235" t="s">
        <v>120</v>
      </c>
      <c r="E235" t="s">
        <v>61</v>
      </c>
      <c r="F235" s="330">
        <v>0.72</v>
      </c>
      <c r="G235" s="330">
        <v>1000</v>
      </c>
      <c r="H235" s="310">
        <f t="shared" si="9"/>
        <v>1388.8888888888889</v>
      </c>
      <c r="I235" s="311">
        <v>0.15</v>
      </c>
      <c r="J235" s="310">
        <f t="shared" si="10"/>
        <v>850</v>
      </c>
      <c r="K235" s="310">
        <f t="shared" si="11"/>
        <v>1180.5555555555557</v>
      </c>
    </row>
    <row r="236" spans="1:11" x14ac:dyDescent="0.2">
      <c r="A236" t="s">
        <v>371</v>
      </c>
      <c r="B236" t="s">
        <v>372</v>
      </c>
      <c r="C236" t="s">
        <v>367</v>
      </c>
      <c r="D236" t="s">
        <v>120</v>
      </c>
      <c r="E236" t="s">
        <v>62</v>
      </c>
      <c r="F236" s="330">
        <v>1.3</v>
      </c>
      <c r="G236" s="330">
        <v>1600</v>
      </c>
      <c r="H236" s="310">
        <f t="shared" si="9"/>
        <v>1230.7692307692307</v>
      </c>
      <c r="I236" s="311">
        <v>0.15</v>
      </c>
      <c r="J236" s="310">
        <f t="shared" si="10"/>
        <v>1360</v>
      </c>
      <c r="K236" s="310">
        <f t="shared" si="11"/>
        <v>1046.1538461538462</v>
      </c>
    </row>
    <row r="237" spans="1:11" x14ac:dyDescent="0.2">
      <c r="A237" t="s">
        <v>371</v>
      </c>
      <c r="B237" t="s">
        <v>372</v>
      </c>
      <c r="C237" t="s">
        <v>366</v>
      </c>
      <c r="D237" t="s">
        <v>120</v>
      </c>
      <c r="E237" t="s">
        <v>62</v>
      </c>
      <c r="F237" s="330">
        <v>1.3</v>
      </c>
      <c r="G237" s="330">
        <v>1600</v>
      </c>
      <c r="H237" s="310">
        <f t="shared" si="9"/>
        <v>1230.7692307692307</v>
      </c>
      <c r="I237" s="311">
        <v>0.15</v>
      </c>
      <c r="J237" s="310">
        <f t="shared" si="10"/>
        <v>1360</v>
      </c>
      <c r="K237" s="310">
        <f t="shared" si="11"/>
        <v>1046.1538461538462</v>
      </c>
    </row>
    <row r="238" spans="1:11" x14ac:dyDescent="0.2">
      <c r="A238" t="s">
        <v>371</v>
      </c>
      <c r="B238" t="s">
        <v>372</v>
      </c>
      <c r="C238" t="s">
        <v>367</v>
      </c>
      <c r="D238" t="s">
        <v>120</v>
      </c>
      <c r="E238" t="s">
        <v>63</v>
      </c>
      <c r="F238" s="330">
        <v>1.3</v>
      </c>
      <c r="G238" s="330">
        <v>1400</v>
      </c>
      <c r="H238" s="310">
        <f t="shared" si="9"/>
        <v>1076.9230769230769</v>
      </c>
      <c r="I238" s="311">
        <v>0.15</v>
      </c>
      <c r="J238" s="310">
        <f t="shared" si="10"/>
        <v>1190</v>
      </c>
      <c r="K238" s="310">
        <f t="shared" si="11"/>
        <v>915.38461538461536</v>
      </c>
    </row>
    <row r="239" spans="1:11" x14ac:dyDescent="0.2">
      <c r="A239" t="s">
        <v>371</v>
      </c>
      <c r="B239" t="s">
        <v>372</v>
      </c>
      <c r="C239" t="s">
        <v>366</v>
      </c>
      <c r="D239" t="s">
        <v>120</v>
      </c>
      <c r="E239" t="s">
        <v>63</v>
      </c>
      <c r="F239" s="330">
        <v>1.3</v>
      </c>
      <c r="G239" s="330">
        <v>1400</v>
      </c>
      <c r="H239" s="310">
        <f t="shared" si="9"/>
        <v>1076.9230769230769</v>
      </c>
      <c r="I239" s="311">
        <v>0.15</v>
      </c>
      <c r="J239" s="310">
        <f t="shared" si="10"/>
        <v>1190</v>
      </c>
      <c r="K239" s="310">
        <f t="shared" si="11"/>
        <v>915.38461538461536</v>
      </c>
    </row>
    <row r="240" spans="1:11" x14ac:dyDescent="0.2">
      <c r="A240" t="s">
        <v>371</v>
      </c>
      <c r="B240" t="s">
        <v>372</v>
      </c>
      <c r="C240" t="s">
        <v>366</v>
      </c>
      <c r="D240" t="s">
        <v>369</v>
      </c>
      <c r="E240" t="s">
        <v>52</v>
      </c>
      <c r="F240" s="330">
        <v>2.25</v>
      </c>
      <c r="G240" s="330">
        <v>3000</v>
      </c>
      <c r="H240" s="310">
        <f t="shared" si="9"/>
        <v>1333.3333333333333</v>
      </c>
      <c r="I240" s="311">
        <v>0.15</v>
      </c>
      <c r="J240" s="310">
        <f t="shared" si="10"/>
        <v>2550</v>
      </c>
      <c r="K240" s="310">
        <f t="shared" si="11"/>
        <v>1133.3333333333333</v>
      </c>
    </row>
    <row r="241" spans="1:11" x14ac:dyDescent="0.2">
      <c r="A241" t="s">
        <v>371</v>
      </c>
      <c r="B241" t="s">
        <v>372</v>
      </c>
      <c r="C241" t="s">
        <v>367</v>
      </c>
      <c r="D241" t="s">
        <v>369</v>
      </c>
      <c r="E241" t="s">
        <v>52</v>
      </c>
      <c r="F241" s="330">
        <v>2.25</v>
      </c>
      <c r="G241" s="330">
        <v>2700</v>
      </c>
      <c r="H241" s="310">
        <f t="shared" si="9"/>
        <v>1200</v>
      </c>
      <c r="I241" s="311">
        <v>0.15</v>
      </c>
      <c r="J241" s="310">
        <f t="shared" si="10"/>
        <v>2295</v>
      </c>
      <c r="K241" s="310">
        <f t="shared" si="11"/>
        <v>1020</v>
      </c>
    </row>
    <row r="242" spans="1:11" x14ac:dyDescent="0.2">
      <c r="A242" t="s">
        <v>371</v>
      </c>
      <c r="B242" t="s">
        <v>372</v>
      </c>
      <c r="C242" t="s">
        <v>366</v>
      </c>
      <c r="D242" t="s">
        <v>369</v>
      </c>
      <c r="E242" t="s">
        <v>53</v>
      </c>
      <c r="F242" s="330">
        <v>3</v>
      </c>
      <c r="G242" s="330">
        <v>4000</v>
      </c>
      <c r="H242" s="310">
        <f t="shared" si="9"/>
        <v>1333.3333333333333</v>
      </c>
      <c r="I242" s="311">
        <v>0.15</v>
      </c>
      <c r="J242" s="310">
        <f t="shared" si="10"/>
        <v>3400</v>
      </c>
      <c r="K242" s="310">
        <f t="shared" si="11"/>
        <v>1133.3333333333333</v>
      </c>
    </row>
    <row r="243" spans="1:11" x14ac:dyDescent="0.2">
      <c r="A243" t="s">
        <v>371</v>
      </c>
      <c r="B243" t="s">
        <v>372</v>
      </c>
      <c r="C243" t="s">
        <v>367</v>
      </c>
      <c r="D243" t="s">
        <v>369</v>
      </c>
      <c r="E243" t="s">
        <v>53</v>
      </c>
      <c r="F243" s="330">
        <v>3</v>
      </c>
      <c r="G243" s="330">
        <v>3600</v>
      </c>
      <c r="H243" s="310">
        <f t="shared" si="9"/>
        <v>1200</v>
      </c>
      <c r="I243" s="311">
        <v>0.15</v>
      </c>
      <c r="J243" s="310">
        <f t="shared" si="10"/>
        <v>3060</v>
      </c>
      <c r="K243" s="310">
        <f t="shared" si="11"/>
        <v>1020</v>
      </c>
    </row>
    <row r="244" spans="1:11" x14ac:dyDescent="0.2">
      <c r="A244" t="s">
        <v>371</v>
      </c>
      <c r="B244" t="s">
        <v>372</v>
      </c>
      <c r="C244" t="s">
        <v>366</v>
      </c>
      <c r="D244" t="s">
        <v>369</v>
      </c>
      <c r="E244" t="s">
        <v>54</v>
      </c>
      <c r="F244" s="330">
        <v>4.5</v>
      </c>
      <c r="G244" s="330">
        <v>6000</v>
      </c>
      <c r="H244" s="310">
        <f t="shared" si="9"/>
        <v>1333.3333333333333</v>
      </c>
      <c r="I244" s="311">
        <v>0.15</v>
      </c>
      <c r="J244" s="310">
        <f t="shared" si="10"/>
        <v>5100</v>
      </c>
      <c r="K244" s="310">
        <f t="shared" si="11"/>
        <v>1133.3333333333333</v>
      </c>
    </row>
    <row r="245" spans="1:11" x14ac:dyDescent="0.2">
      <c r="A245" t="s">
        <v>371</v>
      </c>
      <c r="B245" t="s">
        <v>372</v>
      </c>
      <c r="C245" t="s">
        <v>367</v>
      </c>
      <c r="D245" t="s">
        <v>369</v>
      </c>
      <c r="E245" t="s">
        <v>54</v>
      </c>
      <c r="F245" s="330">
        <v>4.5</v>
      </c>
      <c r="G245" s="330">
        <v>4500</v>
      </c>
      <c r="H245" s="310">
        <f t="shared" si="9"/>
        <v>1000</v>
      </c>
      <c r="I245" s="311">
        <v>0.15</v>
      </c>
      <c r="J245" s="310">
        <f t="shared" si="10"/>
        <v>3825</v>
      </c>
      <c r="K245" s="310">
        <f t="shared" si="11"/>
        <v>850</v>
      </c>
    </row>
    <row r="246" spans="1:11" x14ac:dyDescent="0.2">
      <c r="A246" t="s">
        <v>371</v>
      </c>
      <c r="B246" t="s">
        <v>372</v>
      </c>
      <c r="C246" t="s">
        <v>366</v>
      </c>
      <c r="D246" t="s">
        <v>369</v>
      </c>
      <c r="E246" t="s">
        <v>55</v>
      </c>
      <c r="F246" s="330">
        <v>6</v>
      </c>
      <c r="G246" s="330">
        <v>7000</v>
      </c>
      <c r="H246" s="310">
        <f t="shared" si="9"/>
        <v>1166.6666666666667</v>
      </c>
      <c r="I246" s="311">
        <v>0.15</v>
      </c>
      <c r="J246" s="310">
        <f t="shared" si="10"/>
        <v>5950</v>
      </c>
      <c r="K246" s="310">
        <f t="shared" si="11"/>
        <v>991.66666666666663</v>
      </c>
    </row>
    <row r="247" spans="1:11" x14ac:dyDescent="0.2">
      <c r="A247" t="s">
        <v>371</v>
      </c>
      <c r="B247" t="s">
        <v>372</v>
      </c>
      <c r="C247" t="s">
        <v>367</v>
      </c>
      <c r="D247" t="s">
        <v>369</v>
      </c>
      <c r="E247" t="s">
        <v>55</v>
      </c>
      <c r="F247" s="330">
        <v>6</v>
      </c>
      <c r="G247" s="330">
        <v>5800</v>
      </c>
      <c r="H247" s="310">
        <f t="shared" si="9"/>
        <v>966.66666666666663</v>
      </c>
      <c r="I247" s="311">
        <v>0.15</v>
      </c>
      <c r="J247" s="310">
        <f t="shared" si="10"/>
        <v>4930</v>
      </c>
      <c r="K247" s="310">
        <f t="shared" si="11"/>
        <v>821.66666666666663</v>
      </c>
    </row>
    <row r="248" spans="1:11" x14ac:dyDescent="0.2">
      <c r="A248" t="s">
        <v>371</v>
      </c>
      <c r="B248" t="s">
        <v>372</v>
      </c>
      <c r="C248" t="s">
        <v>366</v>
      </c>
      <c r="D248" t="s">
        <v>369</v>
      </c>
      <c r="E248" t="s">
        <v>56</v>
      </c>
      <c r="F248" s="330">
        <v>9</v>
      </c>
      <c r="G248" s="330">
        <v>11000</v>
      </c>
      <c r="H248" s="310">
        <f t="shared" si="9"/>
        <v>1222.2222222222222</v>
      </c>
      <c r="I248" s="311">
        <v>0.15</v>
      </c>
      <c r="J248" s="310">
        <f t="shared" si="10"/>
        <v>9350</v>
      </c>
      <c r="K248" s="310">
        <f t="shared" si="11"/>
        <v>1038.8888888888889</v>
      </c>
    </row>
    <row r="249" spans="1:11" x14ac:dyDescent="0.2">
      <c r="A249" t="s">
        <v>371</v>
      </c>
      <c r="B249" t="s">
        <v>372</v>
      </c>
      <c r="C249" t="s">
        <v>367</v>
      </c>
      <c r="D249" t="s">
        <v>369</v>
      </c>
      <c r="E249" t="s">
        <v>56</v>
      </c>
      <c r="F249" s="330">
        <v>9</v>
      </c>
      <c r="G249" s="330">
        <v>8500</v>
      </c>
      <c r="H249" s="310">
        <f t="shared" si="9"/>
        <v>944.44444444444446</v>
      </c>
      <c r="I249" s="311">
        <v>0.15</v>
      </c>
      <c r="J249" s="310">
        <f t="shared" si="10"/>
        <v>7225</v>
      </c>
      <c r="K249" s="310">
        <f t="shared" si="11"/>
        <v>802.77777777777783</v>
      </c>
    </row>
    <row r="250" spans="1:11" x14ac:dyDescent="0.2">
      <c r="A250" t="s">
        <v>371</v>
      </c>
      <c r="B250" t="s">
        <v>372</v>
      </c>
      <c r="C250" t="s">
        <v>366</v>
      </c>
      <c r="D250" t="s">
        <v>369</v>
      </c>
      <c r="E250" t="s">
        <v>57</v>
      </c>
      <c r="F250" s="330">
        <v>12.5</v>
      </c>
      <c r="G250" s="330">
        <v>14000</v>
      </c>
      <c r="H250" s="310">
        <f t="shared" si="9"/>
        <v>1120</v>
      </c>
      <c r="I250" s="311">
        <v>0.15</v>
      </c>
      <c r="J250" s="310">
        <f t="shared" si="10"/>
        <v>11900</v>
      </c>
      <c r="K250" s="310">
        <f t="shared" si="11"/>
        <v>952</v>
      </c>
    </row>
    <row r="251" spans="1:11" x14ac:dyDescent="0.2">
      <c r="A251" t="s">
        <v>371</v>
      </c>
      <c r="B251" t="s">
        <v>372</v>
      </c>
      <c r="C251" t="s">
        <v>367</v>
      </c>
      <c r="D251" t="s">
        <v>369</v>
      </c>
      <c r="E251" t="s">
        <v>57</v>
      </c>
      <c r="F251" s="330">
        <v>12.5</v>
      </c>
      <c r="G251" s="330">
        <v>12000</v>
      </c>
      <c r="H251" s="310">
        <f t="shared" si="9"/>
        <v>960</v>
      </c>
      <c r="I251" s="311">
        <v>0.15</v>
      </c>
      <c r="J251" s="310">
        <f t="shared" si="10"/>
        <v>10200</v>
      </c>
      <c r="K251" s="310">
        <f t="shared" si="11"/>
        <v>816</v>
      </c>
    </row>
    <row r="252" spans="1:11" x14ac:dyDescent="0.2">
      <c r="A252" t="s">
        <v>371</v>
      </c>
      <c r="B252" t="s">
        <v>372</v>
      </c>
      <c r="C252" t="s">
        <v>366</v>
      </c>
      <c r="D252" t="s">
        <v>369</v>
      </c>
      <c r="E252" t="s">
        <v>65</v>
      </c>
      <c r="F252" s="330">
        <v>19.8</v>
      </c>
      <c r="G252" s="330">
        <v>18000</v>
      </c>
      <c r="H252" s="310">
        <f t="shared" si="9"/>
        <v>909.09090909090901</v>
      </c>
      <c r="I252" s="311">
        <v>0.15</v>
      </c>
      <c r="J252" s="310">
        <f t="shared" si="10"/>
        <v>15300</v>
      </c>
      <c r="K252" s="310">
        <f t="shared" si="11"/>
        <v>772.72727272727275</v>
      </c>
    </row>
    <row r="253" spans="1:11" x14ac:dyDescent="0.2">
      <c r="A253" t="s">
        <v>371</v>
      </c>
      <c r="B253" t="s">
        <v>372</v>
      </c>
      <c r="C253" t="s">
        <v>367</v>
      </c>
      <c r="D253" t="s">
        <v>369</v>
      </c>
      <c r="E253" t="s">
        <v>65</v>
      </c>
      <c r="F253" s="330">
        <v>19.8</v>
      </c>
      <c r="G253" s="330">
        <v>16000</v>
      </c>
      <c r="H253" s="310">
        <f t="shared" si="9"/>
        <v>808.08080808080808</v>
      </c>
      <c r="I253" s="311">
        <v>0.15</v>
      </c>
      <c r="J253" s="310">
        <f t="shared" si="10"/>
        <v>13600</v>
      </c>
      <c r="K253" s="310">
        <f t="shared" si="11"/>
        <v>686.86868686868684</v>
      </c>
    </row>
    <row r="254" spans="1:11" x14ac:dyDescent="0.2">
      <c r="A254" t="s">
        <v>371</v>
      </c>
      <c r="B254" t="s">
        <v>372</v>
      </c>
      <c r="C254" t="s">
        <v>366</v>
      </c>
      <c r="D254" t="s">
        <v>369</v>
      </c>
      <c r="E254" t="s">
        <v>66</v>
      </c>
      <c r="F254" s="330">
        <v>25</v>
      </c>
      <c r="G254" s="330">
        <v>22000</v>
      </c>
      <c r="H254" s="310">
        <f t="shared" si="9"/>
        <v>880</v>
      </c>
      <c r="I254" s="311">
        <v>0.15</v>
      </c>
      <c r="J254" s="310">
        <f t="shared" si="10"/>
        <v>18700</v>
      </c>
      <c r="K254" s="310">
        <f t="shared" si="11"/>
        <v>748</v>
      </c>
    </row>
    <row r="255" spans="1:11" x14ac:dyDescent="0.2">
      <c r="A255" t="s">
        <v>371</v>
      </c>
      <c r="B255" t="s">
        <v>372</v>
      </c>
      <c r="C255" t="s">
        <v>367</v>
      </c>
      <c r="D255" t="s">
        <v>369</v>
      </c>
      <c r="E255" t="s">
        <v>66</v>
      </c>
      <c r="F255" s="330">
        <v>25</v>
      </c>
      <c r="G255" s="330">
        <v>18000</v>
      </c>
      <c r="H255" s="310">
        <f t="shared" si="9"/>
        <v>720</v>
      </c>
      <c r="I255" s="311">
        <v>0.15</v>
      </c>
      <c r="J255" s="310">
        <f t="shared" si="10"/>
        <v>15300</v>
      </c>
      <c r="K255" s="310">
        <f t="shared" si="11"/>
        <v>612</v>
      </c>
    </row>
    <row r="256" spans="1:11" x14ac:dyDescent="0.2">
      <c r="A256" t="s">
        <v>371</v>
      </c>
      <c r="B256" t="s">
        <v>356</v>
      </c>
      <c r="C256" t="s">
        <v>367</v>
      </c>
      <c r="D256" t="s">
        <v>120</v>
      </c>
      <c r="E256" t="s">
        <v>60</v>
      </c>
      <c r="F256" s="330">
        <v>0.72</v>
      </c>
      <c r="G256" s="330">
        <v>1400</v>
      </c>
      <c r="H256" s="310">
        <f t="shared" si="9"/>
        <v>1944.4444444444446</v>
      </c>
      <c r="I256" s="311">
        <v>0.2</v>
      </c>
      <c r="J256" s="310">
        <f t="shared" si="10"/>
        <v>1120</v>
      </c>
      <c r="K256" s="310">
        <f t="shared" si="11"/>
        <v>1555.5555555555557</v>
      </c>
    </row>
    <row r="257" spans="1:11" x14ac:dyDescent="0.2">
      <c r="A257" t="s">
        <v>371</v>
      </c>
      <c r="B257" t="s">
        <v>356</v>
      </c>
      <c r="C257" t="s">
        <v>367</v>
      </c>
      <c r="D257" t="s">
        <v>120</v>
      </c>
      <c r="E257" t="s">
        <v>61</v>
      </c>
      <c r="F257" s="330">
        <v>0.72</v>
      </c>
      <c r="G257" s="330">
        <v>1200</v>
      </c>
      <c r="H257" s="310">
        <f t="shared" si="9"/>
        <v>1666.6666666666667</v>
      </c>
      <c r="I257" s="311">
        <v>0.2</v>
      </c>
      <c r="J257" s="310">
        <f t="shared" si="10"/>
        <v>960</v>
      </c>
      <c r="K257" s="310">
        <f t="shared" si="11"/>
        <v>1333.3333333333335</v>
      </c>
    </row>
    <row r="258" spans="1:11" x14ac:dyDescent="0.2">
      <c r="A258" t="s">
        <v>371</v>
      </c>
      <c r="B258" t="s">
        <v>356</v>
      </c>
      <c r="C258" t="s">
        <v>367</v>
      </c>
      <c r="D258" t="s">
        <v>120</v>
      </c>
      <c r="E258" t="s">
        <v>62</v>
      </c>
      <c r="F258" s="330">
        <v>1.3</v>
      </c>
      <c r="G258" s="330">
        <v>1900</v>
      </c>
      <c r="H258" s="310">
        <f t="shared" ref="H258:H321" si="12">G258/F258</f>
        <v>1461.5384615384614</v>
      </c>
      <c r="I258" s="311">
        <v>0.2</v>
      </c>
      <c r="J258" s="310">
        <f t="shared" ref="J258:J321" si="13">G258*(1-I258)</f>
        <v>1520</v>
      </c>
      <c r="K258" s="310">
        <f t="shared" ref="K258:K321" si="14">J258/F258</f>
        <v>1169.2307692307693</v>
      </c>
    </row>
    <row r="259" spans="1:11" x14ac:dyDescent="0.2">
      <c r="A259" t="s">
        <v>371</v>
      </c>
      <c r="B259" t="s">
        <v>356</v>
      </c>
      <c r="C259" t="s">
        <v>367</v>
      </c>
      <c r="D259" t="s">
        <v>120</v>
      </c>
      <c r="E259" t="s">
        <v>63</v>
      </c>
      <c r="F259" s="330">
        <v>1.3</v>
      </c>
      <c r="G259" s="330">
        <v>1700</v>
      </c>
      <c r="H259" s="310">
        <f t="shared" si="12"/>
        <v>1307.6923076923076</v>
      </c>
      <c r="I259" s="311">
        <v>0.2</v>
      </c>
      <c r="J259" s="310">
        <f t="shared" si="13"/>
        <v>1360</v>
      </c>
      <c r="K259" s="310">
        <f t="shared" si="14"/>
        <v>1046.1538461538462</v>
      </c>
    </row>
    <row r="260" spans="1:11" x14ac:dyDescent="0.2">
      <c r="A260" t="s">
        <v>371</v>
      </c>
      <c r="B260" t="s">
        <v>356</v>
      </c>
      <c r="C260" t="s">
        <v>367</v>
      </c>
      <c r="D260" t="s">
        <v>369</v>
      </c>
      <c r="E260" t="s">
        <v>52</v>
      </c>
      <c r="F260" s="330">
        <v>2.25</v>
      </c>
      <c r="G260" s="330">
        <v>3000</v>
      </c>
      <c r="H260" s="310">
        <f t="shared" si="12"/>
        <v>1333.3333333333333</v>
      </c>
      <c r="I260" s="311">
        <v>0.2</v>
      </c>
      <c r="J260" s="310">
        <f t="shared" si="13"/>
        <v>2400</v>
      </c>
      <c r="K260" s="310">
        <f t="shared" si="14"/>
        <v>1066.6666666666667</v>
      </c>
    </row>
    <row r="261" spans="1:11" x14ac:dyDescent="0.2">
      <c r="A261" t="s">
        <v>371</v>
      </c>
      <c r="B261" t="s">
        <v>356</v>
      </c>
      <c r="C261" t="s">
        <v>367</v>
      </c>
      <c r="D261" t="s">
        <v>369</v>
      </c>
      <c r="E261" t="s">
        <v>53</v>
      </c>
      <c r="F261" s="330">
        <v>3</v>
      </c>
      <c r="G261" s="330">
        <v>4000</v>
      </c>
      <c r="H261" s="310">
        <f t="shared" si="12"/>
        <v>1333.3333333333333</v>
      </c>
      <c r="I261" s="311">
        <v>0.2</v>
      </c>
      <c r="J261" s="310">
        <f t="shared" si="13"/>
        <v>3200</v>
      </c>
      <c r="K261" s="310">
        <f t="shared" si="14"/>
        <v>1066.6666666666667</v>
      </c>
    </row>
    <row r="262" spans="1:11" x14ac:dyDescent="0.2">
      <c r="A262" t="s">
        <v>371</v>
      </c>
      <c r="B262" t="s">
        <v>356</v>
      </c>
      <c r="C262" t="s">
        <v>367</v>
      </c>
      <c r="D262" t="s">
        <v>369</v>
      </c>
      <c r="E262" t="s">
        <v>54</v>
      </c>
      <c r="F262" s="330">
        <v>4.5</v>
      </c>
      <c r="G262" s="330">
        <v>5000</v>
      </c>
      <c r="H262" s="310">
        <f t="shared" si="12"/>
        <v>1111.1111111111111</v>
      </c>
      <c r="I262" s="311">
        <v>0.2</v>
      </c>
      <c r="J262" s="310">
        <f t="shared" si="13"/>
        <v>4000</v>
      </c>
      <c r="K262" s="310">
        <f t="shared" si="14"/>
        <v>888.88888888888891</v>
      </c>
    </row>
    <row r="263" spans="1:11" x14ac:dyDescent="0.2">
      <c r="A263" t="s">
        <v>371</v>
      </c>
      <c r="B263" t="s">
        <v>356</v>
      </c>
      <c r="C263" t="s">
        <v>367</v>
      </c>
      <c r="D263" t="s">
        <v>369</v>
      </c>
      <c r="E263" t="s">
        <v>55</v>
      </c>
      <c r="F263" s="330">
        <v>6</v>
      </c>
      <c r="G263" s="330">
        <v>6500</v>
      </c>
      <c r="H263" s="310">
        <f t="shared" si="12"/>
        <v>1083.3333333333333</v>
      </c>
      <c r="I263" s="311">
        <v>0.2</v>
      </c>
      <c r="J263" s="310">
        <f t="shared" si="13"/>
        <v>5200</v>
      </c>
      <c r="K263" s="310">
        <f t="shared" si="14"/>
        <v>866.66666666666663</v>
      </c>
    </row>
    <row r="264" spans="1:11" x14ac:dyDescent="0.2">
      <c r="A264" t="s">
        <v>371</v>
      </c>
      <c r="B264" t="s">
        <v>356</v>
      </c>
      <c r="C264" t="s">
        <v>367</v>
      </c>
      <c r="D264" t="s">
        <v>369</v>
      </c>
      <c r="E264" t="s">
        <v>56</v>
      </c>
      <c r="F264" s="330">
        <v>9</v>
      </c>
      <c r="G264" s="330">
        <v>9500</v>
      </c>
      <c r="H264" s="310">
        <f t="shared" si="12"/>
        <v>1055.5555555555557</v>
      </c>
      <c r="I264" s="311">
        <v>0.2</v>
      </c>
      <c r="J264" s="310">
        <f t="shared" si="13"/>
        <v>7600</v>
      </c>
      <c r="K264" s="310">
        <f t="shared" si="14"/>
        <v>844.44444444444446</v>
      </c>
    </row>
    <row r="265" spans="1:11" x14ac:dyDescent="0.2">
      <c r="A265" t="s">
        <v>371</v>
      </c>
      <c r="B265" t="s">
        <v>356</v>
      </c>
      <c r="C265" t="s">
        <v>366</v>
      </c>
      <c r="D265" t="s">
        <v>120</v>
      </c>
      <c r="E265" t="s">
        <v>60</v>
      </c>
      <c r="F265" s="330">
        <v>0.72</v>
      </c>
      <c r="G265" s="330">
        <v>1400</v>
      </c>
      <c r="H265" s="310">
        <f t="shared" si="12"/>
        <v>1944.4444444444446</v>
      </c>
      <c r="I265" s="311">
        <v>0.2</v>
      </c>
      <c r="J265" s="310">
        <f t="shared" si="13"/>
        <v>1120</v>
      </c>
      <c r="K265" s="310">
        <f t="shared" si="14"/>
        <v>1555.5555555555557</v>
      </c>
    </row>
    <row r="266" spans="1:11" ht="16" customHeight="1" x14ac:dyDescent="0.2">
      <c r="A266" t="s">
        <v>371</v>
      </c>
      <c r="B266" t="s">
        <v>356</v>
      </c>
      <c r="C266" t="s">
        <v>366</v>
      </c>
      <c r="D266" t="s">
        <v>120</v>
      </c>
      <c r="E266" t="s">
        <v>61</v>
      </c>
      <c r="F266" s="330">
        <v>0.72</v>
      </c>
      <c r="G266" s="330">
        <v>1200</v>
      </c>
      <c r="H266" s="310">
        <f t="shared" si="12"/>
        <v>1666.6666666666667</v>
      </c>
      <c r="I266" s="311">
        <v>0.2</v>
      </c>
      <c r="J266" s="310">
        <f t="shared" si="13"/>
        <v>960</v>
      </c>
      <c r="K266" s="310">
        <f t="shared" si="14"/>
        <v>1333.3333333333335</v>
      </c>
    </row>
    <row r="267" spans="1:11" x14ac:dyDescent="0.2">
      <c r="A267" t="s">
        <v>371</v>
      </c>
      <c r="B267" t="s">
        <v>356</v>
      </c>
      <c r="C267" t="s">
        <v>366</v>
      </c>
      <c r="D267" t="s">
        <v>120</v>
      </c>
      <c r="E267" t="s">
        <v>62</v>
      </c>
      <c r="F267" s="330">
        <v>1.3</v>
      </c>
      <c r="G267" s="330">
        <v>1900</v>
      </c>
      <c r="H267" s="310">
        <f t="shared" si="12"/>
        <v>1461.5384615384614</v>
      </c>
      <c r="I267" s="311">
        <v>0.2</v>
      </c>
      <c r="J267" s="310">
        <f t="shared" si="13"/>
        <v>1520</v>
      </c>
      <c r="K267" s="310">
        <f t="shared" si="14"/>
        <v>1169.2307692307693</v>
      </c>
    </row>
    <row r="268" spans="1:11" x14ac:dyDescent="0.2">
      <c r="A268" t="s">
        <v>371</v>
      </c>
      <c r="B268" t="s">
        <v>356</v>
      </c>
      <c r="C268" t="s">
        <v>366</v>
      </c>
      <c r="D268" t="s">
        <v>120</v>
      </c>
      <c r="E268" t="s">
        <v>63</v>
      </c>
      <c r="F268" s="330">
        <v>1.3</v>
      </c>
      <c r="G268" s="330">
        <v>1700</v>
      </c>
      <c r="H268" s="310">
        <f t="shared" si="12"/>
        <v>1307.6923076923076</v>
      </c>
      <c r="I268" s="311">
        <v>0.2</v>
      </c>
      <c r="J268" s="310">
        <f t="shared" si="13"/>
        <v>1360</v>
      </c>
      <c r="K268" s="310">
        <f t="shared" si="14"/>
        <v>1046.1538461538462</v>
      </c>
    </row>
    <row r="269" spans="1:11" x14ac:dyDescent="0.2">
      <c r="A269" t="s">
        <v>371</v>
      </c>
      <c r="B269" t="s">
        <v>356</v>
      </c>
      <c r="C269" t="s">
        <v>366</v>
      </c>
      <c r="D269" t="s">
        <v>369</v>
      </c>
      <c r="E269" t="s">
        <v>52</v>
      </c>
      <c r="F269" s="330">
        <v>2.25</v>
      </c>
      <c r="G269" s="330">
        <v>3500</v>
      </c>
      <c r="H269" s="310">
        <f t="shared" si="12"/>
        <v>1555.5555555555557</v>
      </c>
      <c r="I269" s="311">
        <v>0.2</v>
      </c>
      <c r="J269" s="310">
        <f t="shared" si="13"/>
        <v>2800</v>
      </c>
      <c r="K269" s="310">
        <f t="shared" si="14"/>
        <v>1244.4444444444443</v>
      </c>
    </row>
    <row r="270" spans="1:11" x14ac:dyDescent="0.2">
      <c r="A270" t="s">
        <v>371</v>
      </c>
      <c r="B270" t="s">
        <v>356</v>
      </c>
      <c r="C270" t="s">
        <v>366</v>
      </c>
      <c r="D270" t="s">
        <v>369</v>
      </c>
      <c r="E270" t="s">
        <v>53</v>
      </c>
      <c r="F270" s="330">
        <v>3</v>
      </c>
      <c r="G270" s="330">
        <v>4500</v>
      </c>
      <c r="H270" s="310">
        <f t="shared" si="12"/>
        <v>1500</v>
      </c>
      <c r="I270" s="311">
        <v>0.2</v>
      </c>
      <c r="J270" s="310">
        <f t="shared" si="13"/>
        <v>3600</v>
      </c>
      <c r="K270" s="310">
        <f t="shared" si="14"/>
        <v>1200</v>
      </c>
    </row>
    <row r="271" spans="1:11" x14ac:dyDescent="0.2">
      <c r="A271" t="s">
        <v>371</v>
      </c>
      <c r="B271" t="s">
        <v>356</v>
      </c>
      <c r="C271" t="s">
        <v>366</v>
      </c>
      <c r="D271" t="s">
        <v>369</v>
      </c>
      <c r="E271" t="s">
        <v>54</v>
      </c>
      <c r="F271" s="330">
        <v>4.5</v>
      </c>
      <c r="G271" s="330">
        <v>6500</v>
      </c>
      <c r="H271" s="310">
        <f t="shared" si="12"/>
        <v>1444.4444444444443</v>
      </c>
      <c r="I271" s="311">
        <v>0.2</v>
      </c>
      <c r="J271" s="310">
        <f t="shared" si="13"/>
        <v>5200</v>
      </c>
      <c r="K271" s="310">
        <f t="shared" si="14"/>
        <v>1155.5555555555557</v>
      </c>
    </row>
    <row r="272" spans="1:11" x14ac:dyDescent="0.2">
      <c r="A272" t="s">
        <v>371</v>
      </c>
      <c r="B272" t="s">
        <v>356</v>
      </c>
      <c r="C272" t="s">
        <v>366</v>
      </c>
      <c r="D272" t="s">
        <v>369</v>
      </c>
      <c r="E272" t="s">
        <v>55</v>
      </c>
      <c r="F272" s="330">
        <v>6</v>
      </c>
      <c r="G272" s="330">
        <v>8000</v>
      </c>
      <c r="H272" s="310">
        <f t="shared" si="12"/>
        <v>1333.3333333333333</v>
      </c>
      <c r="I272" s="311">
        <v>0.2</v>
      </c>
      <c r="J272" s="310">
        <f t="shared" si="13"/>
        <v>6400</v>
      </c>
      <c r="K272" s="310">
        <f t="shared" si="14"/>
        <v>1066.6666666666667</v>
      </c>
    </row>
    <row r="273" spans="1:11" x14ac:dyDescent="0.2">
      <c r="A273" t="s">
        <v>364</v>
      </c>
      <c r="B273" t="s">
        <v>85</v>
      </c>
      <c r="C273" t="s">
        <v>366</v>
      </c>
      <c r="D273" t="s">
        <v>120</v>
      </c>
      <c r="E273" t="s">
        <v>19</v>
      </c>
      <c r="F273" s="330">
        <v>0.6</v>
      </c>
      <c r="G273" s="330">
        <v>894.58</v>
      </c>
      <c r="H273" s="310">
        <f t="shared" si="12"/>
        <v>1490.9666666666667</v>
      </c>
      <c r="I273" s="311">
        <v>0</v>
      </c>
      <c r="J273" s="310">
        <f t="shared" si="13"/>
        <v>894.58</v>
      </c>
      <c r="K273" s="310">
        <f t="shared" si="14"/>
        <v>1490.9666666666667</v>
      </c>
    </row>
    <row r="274" spans="1:11" x14ac:dyDescent="0.2">
      <c r="A274" t="s">
        <v>364</v>
      </c>
      <c r="B274" t="s">
        <v>85</v>
      </c>
      <c r="C274" t="s">
        <v>366</v>
      </c>
      <c r="D274" t="s">
        <v>120</v>
      </c>
      <c r="E274" t="s">
        <v>20</v>
      </c>
      <c r="F274" s="330">
        <v>0.6</v>
      </c>
      <c r="G274" s="330">
        <v>801.12</v>
      </c>
      <c r="H274" s="310">
        <f t="shared" si="12"/>
        <v>1335.2</v>
      </c>
      <c r="I274" s="311">
        <v>0</v>
      </c>
      <c r="J274" s="310">
        <f t="shared" si="13"/>
        <v>801.12</v>
      </c>
      <c r="K274" s="310">
        <f t="shared" si="14"/>
        <v>1335.2</v>
      </c>
    </row>
    <row r="275" spans="1:11" x14ac:dyDescent="0.2">
      <c r="A275" t="s">
        <v>364</v>
      </c>
      <c r="B275" t="s">
        <v>85</v>
      </c>
      <c r="C275" t="s">
        <v>367</v>
      </c>
      <c r="D275" t="s">
        <v>120</v>
      </c>
      <c r="E275" t="s">
        <v>5</v>
      </c>
      <c r="F275" s="330">
        <v>0.6</v>
      </c>
      <c r="G275" s="330">
        <v>707.66</v>
      </c>
      <c r="H275" s="310">
        <f t="shared" si="12"/>
        <v>1179.4333333333334</v>
      </c>
      <c r="I275" s="311">
        <v>0</v>
      </c>
      <c r="J275" s="310">
        <f t="shared" si="13"/>
        <v>707.66</v>
      </c>
      <c r="K275" s="310">
        <f t="shared" si="14"/>
        <v>1179.4333333333334</v>
      </c>
    </row>
    <row r="276" spans="1:11" x14ac:dyDescent="0.2">
      <c r="A276" t="s">
        <v>364</v>
      </c>
      <c r="B276" t="s">
        <v>85</v>
      </c>
      <c r="C276" t="s">
        <v>367</v>
      </c>
      <c r="D276" t="s">
        <v>120</v>
      </c>
      <c r="E276" t="s">
        <v>6</v>
      </c>
      <c r="F276" s="330">
        <v>0.6</v>
      </c>
      <c r="G276" s="330">
        <v>614.21</v>
      </c>
      <c r="H276" s="310">
        <f t="shared" si="12"/>
        <v>1023.6833333333334</v>
      </c>
      <c r="I276" s="311">
        <v>0</v>
      </c>
      <c r="J276" s="310">
        <f t="shared" si="13"/>
        <v>614.21</v>
      </c>
      <c r="K276" s="310">
        <f t="shared" si="14"/>
        <v>1023.6833333333334</v>
      </c>
    </row>
    <row r="277" spans="1:11" x14ac:dyDescent="0.2">
      <c r="A277" t="s">
        <v>364</v>
      </c>
      <c r="B277" t="s">
        <v>85</v>
      </c>
      <c r="C277" t="s">
        <v>367</v>
      </c>
      <c r="D277" t="s">
        <v>369</v>
      </c>
      <c r="E277" t="s">
        <v>14</v>
      </c>
      <c r="F277" s="330">
        <v>0.99</v>
      </c>
      <c r="G277" s="330">
        <v>1300</v>
      </c>
      <c r="H277" s="310">
        <f t="shared" si="12"/>
        <v>1313.1313131313132</v>
      </c>
      <c r="I277" s="311">
        <v>0.3</v>
      </c>
      <c r="J277" s="310">
        <f t="shared" si="13"/>
        <v>909.99999999999989</v>
      </c>
      <c r="K277" s="310">
        <f t="shared" si="14"/>
        <v>919.19191919191906</v>
      </c>
    </row>
    <row r="278" spans="1:11" x14ac:dyDescent="0.2">
      <c r="A278" t="s">
        <v>364</v>
      </c>
      <c r="B278" t="s">
        <v>85</v>
      </c>
      <c r="C278" t="s">
        <v>366</v>
      </c>
      <c r="D278" t="s">
        <v>369</v>
      </c>
      <c r="E278" t="s">
        <v>31</v>
      </c>
      <c r="F278" s="330">
        <v>1</v>
      </c>
      <c r="G278" s="330">
        <v>1600</v>
      </c>
      <c r="H278" s="310">
        <f t="shared" si="12"/>
        <v>1600</v>
      </c>
      <c r="I278" s="311">
        <v>0.3</v>
      </c>
      <c r="J278" s="310">
        <f t="shared" si="13"/>
        <v>1120</v>
      </c>
      <c r="K278" s="310">
        <f t="shared" si="14"/>
        <v>1120</v>
      </c>
    </row>
    <row r="279" spans="1:11" x14ac:dyDescent="0.2">
      <c r="A279" t="s">
        <v>364</v>
      </c>
      <c r="B279" t="s">
        <v>85</v>
      </c>
      <c r="C279" t="s">
        <v>367</v>
      </c>
      <c r="D279" t="s">
        <v>369</v>
      </c>
      <c r="E279" t="s">
        <v>14</v>
      </c>
      <c r="F279" s="330">
        <v>1</v>
      </c>
      <c r="G279" s="330">
        <v>1300</v>
      </c>
      <c r="H279" s="310">
        <f t="shared" si="12"/>
        <v>1300</v>
      </c>
      <c r="I279" s="311">
        <v>0.3</v>
      </c>
      <c r="J279" s="310">
        <f t="shared" si="13"/>
        <v>909.99999999999989</v>
      </c>
      <c r="K279" s="310">
        <f t="shared" si="14"/>
        <v>909.99999999999989</v>
      </c>
    </row>
    <row r="280" spans="1:11" x14ac:dyDescent="0.2">
      <c r="A280" t="s">
        <v>364</v>
      </c>
      <c r="B280" t="s">
        <v>85</v>
      </c>
      <c r="C280" t="s">
        <v>367</v>
      </c>
      <c r="D280" t="s">
        <v>369</v>
      </c>
      <c r="E280" t="s">
        <v>14</v>
      </c>
      <c r="F280" s="330">
        <v>1.08</v>
      </c>
      <c r="G280" s="330">
        <v>1300</v>
      </c>
      <c r="H280" s="310">
        <f t="shared" si="12"/>
        <v>1203.7037037037037</v>
      </c>
      <c r="I280" s="311">
        <v>0.3</v>
      </c>
      <c r="J280" s="310">
        <f t="shared" si="13"/>
        <v>909.99999999999989</v>
      </c>
      <c r="K280" s="310">
        <f t="shared" si="14"/>
        <v>842.59259259259238</v>
      </c>
    </row>
    <row r="281" spans="1:11" x14ac:dyDescent="0.2">
      <c r="A281" t="s">
        <v>364</v>
      </c>
      <c r="B281" t="s">
        <v>85</v>
      </c>
      <c r="C281" t="s">
        <v>366</v>
      </c>
      <c r="D281" t="s">
        <v>369</v>
      </c>
      <c r="E281" t="s">
        <v>31</v>
      </c>
      <c r="F281" s="330">
        <v>1.1000000000000001</v>
      </c>
      <c r="G281" s="330">
        <v>1600</v>
      </c>
      <c r="H281" s="310">
        <f t="shared" si="12"/>
        <v>1454.5454545454545</v>
      </c>
      <c r="I281" s="311">
        <v>0.3</v>
      </c>
      <c r="J281" s="310">
        <f t="shared" si="13"/>
        <v>1120</v>
      </c>
      <c r="K281" s="310">
        <f t="shared" si="14"/>
        <v>1018.1818181818181</v>
      </c>
    </row>
    <row r="282" spans="1:11" x14ac:dyDescent="0.2">
      <c r="A282" t="s">
        <v>364</v>
      </c>
      <c r="B282" t="s">
        <v>85</v>
      </c>
      <c r="C282" t="s">
        <v>366</v>
      </c>
      <c r="D282" t="s">
        <v>369</v>
      </c>
      <c r="E282" t="s">
        <v>31</v>
      </c>
      <c r="F282" s="330">
        <v>1.2</v>
      </c>
      <c r="G282" s="330">
        <v>1700</v>
      </c>
      <c r="H282" s="310">
        <f t="shared" si="12"/>
        <v>1416.6666666666667</v>
      </c>
      <c r="I282" s="311">
        <v>0.3</v>
      </c>
      <c r="J282" s="310">
        <f t="shared" si="13"/>
        <v>1190</v>
      </c>
      <c r="K282" s="310">
        <f t="shared" si="14"/>
        <v>991.66666666666674</v>
      </c>
    </row>
    <row r="283" spans="1:11" x14ac:dyDescent="0.2">
      <c r="A283" t="s">
        <v>364</v>
      </c>
      <c r="B283" t="s">
        <v>85</v>
      </c>
      <c r="C283" t="s">
        <v>367</v>
      </c>
      <c r="D283" t="s">
        <v>369</v>
      </c>
      <c r="E283" t="s">
        <v>14</v>
      </c>
      <c r="F283" s="330">
        <v>1.2</v>
      </c>
      <c r="G283" s="330">
        <v>1400</v>
      </c>
      <c r="H283" s="310">
        <f t="shared" si="12"/>
        <v>1166.6666666666667</v>
      </c>
      <c r="I283" s="311">
        <v>0.3</v>
      </c>
      <c r="J283" s="310">
        <f t="shared" si="13"/>
        <v>979.99999999999989</v>
      </c>
      <c r="K283" s="310">
        <f t="shared" si="14"/>
        <v>816.66666666666663</v>
      </c>
    </row>
    <row r="284" spans="1:11" x14ac:dyDescent="0.2">
      <c r="A284" t="s">
        <v>364</v>
      </c>
      <c r="B284" t="s">
        <v>85</v>
      </c>
      <c r="C284" t="s">
        <v>366</v>
      </c>
      <c r="D284" t="s">
        <v>369</v>
      </c>
      <c r="E284" t="s">
        <v>31</v>
      </c>
      <c r="F284" s="330">
        <v>1.3</v>
      </c>
      <c r="G284" s="330">
        <v>1700</v>
      </c>
      <c r="H284" s="310">
        <f t="shared" si="12"/>
        <v>1307.6923076923076</v>
      </c>
      <c r="I284" s="311">
        <v>0.3</v>
      </c>
      <c r="J284" s="310">
        <f t="shared" si="13"/>
        <v>1190</v>
      </c>
      <c r="K284" s="310">
        <f t="shared" si="14"/>
        <v>915.38461538461536</v>
      </c>
    </row>
    <row r="285" spans="1:11" x14ac:dyDescent="0.2">
      <c r="A285" t="s">
        <v>364</v>
      </c>
      <c r="B285" t="s">
        <v>85</v>
      </c>
      <c r="C285" t="s">
        <v>367</v>
      </c>
      <c r="D285" t="s">
        <v>369</v>
      </c>
      <c r="E285" t="s">
        <v>14</v>
      </c>
      <c r="F285" s="330">
        <v>1.3</v>
      </c>
      <c r="G285" s="330">
        <v>1400</v>
      </c>
      <c r="H285" s="310">
        <f t="shared" si="12"/>
        <v>1076.9230769230769</v>
      </c>
      <c r="I285" s="311">
        <v>0.3</v>
      </c>
      <c r="J285" s="310">
        <f t="shared" si="13"/>
        <v>979.99999999999989</v>
      </c>
      <c r="K285" s="310">
        <f t="shared" si="14"/>
        <v>753.8461538461537</v>
      </c>
    </row>
    <row r="286" spans="1:11" x14ac:dyDescent="0.2">
      <c r="A286" t="s">
        <v>364</v>
      </c>
      <c r="B286" t="s">
        <v>85</v>
      </c>
      <c r="C286" t="s">
        <v>366</v>
      </c>
      <c r="D286" t="s">
        <v>369</v>
      </c>
      <c r="E286" t="s">
        <v>31</v>
      </c>
      <c r="F286" s="330">
        <v>1.44</v>
      </c>
      <c r="G286" s="330">
        <v>2000</v>
      </c>
      <c r="H286" s="310">
        <f t="shared" si="12"/>
        <v>1388.8888888888889</v>
      </c>
      <c r="I286" s="311">
        <v>0.3</v>
      </c>
      <c r="J286" s="310">
        <f t="shared" si="13"/>
        <v>1400</v>
      </c>
      <c r="K286" s="310">
        <f t="shared" si="14"/>
        <v>972.22222222222229</v>
      </c>
    </row>
    <row r="287" spans="1:11" x14ac:dyDescent="0.2">
      <c r="A287" t="s">
        <v>364</v>
      </c>
      <c r="B287" t="s">
        <v>85</v>
      </c>
      <c r="C287" t="s">
        <v>367</v>
      </c>
      <c r="D287" t="s">
        <v>369</v>
      </c>
      <c r="E287" t="s">
        <v>14</v>
      </c>
      <c r="F287" s="330">
        <v>1.44</v>
      </c>
      <c r="G287" s="330">
        <v>1600</v>
      </c>
      <c r="H287" s="310">
        <f t="shared" si="12"/>
        <v>1111.1111111111111</v>
      </c>
      <c r="I287" s="311">
        <v>0.3</v>
      </c>
      <c r="J287" s="310">
        <f t="shared" si="13"/>
        <v>1120</v>
      </c>
      <c r="K287" s="310">
        <f t="shared" si="14"/>
        <v>777.77777777777783</v>
      </c>
    </row>
    <row r="288" spans="1:11" x14ac:dyDescent="0.2">
      <c r="A288" t="s">
        <v>364</v>
      </c>
      <c r="B288" t="s">
        <v>85</v>
      </c>
      <c r="C288" t="s">
        <v>366</v>
      </c>
      <c r="D288" t="s">
        <v>369</v>
      </c>
      <c r="E288" t="s">
        <v>29</v>
      </c>
      <c r="F288" s="330">
        <v>1.8</v>
      </c>
      <c r="G288" s="330">
        <v>2400</v>
      </c>
      <c r="H288" s="310">
        <f t="shared" si="12"/>
        <v>1333.3333333333333</v>
      </c>
      <c r="I288" s="311">
        <v>0.3</v>
      </c>
      <c r="J288" s="310">
        <f t="shared" si="13"/>
        <v>1680</v>
      </c>
      <c r="K288" s="310">
        <f t="shared" si="14"/>
        <v>933.33333333333326</v>
      </c>
    </row>
    <row r="289" spans="1:11" x14ac:dyDescent="0.2">
      <c r="A289" t="s">
        <v>364</v>
      </c>
      <c r="B289" t="s">
        <v>85</v>
      </c>
      <c r="C289" t="s">
        <v>366</v>
      </c>
      <c r="D289" t="s">
        <v>369</v>
      </c>
      <c r="E289" t="s">
        <v>29</v>
      </c>
      <c r="F289" s="330">
        <v>1.8</v>
      </c>
      <c r="G289" s="330">
        <v>2400</v>
      </c>
      <c r="H289" s="310">
        <f t="shared" si="12"/>
        <v>1333.3333333333333</v>
      </c>
      <c r="I289" s="311">
        <v>0.3</v>
      </c>
      <c r="J289" s="310">
        <f t="shared" si="13"/>
        <v>1680</v>
      </c>
      <c r="K289" s="310">
        <f t="shared" si="14"/>
        <v>933.33333333333326</v>
      </c>
    </row>
    <row r="290" spans="1:11" x14ac:dyDescent="0.2">
      <c r="A290" t="s">
        <v>364</v>
      </c>
      <c r="B290" t="s">
        <v>85</v>
      </c>
      <c r="C290" t="s">
        <v>367</v>
      </c>
      <c r="D290" t="s">
        <v>369</v>
      </c>
      <c r="E290" t="s">
        <v>12</v>
      </c>
      <c r="F290" s="330">
        <v>1.8</v>
      </c>
      <c r="G290" s="330">
        <v>2000</v>
      </c>
      <c r="H290" s="310">
        <f t="shared" si="12"/>
        <v>1111.1111111111111</v>
      </c>
      <c r="I290" s="311">
        <v>0.3</v>
      </c>
      <c r="J290" s="310">
        <f t="shared" si="13"/>
        <v>1400</v>
      </c>
      <c r="K290" s="310">
        <f t="shared" si="14"/>
        <v>777.77777777777771</v>
      </c>
    </row>
    <row r="291" spans="1:11" x14ac:dyDescent="0.2">
      <c r="A291" t="s">
        <v>364</v>
      </c>
      <c r="B291" t="s">
        <v>85</v>
      </c>
      <c r="C291" t="s">
        <v>367</v>
      </c>
      <c r="D291" t="s">
        <v>369</v>
      </c>
      <c r="E291" t="s">
        <v>12</v>
      </c>
      <c r="F291" s="330">
        <v>1.8</v>
      </c>
      <c r="G291" s="330">
        <v>2000</v>
      </c>
      <c r="H291" s="310">
        <f t="shared" si="12"/>
        <v>1111.1111111111111</v>
      </c>
      <c r="I291" s="311">
        <v>0.3</v>
      </c>
      <c r="J291" s="310">
        <f t="shared" si="13"/>
        <v>1400</v>
      </c>
      <c r="K291" s="310">
        <f t="shared" si="14"/>
        <v>777.77777777777771</v>
      </c>
    </row>
    <row r="292" spans="1:11" x14ac:dyDescent="0.2">
      <c r="A292" t="s">
        <v>364</v>
      </c>
      <c r="B292" t="s">
        <v>85</v>
      </c>
      <c r="C292" t="s">
        <v>367</v>
      </c>
      <c r="D292" t="s">
        <v>369</v>
      </c>
      <c r="E292" t="s">
        <v>12</v>
      </c>
      <c r="F292" s="330">
        <v>1.8</v>
      </c>
      <c r="G292" s="330">
        <v>2000</v>
      </c>
      <c r="H292" s="310">
        <f t="shared" si="12"/>
        <v>1111.1111111111111</v>
      </c>
      <c r="I292" s="311">
        <v>0.3</v>
      </c>
      <c r="J292" s="310">
        <f t="shared" si="13"/>
        <v>1400</v>
      </c>
      <c r="K292" s="310">
        <f t="shared" si="14"/>
        <v>777.77777777777771</v>
      </c>
    </row>
    <row r="293" spans="1:11" x14ac:dyDescent="0.2">
      <c r="A293" t="s">
        <v>364</v>
      </c>
      <c r="B293" t="s">
        <v>85</v>
      </c>
      <c r="C293" t="s">
        <v>366</v>
      </c>
      <c r="D293" t="s">
        <v>369</v>
      </c>
      <c r="E293" t="s">
        <v>29</v>
      </c>
      <c r="F293" s="330">
        <v>1.9</v>
      </c>
      <c r="G293" s="330">
        <v>2600</v>
      </c>
      <c r="H293" s="310">
        <f t="shared" si="12"/>
        <v>1368.421052631579</v>
      </c>
      <c r="I293" s="311">
        <v>0.3</v>
      </c>
      <c r="J293" s="310">
        <f t="shared" si="13"/>
        <v>1819.9999999999998</v>
      </c>
      <c r="K293" s="310">
        <f t="shared" si="14"/>
        <v>957.8947368421052</v>
      </c>
    </row>
    <row r="294" spans="1:11" x14ac:dyDescent="0.2">
      <c r="A294" t="s">
        <v>364</v>
      </c>
      <c r="B294" t="s">
        <v>85</v>
      </c>
      <c r="C294" t="s">
        <v>366</v>
      </c>
      <c r="D294" t="s">
        <v>369</v>
      </c>
      <c r="E294" t="s">
        <v>29</v>
      </c>
      <c r="F294" s="330">
        <v>1.9</v>
      </c>
      <c r="G294" s="330">
        <v>2600</v>
      </c>
      <c r="H294" s="310">
        <f t="shared" si="12"/>
        <v>1368.421052631579</v>
      </c>
      <c r="I294" s="311">
        <v>0.3</v>
      </c>
      <c r="J294" s="310">
        <f t="shared" si="13"/>
        <v>1819.9999999999998</v>
      </c>
      <c r="K294" s="310">
        <f t="shared" si="14"/>
        <v>957.8947368421052</v>
      </c>
    </row>
    <row r="295" spans="1:11" x14ac:dyDescent="0.2">
      <c r="A295" t="s">
        <v>364</v>
      </c>
      <c r="B295" t="s">
        <v>85</v>
      </c>
      <c r="C295" t="s">
        <v>367</v>
      </c>
      <c r="D295" t="s">
        <v>369</v>
      </c>
      <c r="E295" t="s">
        <v>12</v>
      </c>
      <c r="F295" s="330">
        <v>1.9</v>
      </c>
      <c r="G295" s="330">
        <v>2100</v>
      </c>
      <c r="H295" s="310">
        <f t="shared" si="12"/>
        <v>1105.2631578947369</v>
      </c>
      <c r="I295" s="311">
        <v>0.3</v>
      </c>
      <c r="J295" s="310">
        <f t="shared" si="13"/>
        <v>1470</v>
      </c>
      <c r="K295" s="310">
        <f t="shared" si="14"/>
        <v>773.68421052631584</v>
      </c>
    </row>
    <row r="296" spans="1:11" x14ac:dyDescent="0.2">
      <c r="A296" t="s">
        <v>364</v>
      </c>
      <c r="B296" t="s">
        <v>85</v>
      </c>
      <c r="C296" t="s">
        <v>367</v>
      </c>
      <c r="D296" t="s">
        <v>369</v>
      </c>
      <c r="E296" t="s">
        <v>12</v>
      </c>
      <c r="F296" s="330">
        <v>1.9</v>
      </c>
      <c r="G296" s="330">
        <v>2100</v>
      </c>
      <c r="H296" s="310">
        <f t="shared" si="12"/>
        <v>1105.2631578947369</v>
      </c>
      <c r="I296" s="311">
        <v>0.3</v>
      </c>
      <c r="J296" s="310">
        <f t="shared" si="13"/>
        <v>1470</v>
      </c>
      <c r="K296" s="310">
        <f t="shared" si="14"/>
        <v>773.68421052631584</v>
      </c>
    </row>
    <row r="297" spans="1:11" x14ac:dyDescent="0.2">
      <c r="A297" t="s">
        <v>364</v>
      </c>
      <c r="B297" t="s">
        <v>85</v>
      </c>
      <c r="C297" t="s">
        <v>366</v>
      </c>
      <c r="D297" t="s">
        <v>369</v>
      </c>
      <c r="E297" t="s">
        <v>29</v>
      </c>
      <c r="F297" s="330">
        <v>1.98</v>
      </c>
      <c r="G297" s="330">
        <v>2700</v>
      </c>
      <c r="H297" s="310">
        <f t="shared" si="12"/>
        <v>1363.6363636363637</v>
      </c>
      <c r="I297" s="311">
        <v>0.3</v>
      </c>
      <c r="J297" s="310">
        <f t="shared" si="13"/>
        <v>1889.9999999999998</v>
      </c>
      <c r="K297" s="310">
        <f t="shared" si="14"/>
        <v>954.54545454545439</v>
      </c>
    </row>
    <row r="298" spans="1:11" x14ac:dyDescent="0.2">
      <c r="A298" t="s">
        <v>364</v>
      </c>
      <c r="B298" t="s">
        <v>85</v>
      </c>
      <c r="C298" t="s">
        <v>367</v>
      </c>
      <c r="D298" t="s">
        <v>369</v>
      </c>
      <c r="E298" t="s">
        <v>12</v>
      </c>
      <c r="F298" s="330">
        <v>1.98</v>
      </c>
      <c r="G298" s="330">
        <v>2200</v>
      </c>
      <c r="H298" s="310">
        <f t="shared" si="12"/>
        <v>1111.1111111111111</v>
      </c>
      <c r="I298" s="311">
        <v>0.3</v>
      </c>
      <c r="J298" s="310">
        <f t="shared" si="13"/>
        <v>1540</v>
      </c>
      <c r="K298" s="310">
        <f t="shared" si="14"/>
        <v>777.77777777777783</v>
      </c>
    </row>
    <row r="299" spans="1:11" x14ac:dyDescent="0.2">
      <c r="A299" t="s">
        <v>364</v>
      </c>
      <c r="B299" t="s">
        <v>85</v>
      </c>
      <c r="C299" t="s">
        <v>366</v>
      </c>
      <c r="D299" t="s">
        <v>369</v>
      </c>
      <c r="E299" t="s">
        <v>29</v>
      </c>
      <c r="F299" s="330">
        <v>2.04</v>
      </c>
      <c r="G299" s="330">
        <v>2700</v>
      </c>
      <c r="H299" s="310">
        <f t="shared" si="12"/>
        <v>1323.5294117647059</v>
      </c>
      <c r="I299" s="311">
        <v>0.3</v>
      </c>
      <c r="J299" s="310">
        <f t="shared" si="13"/>
        <v>1889.9999999999998</v>
      </c>
      <c r="K299" s="310">
        <f t="shared" si="14"/>
        <v>926.47058823529403</v>
      </c>
    </row>
    <row r="300" spans="1:11" x14ac:dyDescent="0.2">
      <c r="A300" t="s">
        <v>364</v>
      </c>
      <c r="B300" t="s">
        <v>85</v>
      </c>
      <c r="C300" t="s">
        <v>367</v>
      </c>
      <c r="D300" t="s">
        <v>369</v>
      </c>
      <c r="E300" t="s">
        <v>12</v>
      </c>
      <c r="F300" s="330">
        <v>2.04</v>
      </c>
      <c r="G300" s="330">
        <v>2200</v>
      </c>
      <c r="H300" s="310">
        <f t="shared" si="12"/>
        <v>1078.4313725490197</v>
      </c>
      <c r="I300" s="311">
        <v>0.3</v>
      </c>
      <c r="J300" s="310">
        <f t="shared" si="13"/>
        <v>1540</v>
      </c>
      <c r="K300" s="310">
        <f t="shared" si="14"/>
        <v>754.9019607843137</v>
      </c>
    </row>
    <row r="301" spans="1:11" x14ac:dyDescent="0.2">
      <c r="A301" t="s">
        <v>364</v>
      </c>
      <c r="B301" t="s">
        <v>85</v>
      </c>
      <c r="C301" t="s">
        <v>367</v>
      </c>
      <c r="D301" t="s">
        <v>369</v>
      </c>
      <c r="E301" t="s">
        <v>12</v>
      </c>
      <c r="F301" s="330">
        <v>2.09</v>
      </c>
      <c r="G301" s="330">
        <v>2200</v>
      </c>
      <c r="H301" s="310">
        <f t="shared" si="12"/>
        <v>1052.6315789473686</v>
      </c>
      <c r="I301" s="311">
        <v>0.3</v>
      </c>
      <c r="J301" s="310">
        <f t="shared" si="13"/>
        <v>1540</v>
      </c>
      <c r="K301" s="310">
        <f t="shared" si="14"/>
        <v>736.84210526315792</v>
      </c>
    </row>
    <row r="302" spans="1:11" x14ac:dyDescent="0.2">
      <c r="A302" t="s">
        <v>364</v>
      </c>
      <c r="B302" t="s">
        <v>85</v>
      </c>
      <c r="C302" t="s">
        <v>366</v>
      </c>
      <c r="D302" t="s">
        <v>369</v>
      </c>
      <c r="E302" t="s">
        <v>27</v>
      </c>
      <c r="F302" s="330">
        <v>2.88</v>
      </c>
      <c r="G302" s="330">
        <v>3800</v>
      </c>
      <c r="H302" s="310">
        <f t="shared" si="12"/>
        <v>1319.4444444444446</v>
      </c>
      <c r="I302" s="311">
        <v>0.3</v>
      </c>
      <c r="J302" s="310">
        <f t="shared" si="13"/>
        <v>2660</v>
      </c>
      <c r="K302" s="310">
        <f t="shared" si="14"/>
        <v>923.6111111111112</v>
      </c>
    </row>
    <row r="303" spans="1:11" x14ac:dyDescent="0.2">
      <c r="A303" t="s">
        <v>364</v>
      </c>
      <c r="B303" t="s">
        <v>85</v>
      </c>
      <c r="C303" t="s">
        <v>367</v>
      </c>
      <c r="D303" t="s">
        <v>369</v>
      </c>
      <c r="E303" t="s">
        <v>10</v>
      </c>
      <c r="F303" s="330">
        <v>2.88</v>
      </c>
      <c r="G303" s="330">
        <v>3100</v>
      </c>
      <c r="H303" s="310">
        <f t="shared" si="12"/>
        <v>1076.3888888888889</v>
      </c>
      <c r="I303" s="311">
        <v>0.3</v>
      </c>
      <c r="J303" s="310">
        <f t="shared" si="13"/>
        <v>2170</v>
      </c>
      <c r="K303" s="310">
        <f t="shared" si="14"/>
        <v>753.47222222222229</v>
      </c>
    </row>
    <row r="304" spans="1:11" x14ac:dyDescent="0.2">
      <c r="A304" t="s">
        <v>364</v>
      </c>
      <c r="B304" t="s">
        <v>85</v>
      </c>
      <c r="C304" t="s">
        <v>366</v>
      </c>
      <c r="D304" t="s">
        <v>369</v>
      </c>
      <c r="E304" t="s">
        <v>26</v>
      </c>
      <c r="F304" s="330">
        <v>5.04</v>
      </c>
      <c r="G304" s="330">
        <v>6300</v>
      </c>
      <c r="H304" s="310">
        <f t="shared" si="12"/>
        <v>1250</v>
      </c>
      <c r="I304" s="311">
        <v>0.3</v>
      </c>
      <c r="J304" s="310">
        <f t="shared" si="13"/>
        <v>4410</v>
      </c>
      <c r="K304" s="310">
        <f t="shared" si="14"/>
        <v>875</v>
      </c>
    </row>
    <row r="305" spans="1:11" x14ac:dyDescent="0.2">
      <c r="A305" t="s">
        <v>364</v>
      </c>
      <c r="B305" t="s">
        <v>85</v>
      </c>
      <c r="C305" t="s">
        <v>367</v>
      </c>
      <c r="D305" t="s">
        <v>369</v>
      </c>
      <c r="E305" t="s">
        <v>9</v>
      </c>
      <c r="F305" s="330">
        <v>5.04</v>
      </c>
      <c r="G305" s="330">
        <v>5200</v>
      </c>
      <c r="H305" s="310">
        <f t="shared" si="12"/>
        <v>1031.7460317460318</v>
      </c>
      <c r="I305" s="311">
        <v>0.3</v>
      </c>
      <c r="J305" s="310">
        <f t="shared" si="13"/>
        <v>3639.9999999999995</v>
      </c>
      <c r="K305" s="310">
        <f t="shared" si="14"/>
        <v>722.22222222222217</v>
      </c>
    </row>
    <row r="306" spans="1:11" x14ac:dyDescent="0.2">
      <c r="A306" t="s">
        <v>364</v>
      </c>
      <c r="B306" t="s">
        <v>85</v>
      </c>
      <c r="C306" t="s">
        <v>367</v>
      </c>
      <c r="D306" t="s">
        <v>369</v>
      </c>
      <c r="E306" t="s">
        <v>9</v>
      </c>
      <c r="F306" s="330">
        <v>5.75</v>
      </c>
      <c r="G306" s="330">
        <v>6000</v>
      </c>
      <c r="H306" s="310">
        <f t="shared" si="12"/>
        <v>1043.4782608695652</v>
      </c>
      <c r="I306" s="311">
        <v>0.3</v>
      </c>
      <c r="J306" s="310">
        <f t="shared" si="13"/>
        <v>4200</v>
      </c>
      <c r="K306" s="310">
        <f t="shared" si="14"/>
        <v>730.43478260869563</v>
      </c>
    </row>
    <row r="307" spans="1:11" x14ac:dyDescent="0.2">
      <c r="A307" t="s">
        <v>364</v>
      </c>
      <c r="B307" t="s">
        <v>85</v>
      </c>
      <c r="C307" t="s">
        <v>366</v>
      </c>
      <c r="D307" t="s">
        <v>369</v>
      </c>
      <c r="E307" t="s">
        <v>26</v>
      </c>
      <c r="F307" s="330">
        <v>6</v>
      </c>
      <c r="G307" s="330">
        <v>7200</v>
      </c>
      <c r="H307" s="310">
        <f t="shared" si="12"/>
        <v>1200</v>
      </c>
      <c r="I307" s="311">
        <v>0.3</v>
      </c>
      <c r="J307" s="310">
        <f t="shared" si="13"/>
        <v>5040</v>
      </c>
      <c r="K307" s="310">
        <f t="shared" si="14"/>
        <v>840</v>
      </c>
    </row>
    <row r="308" spans="1:11" x14ac:dyDescent="0.2">
      <c r="A308" t="s">
        <v>364</v>
      </c>
      <c r="B308" t="s">
        <v>85</v>
      </c>
      <c r="C308" t="s">
        <v>367</v>
      </c>
      <c r="D308" t="s">
        <v>369</v>
      </c>
      <c r="E308" t="s">
        <v>9</v>
      </c>
      <c r="F308" s="330">
        <v>7.29</v>
      </c>
      <c r="G308" s="330">
        <v>7400</v>
      </c>
      <c r="H308" s="310">
        <f t="shared" si="12"/>
        <v>1015.0891632373114</v>
      </c>
      <c r="I308" s="311">
        <v>0.3</v>
      </c>
      <c r="J308" s="310">
        <f t="shared" si="13"/>
        <v>5180</v>
      </c>
      <c r="K308" s="310">
        <f t="shared" si="14"/>
        <v>710.56241426611791</v>
      </c>
    </row>
    <row r="309" spans="1:11" x14ac:dyDescent="0.2">
      <c r="A309" t="s">
        <v>364</v>
      </c>
      <c r="B309" t="s">
        <v>85</v>
      </c>
      <c r="C309" t="s">
        <v>366</v>
      </c>
      <c r="D309" t="s">
        <v>369</v>
      </c>
      <c r="E309" t="s">
        <v>26</v>
      </c>
      <c r="F309" s="330">
        <v>7.84</v>
      </c>
      <c r="G309" s="330">
        <v>9000</v>
      </c>
      <c r="H309" s="310">
        <f t="shared" si="12"/>
        <v>1147.9591836734694</v>
      </c>
      <c r="I309" s="311">
        <v>0.3</v>
      </c>
      <c r="J309" s="310">
        <f t="shared" si="13"/>
        <v>6300</v>
      </c>
      <c r="K309" s="310">
        <f t="shared" si="14"/>
        <v>803.57142857142856</v>
      </c>
    </row>
    <row r="310" spans="1:11" x14ac:dyDescent="0.2">
      <c r="A310" t="s">
        <v>364</v>
      </c>
      <c r="B310" t="s">
        <v>85</v>
      </c>
      <c r="C310" t="s">
        <v>366</v>
      </c>
      <c r="D310" t="s">
        <v>369</v>
      </c>
      <c r="E310" t="s">
        <v>26</v>
      </c>
      <c r="F310" s="330">
        <v>9.0299999999999994</v>
      </c>
      <c r="G310" s="330">
        <v>12500</v>
      </c>
      <c r="H310" s="310">
        <f t="shared" si="12"/>
        <v>1384.2746400885937</v>
      </c>
      <c r="I310" s="311">
        <v>0.3</v>
      </c>
      <c r="J310" s="310">
        <f t="shared" si="13"/>
        <v>8750</v>
      </c>
      <c r="K310" s="310">
        <f t="shared" si="14"/>
        <v>968.99224806201562</v>
      </c>
    </row>
    <row r="311" spans="1:11" x14ac:dyDescent="0.2">
      <c r="A311" t="s">
        <v>364</v>
      </c>
      <c r="B311" t="s">
        <v>85</v>
      </c>
      <c r="C311" t="s">
        <v>367</v>
      </c>
      <c r="D311" t="s">
        <v>369</v>
      </c>
      <c r="E311" t="s">
        <v>9</v>
      </c>
      <c r="F311" s="330">
        <v>9.4499999999999993</v>
      </c>
      <c r="G311" s="330">
        <v>9200</v>
      </c>
      <c r="H311" s="310">
        <f t="shared" si="12"/>
        <v>973.54497354497357</v>
      </c>
      <c r="I311" s="311">
        <v>0.3</v>
      </c>
      <c r="J311" s="310">
        <f t="shared" si="13"/>
        <v>6440</v>
      </c>
      <c r="K311" s="310">
        <f t="shared" si="14"/>
        <v>681.48148148148152</v>
      </c>
    </row>
    <row r="312" spans="1:11" x14ac:dyDescent="0.2">
      <c r="A312" t="s">
        <v>364</v>
      </c>
      <c r="B312" t="s">
        <v>85</v>
      </c>
      <c r="C312" t="s">
        <v>367</v>
      </c>
      <c r="D312" t="s">
        <v>369</v>
      </c>
      <c r="E312" t="s">
        <v>9</v>
      </c>
      <c r="F312" s="330">
        <v>9.8000000000000007</v>
      </c>
      <c r="G312" s="330">
        <v>9900</v>
      </c>
      <c r="H312" s="310">
        <f t="shared" si="12"/>
        <v>1010.204081632653</v>
      </c>
      <c r="I312" s="311">
        <v>0.3</v>
      </c>
      <c r="J312" s="310">
        <f t="shared" si="13"/>
        <v>6930</v>
      </c>
      <c r="K312" s="310">
        <f t="shared" si="14"/>
        <v>707.14285714285711</v>
      </c>
    </row>
    <row r="313" spans="1:11" x14ac:dyDescent="0.2">
      <c r="A313" t="s">
        <v>364</v>
      </c>
      <c r="B313" t="s">
        <v>85</v>
      </c>
      <c r="C313" t="s">
        <v>366</v>
      </c>
      <c r="D313" t="s">
        <v>369</v>
      </c>
      <c r="E313" t="s">
        <v>26</v>
      </c>
      <c r="F313" s="330">
        <v>10.08</v>
      </c>
      <c r="G313" s="330">
        <v>13000</v>
      </c>
      <c r="H313" s="310">
        <f t="shared" si="12"/>
        <v>1289.6825396825398</v>
      </c>
      <c r="I313" s="311">
        <v>0.3</v>
      </c>
      <c r="J313" s="310">
        <f t="shared" si="13"/>
        <v>9100</v>
      </c>
      <c r="K313" s="310">
        <f t="shared" si="14"/>
        <v>902.77777777777771</v>
      </c>
    </row>
    <row r="314" spans="1:11" x14ac:dyDescent="0.2">
      <c r="A314" t="s">
        <v>364</v>
      </c>
      <c r="B314" t="s">
        <v>85</v>
      </c>
      <c r="C314" t="s">
        <v>367</v>
      </c>
      <c r="D314" t="s">
        <v>369</v>
      </c>
      <c r="E314" t="s">
        <v>9</v>
      </c>
      <c r="F314" s="330">
        <v>10.15</v>
      </c>
      <c r="G314" s="330">
        <v>10200</v>
      </c>
      <c r="H314" s="310">
        <f t="shared" si="12"/>
        <v>1004.9261083743842</v>
      </c>
      <c r="I314" s="311">
        <v>0.3</v>
      </c>
      <c r="J314" s="310">
        <f t="shared" si="13"/>
        <v>7140</v>
      </c>
      <c r="K314" s="310">
        <f t="shared" si="14"/>
        <v>703.44827586206895</v>
      </c>
    </row>
    <row r="315" spans="1:11" x14ac:dyDescent="0.2">
      <c r="A315" t="s">
        <v>364</v>
      </c>
      <c r="B315" t="s">
        <v>85</v>
      </c>
      <c r="C315" t="s">
        <v>367</v>
      </c>
      <c r="D315" t="s">
        <v>369</v>
      </c>
      <c r="E315" t="s">
        <v>9</v>
      </c>
      <c r="F315" s="330">
        <v>10.32</v>
      </c>
      <c r="G315" s="330">
        <v>10400</v>
      </c>
      <c r="H315" s="310">
        <f t="shared" si="12"/>
        <v>1007.7519379844961</v>
      </c>
      <c r="I315" s="311">
        <v>0.3</v>
      </c>
      <c r="J315" s="310">
        <f t="shared" si="13"/>
        <v>7279.9999999999991</v>
      </c>
      <c r="K315" s="310">
        <f t="shared" si="14"/>
        <v>705.42635658914719</v>
      </c>
    </row>
    <row r="316" spans="1:11" x14ac:dyDescent="0.2">
      <c r="A316" t="s">
        <v>364</v>
      </c>
      <c r="B316" t="s">
        <v>85</v>
      </c>
      <c r="C316" t="s">
        <v>366</v>
      </c>
      <c r="D316" t="s">
        <v>369</v>
      </c>
      <c r="E316" t="s">
        <v>26</v>
      </c>
      <c r="F316" s="330">
        <v>10.5</v>
      </c>
      <c r="G316" s="330">
        <v>13000</v>
      </c>
      <c r="H316" s="310">
        <f t="shared" si="12"/>
        <v>1238.0952380952381</v>
      </c>
      <c r="I316" s="311">
        <v>0.3</v>
      </c>
      <c r="J316" s="310">
        <f t="shared" si="13"/>
        <v>9100</v>
      </c>
      <c r="K316" s="310">
        <f t="shared" si="14"/>
        <v>866.66666666666663</v>
      </c>
    </row>
    <row r="317" spans="1:11" x14ac:dyDescent="0.2">
      <c r="A317" t="s">
        <v>364</v>
      </c>
      <c r="B317" t="s">
        <v>85</v>
      </c>
      <c r="C317" t="s">
        <v>366</v>
      </c>
      <c r="D317" t="s">
        <v>369</v>
      </c>
      <c r="E317" t="s">
        <v>25</v>
      </c>
      <c r="F317" s="330">
        <v>14.1</v>
      </c>
      <c r="G317" s="330">
        <v>18000</v>
      </c>
      <c r="H317" s="310">
        <f t="shared" si="12"/>
        <v>1276.5957446808511</v>
      </c>
      <c r="I317" s="311">
        <v>0.4</v>
      </c>
      <c r="J317" s="310">
        <f t="shared" si="13"/>
        <v>10800</v>
      </c>
      <c r="K317" s="310">
        <f t="shared" si="14"/>
        <v>765.95744680851067</v>
      </c>
    </row>
    <row r="318" spans="1:11" x14ac:dyDescent="0.2">
      <c r="A318" t="s">
        <v>364</v>
      </c>
      <c r="B318" t="s">
        <v>85</v>
      </c>
      <c r="C318" t="s">
        <v>366</v>
      </c>
      <c r="D318" t="s">
        <v>369</v>
      </c>
      <c r="E318" t="s">
        <v>25</v>
      </c>
      <c r="F318" s="330">
        <v>14.1</v>
      </c>
      <c r="G318" s="330">
        <v>18000</v>
      </c>
      <c r="H318" s="310">
        <f t="shared" si="12"/>
        <v>1276.5957446808511</v>
      </c>
      <c r="I318" s="311">
        <v>0.4</v>
      </c>
      <c r="J318" s="310">
        <f t="shared" si="13"/>
        <v>10800</v>
      </c>
      <c r="K318" s="310">
        <f t="shared" si="14"/>
        <v>765.95744680851067</v>
      </c>
    </row>
    <row r="319" spans="1:11" x14ac:dyDescent="0.2">
      <c r="A319" t="s">
        <v>364</v>
      </c>
      <c r="B319" t="s">
        <v>85</v>
      </c>
      <c r="C319" t="s">
        <v>367</v>
      </c>
      <c r="D319" t="s">
        <v>369</v>
      </c>
      <c r="E319" t="s">
        <v>8</v>
      </c>
      <c r="F319" s="330">
        <v>14.1</v>
      </c>
      <c r="G319" s="330">
        <v>15000</v>
      </c>
      <c r="H319" s="310">
        <f t="shared" si="12"/>
        <v>1063.8297872340427</v>
      </c>
      <c r="I319" s="311">
        <v>0.4</v>
      </c>
      <c r="J319" s="310">
        <f t="shared" si="13"/>
        <v>9000</v>
      </c>
      <c r="K319" s="310">
        <f t="shared" si="14"/>
        <v>638.29787234042556</v>
      </c>
    </row>
    <row r="320" spans="1:11" x14ac:dyDescent="0.2">
      <c r="A320" t="s">
        <v>364</v>
      </c>
      <c r="B320" t="s">
        <v>85</v>
      </c>
      <c r="C320" t="s">
        <v>367</v>
      </c>
      <c r="D320" t="s">
        <v>369</v>
      </c>
      <c r="E320" t="s">
        <v>8</v>
      </c>
      <c r="F320" s="330">
        <v>14.1</v>
      </c>
      <c r="G320" s="330">
        <v>15000</v>
      </c>
      <c r="H320" s="310">
        <f t="shared" si="12"/>
        <v>1063.8297872340427</v>
      </c>
      <c r="I320" s="311">
        <v>0.4</v>
      </c>
      <c r="J320" s="310">
        <f t="shared" si="13"/>
        <v>9000</v>
      </c>
      <c r="K320" s="310">
        <f t="shared" si="14"/>
        <v>638.29787234042556</v>
      </c>
    </row>
    <row r="321" spans="1:11" x14ac:dyDescent="0.2">
      <c r="A321" t="s">
        <v>364</v>
      </c>
      <c r="B321" t="s">
        <v>85</v>
      </c>
      <c r="C321" t="s">
        <v>367</v>
      </c>
      <c r="D321" t="s">
        <v>369</v>
      </c>
      <c r="E321" t="s">
        <v>8</v>
      </c>
      <c r="F321" s="330">
        <v>14.19</v>
      </c>
      <c r="G321" s="330">
        <v>15000</v>
      </c>
      <c r="H321" s="310">
        <f t="shared" si="12"/>
        <v>1057.0824524312898</v>
      </c>
      <c r="I321" s="311">
        <v>0.4</v>
      </c>
      <c r="J321" s="310">
        <f t="shared" si="13"/>
        <v>9000</v>
      </c>
      <c r="K321" s="310">
        <f t="shared" si="14"/>
        <v>634.24947145877377</v>
      </c>
    </row>
    <row r="322" spans="1:11" x14ac:dyDescent="0.2">
      <c r="A322" t="s">
        <v>364</v>
      </c>
      <c r="B322" t="s">
        <v>85</v>
      </c>
      <c r="C322" t="s">
        <v>366</v>
      </c>
      <c r="D322" t="s">
        <v>369</v>
      </c>
      <c r="E322" t="s">
        <v>25</v>
      </c>
      <c r="F322" s="330">
        <v>14.57</v>
      </c>
      <c r="G322" s="330">
        <v>18000</v>
      </c>
      <c r="H322" s="310">
        <f t="shared" ref="H322:H385" si="15">G322/F322</f>
        <v>1235.4152367879203</v>
      </c>
      <c r="I322" s="311">
        <v>0.4</v>
      </c>
      <c r="J322" s="310">
        <f t="shared" ref="J322:J385" si="16">G322*(1-I322)</f>
        <v>10800</v>
      </c>
      <c r="K322" s="310">
        <f t="shared" ref="K322:K385" si="17">J322/F322</f>
        <v>741.24914207275219</v>
      </c>
    </row>
    <row r="323" spans="1:11" x14ac:dyDescent="0.2">
      <c r="A323" t="s">
        <v>364</v>
      </c>
      <c r="B323" t="s">
        <v>85</v>
      </c>
      <c r="C323" t="s">
        <v>367</v>
      </c>
      <c r="D323" t="s">
        <v>369</v>
      </c>
      <c r="E323" t="s">
        <v>8</v>
      </c>
      <c r="F323" s="330">
        <v>14.57</v>
      </c>
      <c r="G323" s="330">
        <v>15000</v>
      </c>
      <c r="H323" s="310">
        <f t="shared" si="15"/>
        <v>1029.512697323267</v>
      </c>
      <c r="I323" s="311">
        <v>0.4</v>
      </c>
      <c r="J323" s="310">
        <f t="shared" si="16"/>
        <v>9000</v>
      </c>
      <c r="K323" s="310">
        <f t="shared" si="17"/>
        <v>617.70761839396016</v>
      </c>
    </row>
    <row r="324" spans="1:11" x14ac:dyDescent="0.2">
      <c r="A324" t="s">
        <v>364</v>
      </c>
      <c r="B324" t="s">
        <v>85</v>
      </c>
      <c r="C324" t="s">
        <v>367</v>
      </c>
      <c r="D324" t="s">
        <v>369</v>
      </c>
      <c r="E324" t="s">
        <v>8</v>
      </c>
      <c r="F324" s="330">
        <v>14.7</v>
      </c>
      <c r="G324" s="330">
        <v>15000</v>
      </c>
      <c r="H324" s="310">
        <f t="shared" si="15"/>
        <v>1020.4081632653061</v>
      </c>
      <c r="I324" s="311">
        <v>0.4</v>
      </c>
      <c r="J324" s="310">
        <f t="shared" si="16"/>
        <v>9000</v>
      </c>
      <c r="K324" s="310">
        <f t="shared" si="17"/>
        <v>612.24489795918373</v>
      </c>
    </row>
    <row r="325" spans="1:11" x14ac:dyDescent="0.2">
      <c r="A325" t="s">
        <v>364</v>
      </c>
      <c r="B325" t="s">
        <v>85</v>
      </c>
      <c r="C325" t="s">
        <v>367</v>
      </c>
      <c r="D325" t="s">
        <v>369</v>
      </c>
      <c r="E325" t="s">
        <v>8</v>
      </c>
      <c r="F325" s="330">
        <v>14.96</v>
      </c>
      <c r="G325" s="330">
        <v>15000</v>
      </c>
      <c r="H325" s="310">
        <f t="shared" si="15"/>
        <v>1002.6737967914438</v>
      </c>
      <c r="I325" s="311">
        <v>0.4</v>
      </c>
      <c r="J325" s="310">
        <f t="shared" si="16"/>
        <v>9000</v>
      </c>
      <c r="K325" s="310">
        <f t="shared" si="17"/>
        <v>601.60427807486633</v>
      </c>
    </row>
    <row r="326" spans="1:11" x14ac:dyDescent="0.2">
      <c r="A326" t="s">
        <v>364</v>
      </c>
      <c r="B326" t="s">
        <v>85</v>
      </c>
      <c r="C326" t="s">
        <v>366</v>
      </c>
      <c r="D326" t="s">
        <v>369</v>
      </c>
      <c r="E326" t="s">
        <v>25</v>
      </c>
      <c r="F326" s="330">
        <v>15.05</v>
      </c>
      <c r="G326" s="330">
        <v>19000</v>
      </c>
      <c r="H326" s="310">
        <f t="shared" si="15"/>
        <v>1262.4584717607972</v>
      </c>
      <c r="I326" s="311">
        <v>0.4</v>
      </c>
      <c r="J326" s="310">
        <f t="shared" si="16"/>
        <v>11400</v>
      </c>
      <c r="K326" s="310">
        <f t="shared" si="17"/>
        <v>757.47508305647841</v>
      </c>
    </row>
    <row r="327" spans="1:11" x14ac:dyDescent="0.2">
      <c r="A327" t="s">
        <v>364</v>
      </c>
      <c r="B327" t="s">
        <v>85</v>
      </c>
      <c r="C327" t="s">
        <v>367</v>
      </c>
      <c r="D327" t="s">
        <v>66</v>
      </c>
      <c r="E327" t="s">
        <v>38</v>
      </c>
      <c r="F327" s="330">
        <v>15.08</v>
      </c>
      <c r="G327" s="330">
        <v>15100</v>
      </c>
      <c r="H327" s="310">
        <f t="shared" si="15"/>
        <v>1001.3262599469496</v>
      </c>
      <c r="I327" s="311">
        <v>0.4</v>
      </c>
      <c r="J327" s="310">
        <f t="shared" si="16"/>
        <v>9060</v>
      </c>
      <c r="K327" s="310">
        <f t="shared" si="17"/>
        <v>600.79575596816971</v>
      </c>
    </row>
    <row r="328" spans="1:11" x14ac:dyDescent="0.2">
      <c r="A328" t="s">
        <v>364</v>
      </c>
      <c r="B328" t="s">
        <v>85</v>
      </c>
      <c r="C328" t="s">
        <v>366</v>
      </c>
      <c r="D328" t="s">
        <v>369</v>
      </c>
      <c r="E328" t="s">
        <v>25</v>
      </c>
      <c r="F328" s="330">
        <v>15.91</v>
      </c>
      <c r="G328" s="330">
        <v>19000</v>
      </c>
      <c r="H328" s="310">
        <f t="shared" si="15"/>
        <v>1194.2174732872406</v>
      </c>
      <c r="I328" s="311">
        <v>0.4</v>
      </c>
      <c r="J328" s="310">
        <f t="shared" si="16"/>
        <v>11400</v>
      </c>
      <c r="K328" s="310">
        <f t="shared" si="17"/>
        <v>716.53048397234443</v>
      </c>
    </row>
    <row r="329" spans="1:11" x14ac:dyDescent="0.2">
      <c r="A329" t="s">
        <v>364</v>
      </c>
      <c r="B329" t="s">
        <v>85</v>
      </c>
      <c r="C329" t="s">
        <v>366</v>
      </c>
      <c r="D329" t="s">
        <v>369</v>
      </c>
      <c r="E329" t="s">
        <v>25</v>
      </c>
      <c r="F329" s="330">
        <v>17.5</v>
      </c>
      <c r="G329" s="330">
        <v>20500</v>
      </c>
      <c r="H329" s="310">
        <f t="shared" si="15"/>
        <v>1171.4285714285713</v>
      </c>
      <c r="I329" s="311">
        <v>0.4</v>
      </c>
      <c r="J329" s="310">
        <f t="shared" si="16"/>
        <v>12300</v>
      </c>
      <c r="K329" s="310">
        <f t="shared" si="17"/>
        <v>702.85714285714289</v>
      </c>
    </row>
    <row r="330" spans="1:11" x14ac:dyDescent="0.2">
      <c r="A330" t="s">
        <v>364</v>
      </c>
      <c r="B330" t="s">
        <v>85</v>
      </c>
      <c r="C330" t="s">
        <v>367</v>
      </c>
      <c r="D330" t="s">
        <v>369</v>
      </c>
      <c r="E330" t="s">
        <v>8</v>
      </c>
      <c r="F330" s="330">
        <v>17.5</v>
      </c>
      <c r="G330" s="330">
        <v>17000</v>
      </c>
      <c r="H330" s="310">
        <f t="shared" si="15"/>
        <v>971.42857142857144</v>
      </c>
      <c r="I330" s="311">
        <v>0.4</v>
      </c>
      <c r="J330" s="310">
        <f t="shared" si="16"/>
        <v>10200</v>
      </c>
      <c r="K330" s="310">
        <f t="shared" si="17"/>
        <v>582.85714285714289</v>
      </c>
    </row>
    <row r="331" spans="1:11" x14ac:dyDescent="0.2">
      <c r="A331" t="s">
        <v>364</v>
      </c>
      <c r="B331" t="s">
        <v>85</v>
      </c>
      <c r="C331" t="s">
        <v>367</v>
      </c>
      <c r="D331" t="s">
        <v>369</v>
      </c>
      <c r="E331" t="s">
        <v>11</v>
      </c>
      <c r="F331" s="330">
        <v>25.9</v>
      </c>
      <c r="G331" s="330">
        <v>24100</v>
      </c>
      <c r="H331" s="310">
        <f t="shared" si="15"/>
        <v>930.50193050193059</v>
      </c>
      <c r="I331" s="311">
        <v>0.4</v>
      </c>
      <c r="J331" s="310">
        <f t="shared" si="16"/>
        <v>14460</v>
      </c>
      <c r="K331" s="310">
        <f t="shared" si="17"/>
        <v>558.30115830115835</v>
      </c>
    </row>
    <row r="332" spans="1:11" x14ac:dyDescent="0.2">
      <c r="A332" t="s">
        <v>364</v>
      </c>
      <c r="B332" t="s">
        <v>85</v>
      </c>
      <c r="C332" t="s">
        <v>366</v>
      </c>
      <c r="D332" t="s">
        <v>369</v>
      </c>
      <c r="E332" t="s">
        <v>28</v>
      </c>
      <c r="F332" s="330">
        <v>26.25</v>
      </c>
      <c r="G332" s="330">
        <v>29000</v>
      </c>
      <c r="H332" s="310">
        <f t="shared" si="15"/>
        <v>1104.7619047619048</v>
      </c>
      <c r="I332" s="311">
        <v>0.4</v>
      </c>
      <c r="J332" s="310">
        <f t="shared" si="16"/>
        <v>17400</v>
      </c>
      <c r="K332" s="310">
        <f t="shared" si="17"/>
        <v>662.85714285714289</v>
      </c>
    </row>
    <row r="333" spans="1:11" x14ac:dyDescent="0.2">
      <c r="A333" t="s">
        <v>364</v>
      </c>
      <c r="B333" t="s">
        <v>85</v>
      </c>
      <c r="C333" t="s">
        <v>366</v>
      </c>
      <c r="D333" t="s">
        <v>369</v>
      </c>
      <c r="E333" t="s">
        <v>28</v>
      </c>
      <c r="F333" s="330">
        <v>26.46</v>
      </c>
      <c r="G333" s="330">
        <v>29500</v>
      </c>
      <c r="H333" s="310">
        <f t="shared" si="15"/>
        <v>1114.8904006046862</v>
      </c>
      <c r="I333" s="311">
        <v>0.4</v>
      </c>
      <c r="J333" s="310">
        <f t="shared" si="16"/>
        <v>17700</v>
      </c>
      <c r="K333" s="310">
        <f t="shared" si="17"/>
        <v>668.93424036281181</v>
      </c>
    </row>
    <row r="334" spans="1:11" x14ac:dyDescent="0.2">
      <c r="A334" t="s">
        <v>364</v>
      </c>
      <c r="B334" t="s">
        <v>85</v>
      </c>
      <c r="C334" t="s">
        <v>367</v>
      </c>
      <c r="D334" t="s">
        <v>369</v>
      </c>
      <c r="E334" t="s">
        <v>11</v>
      </c>
      <c r="F334" s="330">
        <v>26.46</v>
      </c>
      <c r="G334" s="330">
        <v>24500</v>
      </c>
      <c r="H334" s="310">
        <f t="shared" si="15"/>
        <v>925.92592592592587</v>
      </c>
      <c r="I334" s="311">
        <v>0.4</v>
      </c>
      <c r="J334" s="310">
        <f t="shared" si="16"/>
        <v>14700</v>
      </c>
      <c r="K334" s="310">
        <f t="shared" si="17"/>
        <v>555.55555555555554</v>
      </c>
    </row>
    <row r="335" spans="1:11" x14ac:dyDescent="0.2">
      <c r="A335" t="s">
        <v>364</v>
      </c>
      <c r="B335" t="s">
        <v>85</v>
      </c>
      <c r="C335" t="s">
        <v>367</v>
      </c>
      <c r="D335" t="s">
        <v>66</v>
      </c>
      <c r="E335" t="s">
        <v>46</v>
      </c>
      <c r="F335" s="330">
        <v>30.16</v>
      </c>
      <c r="G335" s="330">
        <v>30200</v>
      </c>
      <c r="H335" s="310">
        <f t="shared" si="15"/>
        <v>1001.3262599469496</v>
      </c>
      <c r="I335" s="311">
        <v>0.4</v>
      </c>
      <c r="J335" s="310">
        <f t="shared" si="16"/>
        <v>18120</v>
      </c>
      <c r="K335" s="310">
        <f t="shared" si="17"/>
        <v>600.79575596816971</v>
      </c>
    </row>
    <row r="336" spans="1:11" x14ac:dyDescent="0.2">
      <c r="A336" t="s">
        <v>364</v>
      </c>
      <c r="B336" t="s">
        <v>85</v>
      </c>
      <c r="C336" t="s">
        <v>366</v>
      </c>
      <c r="D336" t="s">
        <v>369</v>
      </c>
      <c r="E336" t="s">
        <v>30</v>
      </c>
      <c r="F336" s="330">
        <v>51.2</v>
      </c>
      <c r="G336" s="330">
        <v>52700</v>
      </c>
      <c r="H336" s="310">
        <f t="shared" si="15"/>
        <v>1029.296875</v>
      </c>
      <c r="I336" s="311">
        <v>0.4</v>
      </c>
      <c r="J336" s="310">
        <f t="shared" si="16"/>
        <v>31620</v>
      </c>
      <c r="K336" s="310">
        <f t="shared" si="17"/>
        <v>617.578125</v>
      </c>
    </row>
    <row r="337" spans="1:11" x14ac:dyDescent="0.2">
      <c r="A337" t="s">
        <v>364</v>
      </c>
      <c r="B337" t="s">
        <v>85</v>
      </c>
      <c r="C337" t="s">
        <v>367</v>
      </c>
      <c r="D337" t="s">
        <v>369</v>
      </c>
      <c r="E337" t="s">
        <v>13</v>
      </c>
      <c r="F337" s="330">
        <v>51.2</v>
      </c>
      <c r="G337" s="330">
        <v>43900</v>
      </c>
      <c r="H337" s="310">
        <f t="shared" si="15"/>
        <v>857.421875</v>
      </c>
      <c r="I337" s="311">
        <v>0.4</v>
      </c>
      <c r="J337" s="310">
        <f t="shared" si="16"/>
        <v>26340</v>
      </c>
      <c r="K337" s="310">
        <f t="shared" si="17"/>
        <v>514.453125</v>
      </c>
    </row>
    <row r="338" spans="1:11" x14ac:dyDescent="0.2">
      <c r="A338" t="s">
        <v>364</v>
      </c>
      <c r="B338" t="s">
        <v>83</v>
      </c>
      <c r="C338" t="s">
        <v>366</v>
      </c>
      <c r="D338" t="s">
        <v>120</v>
      </c>
      <c r="E338" t="s">
        <v>19</v>
      </c>
      <c r="F338" s="330">
        <v>0.6</v>
      </c>
      <c r="G338" s="330">
        <v>894.58</v>
      </c>
      <c r="H338" s="310">
        <f t="shared" si="15"/>
        <v>1490.9666666666667</v>
      </c>
      <c r="I338" s="311">
        <v>0</v>
      </c>
      <c r="J338" s="310">
        <f t="shared" si="16"/>
        <v>894.58</v>
      </c>
      <c r="K338" s="310">
        <f t="shared" si="17"/>
        <v>1490.9666666666667</v>
      </c>
    </row>
    <row r="339" spans="1:11" x14ac:dyDescent="0.2">
      <c r="A339" t="s">
        <v>364</v>
      </c>
      <c r="B339" t="s">
        <v>83</v>
      </c>
      <c r="C339" t="s">
        <v>366</v>
      </c>
      <c r="D339" t="s">
        <v>120</v>
      </c>
      <c r="E339" t="s">
        <v>20</v>
      </c>
      <c r="F339" s="330">
        <v>0.6</v>
      </c>
      <c r="G339" s="330">
        <v>801.12</v>
      </c>
      <c r="H339" s="310">
        <f t="shared" si="15"/>
        <v>1335.2</v>
      </c>
      <c r="I339" s="311">
        <v>0</v>
      </c>
      <c r="J339" s="310">
        <f t="shared" si="16"/>
        <v>801.12</v>
      </c>
      <c r="K339" s="310">
        <f t="shared" si="17"/>
        <v>1335.2</v>
      </c>
    </row>
    <row r="340" spans="1:11" x14ac:dyDescent="0.2">
      <c r="A340" t="s">
        <v>364</v>
      </c>
      <c r="B340" t="s">
        <v>83</v>
      </c>
      <c r="C340" t="s">
        <v>366</v>
      </c>
      <c r="D340" t="s">
        <v>369</v>
      </c>
      <c r="E340" t="s">
        <v>31</v>
      </c>
      <c r="F340" s="330">
        <v>0.98</v>
      </c>
      <c r="G340" s="330">
        <v>1800</v>
      </c>
      <c r="H340" s="310">
        <f t="shared" si="15"/>
        <v>1836.7346938775511</v>
      </c>
      <c r="I340" s="311">
        <v>0.3</v>
      </c>
      <c r="J340" s="310">
        <f t="shared" si="16"/>
        <v>1260</v>
      </c>
      <c r="K340" s="310">
        <f t="shared" si="17"/>
        <v>1285.7142857142858</v>
      </c>
    </row>
    <row r="341" spans="1:11" x14ac:dyDescent="0.2">
      <c r="A341" t="s">
        <v>364</v>
      </c>
      <c r="B341" t="s">
        <v>83</v>
      </c>
      <c r="C341" t="s">
        <v>366</v>
      </c>
      <c r="D341" t="s">
        <v>369</v>
      </c>
      <c r="E341" t="s">
        <v>29</v>
      </c>
      <c r="F341" s="330">
        <v>1</v>
      </c>
      <c r="G341" s="330">
        <v>1800</v>
      </c>
      <c r="H341" s="310">
        <f t="shared" si="15"/>
        <v>1800</v>
      </c>
      <c r="I341" s="311">
        <v>0.3</v>
      </c>
      <c r="J341" s="310">
        <f t="shared" si="16"/>
        <v>1260</v>
      </c>
      <c r="K341" s="310">
        <f t="shared" si="17"/>
        <v>1260</v>
      </c>
    </row>
    <row r="342" spans="1:11" x14ac:dyDescent="0.2">
      <c r="A342" t="s">
        <v>364</v>
      </c>
      <c r="B342" t="s">
        <v>83</v>
      </c>
      <c r="C342" t="s">
        <v>366</v>
      </c>
      <c r="D342" t="s">
        <v>369</v>
      </c>
      <c r="E342" t="s">
        <v>31</v>
      </c>
      <c r="F342" s="330">
        <v>1</v>
      </c>
      <c r="G342" s="330">
        <v>1800</v>
      </c>
      <c r="H342" s="310">
        <f t="shared" si="15"/>
        <v>1800</v>
      </c>
      <c r="I342" s="311">
        <v>0.3</v>
      </c>
      <c r="J342" s="310">
        <f t="shared" si="16"/>
        <v>1260</v>
      </c>
      <c r="K342" s="310">
        <f t="shared" si="17"/>
        <v>1260</v>
      </c>
    </row>
    <row r="343" spans="1:11" x14ac:dyDescent="0.2">
      <c r="A343" t="s">
        <v>364</v>
      </c>
      <c r="B343" t="s">
        <v>83</v>
      </c>
      <c r="C343" t="s">
        <v>366</v>
      </c>
      <c r="D343" t="s">
        <v>369</v>
      </c>
      <c r="E343" t="s">
        <v>29</v>
      </c>
      <c r="F343" s="330">
        <v>1.2</v>
      </c>
      <c r="G343" s="330">
        <v>1900</v>
      </c>
      <c r="H343" s="310">
        <f t="shared" si="15"/>
        <v>1583.3333333333335</v>
      </c>
      <c r="I343" s="311">
        <v>0.3</v>
      </c>
      <c r="J343" s="310">
        <f t="shared" si="16"/>
        <v>1330</v>
      </c>
      <c r="K343" s="310">
        <f t="shared" si="17"/>
        <v>1108.3333333333335</v>
      </c>
    </row>
    <row r="344" spans="1:11" x14ac:dyDescent="0.2">
      <c r="A344" t="s">
        <v>364</v>
      </c>
      <c r="B344" t="s">
        <v>83</v>
      </c>
      <c r="C344" t="s">
        <v>366</v>
      </c>
      <c r="D344" t="s">
        <v>369</v>
      </c>
      <c r="E344" t="s">
        <v>31</v>
      </c>
      <c r="F344" s="330">
        <v>1.2</v>
      </c>
      <c r="G344" s="330">
        <v>1900</v>
      </c>
      <c r="H344" s="310">
        <f t="shared" si="15"/>
        <v>1583.3333333333335</v>
      </c>
      <c r="I344" s="311">
        <v>0.3</v>
      </c>
      <c r="J344" s="310">
        <f t="shared" si="16"/>
        <v>1330</v>
      </c>
      <c r="K344" s="310">
        <f t="shared" si="17"/>
        <v>1108.3333333333335</v>
      </c>
    </row>
    <row r="345" spans="1:11" x14ac:dyDescent="0.2">
      <c r="A345" t="s">
        <v>364</v>
      </c>
      <c r="B345" t="s">
        <v>83</v>
      </c>
      <c r="C345" t="s">
        <v>366</v>
      </c>
      <c r="D345" t="s">
        <v>369</v>
      </c>
      <c r="E345" t="s">
        <v>31</v>
      </c>
      <c r="F345" s="330">
        <v>1.35</v>
      </c>
      <c r="G345" s="330">
        <v>2000</v>
      </c>
      <c r="H345" s="310">
        <f t="shared" si="15"/>
        <v>1481.4814814814813</v>
      </c>
      <c r="I345" s="311">
        <v>0.3</v>
      </c>
      <c r="J345" s="310">
        <f t="shared" si="16"/>
        <v>1400</v>
      </c>
      <c r="K345" s="310">
        <f t="shared" si="17"/>
        <v>1037.037037037037</v>
      </c>
    </row>
    <row r="346" spans="1:11" x14ac:dyDescent="0.2">
      <c r="A346" t="s">
        <v>364</v>
      </c>
      <c r="B346" t="s">
        <v>83</v>
      </c>
      <c r="C346" t="s">
        <v>366</v>
      </c>
      <c r="D346" t="s">
        <v>369</v>
      </c>
      <c r="E346" t="s">
        <v>31</v>
      </c>
      <c r="F346" s="330">
        <v>1.44</v>
      </c>
      <c r="G346" s="330">
        <v>2000</v>
      </c>
      <c r="H346" s="310">
        <f t="shared" si="15"/>
        <v>1388.8888888888889</v>
      </c>
      <c r="I346" s="311">
        <v>0.3</v>
      </c>
      <c r="J346" s="310">
        <f t="shared" si="16"/>
        <v>1400</v>
      </c>
      <c r="K346" s="310">
        <f t="shared" si="17"/>
        <v>972.22222222222229</v>
      </c>
    </row>
    <row r="347" spans="1:11" x14ac:dyDescent="0.2">
      <c r="A347" t="s">
        <v>364</v>
      </c>
      <c r="B347" t="s">
        <v>83</v>
      </c>
      <c r="C347" t="s">
        <v>366</v>
      </c>
      <c r="D347" t="s">
        <v>369</v>
      </c>
      <c r="E347" t="s">
        <v>29</v>
      </c>
      <c r="F347" s="330">
        <v>1.5</v>
      </c>
      <c r="G347" s="330">
        <v>2100</v>
      </c>
      <c r="H347" s="310">
        <f t="shared" si="15"/>
        <v>1400</v>
      </c>
      <c r="I347" s="311">
        <v>0.3</v>
      </c>
      <c r="J347" s="310">
        <f t="shared" si="16"/>
        <v>1470</v>
      </c>
      <c r="K347" s="310">
        <f t="shared" si="17"/>
        <v>980</v>
      </c>
    </row>
    <row r="348" spans="1:11" x14ac:dyDescent="0.2">
      <c r="A348" t="s">
        <v>364</v>
      </c>
      <c r="B348" t="s">
        <v>83</v>
      </c>
      <c r="C348" t="s">
        <v>366</v>
      </c>
      <c r="D348" t="s">
        <v>369</v>
      </c>
      <c r="E348" t="s">
        <v>29</v>
      </c>
      <c r="F348" s="330">
        <v>1.68</v>
      </c>
      <c r="G348" s="330">
        <v>2200</v>
      </c>
      <c r="H348" s="310">
        <f t="shared" si="15"/>
        <v>1309.5238095238096</v>
      </c>
      <c r="I348" s="311">
        <v>0.3</v>
      </c>
      <c r="J348" s="310">
        <f t="shared" si="16"/>
        <v>1540</v>
      </c>
      <c r="K348" s="310">
        <f t="shared" si="17"/>
        <v>916.66666666666674</v>
      </c>
    </row>
    <row r="349" spans="1:11" x14ac:dyDescent="0.2">
      <c r="A349" t="s">
        <v>364</v>
      </c>
      <c r="B349" t="s">
        <v>83</v>
      </c>
      <c r="C349" t="s">
        <v>366</v>
      </c>
      <c r="D349" t="s">
        <v>369</v>
      </c>
      <c r="E349" t="s">
        <v>29</v>
      </c>
      <c r="F349" s="330">
        <v>1.76</v>
      </c>
      <c r="G349" s="330">
        <v>1600</v>
      </c>
      <c r="H349" s="310">
        <f t="shared" si="15"/>
        <v>909.09090909090912</v>
      </c>
      <c r="I349" s="311">
        <v>0.3</v>
      </c>
      <c r="J349" s="310">
        <f t="shared" si="16"/>
        <v>1120</v>
      </c>
      <c r="K349" s="310">
        <f t="shared" si="17"/>
        <v>636.36363636363637</v>
      </c>
    </row>
    <row r="350" spans="1:11" x14ac:dyDescent="0.2">
      <c r="A350" t="s">
        <v>364</v>
      </c>
      <c r="B350" t="s">
        <v>83</v>
      </c>
      <c r="C350" t="s">
        <v>366</v>
      </c>
      <c r="D350" t="s">
        <v>369</v>
      </c>
      <c r="E350" t="s">
        <v>29</v>
      </c>
      <c r="F350" s="330">
        <v>1.76</v>
      </c>
      <c r="G350" s="330">
        <v>2300</v>
      </c>
      <c r="H350" s="310">
        <f t="shared" si="15"/>
        <v>1306.8181818181818</v>
      </c>
      <c r="I350" s="311">
        <v>0.3</v>
      </c>
      <c r="J350" s="310">
        <f t="shared" si="16"/>
        <v>1610</v>
      </c>
      <c r="K350" s="310">
        <f t="shared" si="17"/>
        <v>914.77272727272725</v>
      </c>
    </row>
    <row r="351" spans="1:11" x14ac:dyDescent="0.2">
      <c r="A351" t="s">
        <v>364</v>
      </c>
      <c r="B351" t="s">
        <v>83</v>
      </c>
      <c r="C351" t="s">
        <v>366</v>
      </c>
      <c r="D351" t="s">
        <v>369</v>
      </c>
      <c r="E351" t="s">
        <v>29</v>
      </c>
      <c r="F351" s="330">
        <v>1.8</v>
      </c>
      <c r="G351" s="330">
        <v>2300</v>
      </c>
      <c r="H351" s="310">
        <f t="shared" si="15"/>
        <v>1277.7777777777778</v>
      </c>
      <c r="I351" s="311">
        <v>0.3</v>
      </c>
      <c r="J351" s="310">
        <f t="shared" si="16"/>
        <v>1610</v>
      </c>
      <c r="K351" s="310">
        <f t="shared" si="17"/>
        <v>894.44444444444446</v>
      </c>
    </row>
    <row r="352" spans="1:11" x14ac:dyDescent="0.2">
      <c r="A352" t="s">
        <v>364</v>
      </c>
      <c r="B352" t="s">
        <v>83</v>
      </c>
      <c r="C352" t="s">
        <v>366</v>
      </c>
      <c r="D352" t="s">
        <v>369</v>
      </c>
      <c r="E352" t="s">
        <v>29</v>
      </c>
      <c r="F352" s="330">
        <v>1.82</v>
      </c>
      <c r="G352" s="330">
        <v>2200</v>
      </c>
      <c r="H352" s="310">
        <f t="shared" si="15"/>
        <v>1208.7912087912086</v>
      </c>
      <c r="I352" s="311">
        <v>0.3</v>
      </c>
      <c r="J352" s="310">
        <f t="shared" si="16"/>
        <v>1540</v>
      </c>
      <c r="K352" s="310">
        <f t="shared" si="17"/>
        <v>846.15384615384608</v>
      </c>
    </row>
    <row r="353" spans="1:11" x14ac:dyDescent="0.2">
      <c r="A353" t="s">
        <v>364</v>
      </c>
      <c r="B353" t="s">
        <v>83</v>
      </c>
      <c r="C353" t="s">
        <v>366</v>
      </c>
      <c r="D353" t="s">
        <v>369</v>
      </c>
      <c r="E353" t="s">
        <v>29</v>
      </c>
      <c r="F353" s="330">
        <v>1.87</v>
      </c>
      <c r="G353" s="330">
        <v>2400</v>
      </c>
      <c r="H353" s="310">
        <f t="shared" si="15"/>
        <v>1283.422459893048</v>
      </c>
      <c r="I353" s="311">
        <v>0.3</v>
      </c>
      <c r="J353" s="310">
        <f t="shared" si="16"/>
        <v>1680</v>
      </c>
      <c r="K353" s="310">
        <f t="shared" si="17"/>
        <v>898.39572192513367</v>
      </c>
    </row>
    <row r="354" spans="1:11" x14ac:dyDescent="0.2">
      <c r="A354" t="s">
        <v>364</v>
      </c>
      <c r="B354" t="s">
        <v>83</v>
      </c>
      <c r="C354" t="s">
        <v>366</v>
      </c>
      <c r="D354" t="s">
        <v>369</v>
      </c>
      <c r="E354" t="s">
        <v>29</v>
      </c>
      <c r="F354" s="330">
        <v>1.9</v>
      </c>
      <c r="G354" s="330">
        <v>2400</v>
      </c>
      <c r="H354" s="310">
        <f t="shared" si="15"/>
        <v>1263.1578947368421</v>
      </c>
      <c r="I354" s="311">
        <v>0.3</v>
      </c>
      <c r="J354" s="310">
        <f t="shared" si="16"/>
        <v>1680</v>
      </c>
      <c r="K354" s="310">
        <f t="shared" si="17"/>
        <v>884.21052631578948</v>
      </c>
    </row>
    <row r="355" spans="1:11" x14ac:dyDescent="0.2">
      <c r="A355" t="s">
        <v>364</v>
      </c>
      <c r="B355" t="s">
        <v>83</v>
      </c>
      <c r="C355" t="s">
        <v>366</v>
      </c>
      <c r="D355" t="s">
        <v>369</v>
      </c>
      <c r="E355" t="s">
        <v>29</v>
      </c>
      <c r="F355" s="330">
        <v>1.9</v>
      </c>
      <c r="G355" s="330">
        <v>2400</v>
      </c>
      <c r="H355" s="310">
        <f t="shared" si="15"/>
        <v>1263.1578947368421</v>
      </c>
      <c r="I355" s="311">
        <v>0.3</v>
      </c>
      <c r="J355" s="310">
        <f t="shared" si="16"/>
        <v>1680</v>
      </c>
      <c r="K355" s="310">
        <f t="shared" si="17"/>
        <v>884.21052631578948</v>
      </c>
    </row>
    <row r="356" spans="1:11" x14ac:dyDescent="0.2">
      <c r="A356" t="s">
        <v>364</v>
      </c>
      <c r="B356" t="s">
        <v>83</v>
      </c>
      <c r="C356" t="s">
        <v>366</v>
      </c>
      <c r="D356" t="s">
        <v>369</v>
      </c>
      <c r="E356" t="s">
        <v>29</v>
      </c>
      <c r="F356" s="330">
        <v>1.92</v>
      </c>
      <c r="G356" s="330">
        <v>2400</v>
      </c>
      <c r="H356" s="310">
        <f t="shared" si="15"/>
        <v>1250</v>
      </c>
      <c r="I356" s="311">
        <v>0.3</v>
      </c>
      <c r="J356" s="310">
        <f t="shared" si="16"/>
        <v>1680</v>
      </c>
      <c r="K356" s="310">
        <f t="shared" si="17"/>
        <v>875</v>
      </c>
    </row>
    <row r="357" spans="1:11" x14ac:dyDescent="0.2">
      <c r="A357" t="s">
        <v>364</v>
      </c>
      <c r="B357" t="s">
        <v>83</v>
      </c>
      <c r="C357" t="s">
        <v>366</v>
      </c>
      <c r="D357" t="s">
        <v>369</v>
      </c>
      <c r="E357" t="s">
        <v>29</v>
      </c>
      <c r="F357" s="330">
        <v>1.98</v>
      </c>
      <c r="G357" s="330">
        <v>2500</v>
      </c>
      <c r="H357" s="310">
        <f t="shared" si="15"/>
        <v>1262.6262626262626</v>
      </c>
      <c r="I357" s="311">
        <v>0.3</v>
      </c>
      <c r="J357" s="310">
        <f t="shared" si="16"/>
        <v>1750</v>
      </c>
      <c r="K357" s="310">
        <f t="shared" si="17"/>
        <v>883.83838383838383</v>
      </c>
    </row>
    <row r="358" spans="1:11" x14ac:dyDescent="0.2">
      <c r="A358" t="s">
        <v>364</v>
      </c>
      <c r="B358" t="s">
        <v>83</v>
      </c>
      <c r="C358" t="s">
        <v>366</v>
      </c>
      <c r="D358" t="s">
        <v>369</v>
      </c>
      <c r="E358" t="s">
        <v>29</v>
      </c>
      <c r="F358" s="330">
        <v>2.04</v>
      </c>
      <c r="G358" s="330">
        <v>2500</v>
      </c>
      <c r="H358" s="310">
        <f t="shared" si="15"/>
        <v>1225.4901960784314</v>
      </c>
      <c r="I358" s="311">
        <v>0.3</v>
      </c>
      <c r="J358" s="310">
        <f t="shared" si="16"/>
        <v>1750</v>
      </c>
      <c r="K358" s="310">
        <f t="shared" si="17"/>
        <v>857.84313725490199</v>
      </c>
    </row>
    <row r="359" spans="1:11" x14ac:dyDescent="0.2">
      <c r="A359" t="s">
        <v>364</v>
      </c>
      <c r="B359" t="s">
        <v>83</v>
      </c>
      <c r="C359" t="s">
        <v>366</v>
      </c>
      <c r="D359" t="s">
        <v>369</v>
      </c>
      <c r="E359" t="s">
        <v>29</v>
      </c>
      <c r="F359" s="330">
        <v>2.1</v>
      </c>
      <c r="G359" s="330">
        <v>2700</v>
      </c>
      <c r="H359" s="310">
        <f t="shared" si="15"/>
        <v>1285.7142857142856</v>
      </c>
      <c r="I359" s="311">
        <v>0.3</v>
      </c>
      <c r="J359" s="310">
        <f t="shared" si="16"/>
        <v>1889.9999999999998</v>
      </c>
      <c r="K359" s="310">
        <f t="shared" si="17"/>
        <v>899.99999999999989</v>
      </c>
    </row>
    <row r="360" spans="1:11" x14ac:dyDescent="0.2">
      <c r="A360" t="s">
        <v>364</v>
      </c>
      <c r="B360" t="s">
        <v>83</v>
      </c>
      <c r="C360" t="s">
        <v>366</v>
      </c>
      <c r="D360" t="s">
        <v>369</v>
      </c>
      <c r="E360" t="s">
        <v>29</v>
      </c>
      <c r="F360" s="330">
        <v>2.1</v>
      </c>
      <c r="G360" s="330">
        <v>2600</v>
      </c>
      <c r="H360" s="310">
        <f t="shared" si="15"/>
        <v>1238.0952380952381</v>
      </c>
      <c r="I360" s="311">
        <v>0.3</v>
      </c>
      <c r="J360" s="310">
        <f t="shared" si="16"/>
        <v>1819.9999999999998</v>
      </c>
      <c r="K360" s="310">
        <f t="shared" si="17"/>
        <v>866.66666666666652</v>
      </c>
    </row>
    <row r="361" spans="1:11" x14ac:dyDescent="0.2">
      <c r="A361" t="s">
        <v>364</v>
      </c>
      <c r="B361" t="s">
        <v>83</v>
      </c>
      <c r="C361" t="s">
        <v>366</v>
      </c>
      <c r="D361" t="s">
        <v>369</v>
      </c>
      <c r="E361" t="s">
        <v>29</v>
      </c>
      <c r="F361" s="330">
        <v>2.1</v>
      </c>
      <c r="G361" s="330">
        <v>2700</v>
      </c>
      <c r="H361" s="310">
        <f t="shared" si="15"/>
        <v>1285.7142857142856</v>
      </c>
      <c r="I361" s="311">
        <v>0.3</v>
      </c>
      <c r="J361" s="310">
        <f t="shared" si="16"/>
        <v>1889.9999999999998</v>
      </c>
      <c r="K361" s="310">
        <f t="shared" si="17"/>
        <v>899.99999999999989</v>
      </c>
    </row>
    <row r="362" spans="1:11" x14ac:dyDescent="0.2">
      <c r="A362" t="s">
        <v>364</v>
      </c>
      <c r="B362" t="s">
        <v>83</v>
      </c>
      <c r="C362" t="s">
        <v>366</v>
      </c>
      <c r="D362" t="s">
        <v>369</v>
      </c>
      <c r="E362" t="s">
        <v>27</v>
      </c>
      <c r="F362" s="330">
        <v>2.64</v>
      </c>
      <c r="G362" s="330">
        <v>2820</v>
      </c>
      <c r="H362" s="310">
        <f t="shared" si="15"/>
        <v>1068.1818181818182</v>
      </c>
      <c r="I362" s="311">
        <v>0.3</v>
      </c>
      <c r="J362" s="310">
        <f t="shared" si="16"/>
        <v>1973.9999999999998</v>
      </c>
      <c r="K362" s="310">
        <f t="shared" si="17"/>
        <v>747.72727272727263</v>
      </c>
    </row>
    <row r="363" spans="1:11" x14ac:dyDescent="0.2">
      <c r="A363" t="s">
        <v>364</v>
      </c>
      <c r="B363" t="s">
        <v>83</v>
      </c>
      <c r="C363" t="s">
        <v>366</v>
      </c>
      <c r="D363" t="s">
        <v>369</v>
      </c>
      <c r="E363" t="s">
        <v>27</v>
      </c>
      <c r="F363" s="330">
        <v>2.64</v>
      </c>
      <c r="G363" s="330">
        <v>3400</v>
      </c>
      <c r="H363" s="310">
        <f t="shared" si="15"/>
        <v>1287.8787878787878</v>
      </c>
      <c r="I363" s="311">
        <v>0.3</v>
      </c>
      <c r="J363" s="310">
        <f t="shared" si="16"/>
        <v>2380</v>
      </c>
      <c r="K363" s="310">
        <f t="shared" si="17"/>
        <v>901.5151515151515</v>
      </c>
    </row>
    <row r="364" spans="1:11" x14ac:dyDescent="0.2">
      <c r="A364" t="s">
        <v>364</v>
      </c>
      <c r="B364" t="s">
        <v>83</v>
      </c>
      <c r="C364" t="s">
        <v>366</v>
      </c>
      <c r="D364" t="s">
        <v>369</v>
      </c>
      <c r="E364" t="s">
        <v>27</v>
      </c>
      <c r="F364" s="330">
        <v>2.64</v>
      </c>
      <c r="G364" s="330">
        <v>2820</v>
      </c>
      <c r="H364" s="310">
        <f t="shared" si="15"/>
        <v>1068.1818181818182</v>
      </c>
      <c r="I364" s="311">
        <v>0.3</v>
      </c>
      <c r="J364" s="310">
        <f t="shared" si="16"/>
        <v>1973.9999999999998</v>
      </c>
      <c r="K364" s="310">
        <f t="shared" si="17"/>
        <v>747.72727272727263</v>
      </c>
    </row>
    <row r="365" spans="1:11" x14ac:dyDescent="0.2">
      <c r="A365" t="s">
        <v>364</v>
      </c>
      <c r="B365" t="s">
        <v>83</v>
      </c>
      <c r="C365" t="s">
        <v>366</v>
      </c>
      <c r="D365" t="s">
        <v>369</v>
      </c>
      <c r="E365" t="s">
        <v>27</v>
      </c>
      <c r="F365" s="330">
        <v>2.64</v>
      </c>
      <c r="G365" s="330">
        <v>3400</v>
      </c>
      <c r="H365" s="310">
        <f t="shared" si="15"/>
        <v>1287.8787878787878</v>
      </c>
      <c r="I365" s="311">
        <v>0.3</v>
      </c>
      <c r="J365" s="310">
        <f t="shared" si="16"/>
        <v>2380</v>
      </c>
      <c r="K365" s="310">
        <f t="shared" si="17"/>
        <v>901.5151515151515</v>
      </c>
    </row>
    <row r="366" spans="1:11" x14ac:dyDescent="0.2">
      <c r="A366" t="s">
        <v>364</v>
      </c>
      <c r="B366" t="s">
        <v>83</v>
      </c>
      <c r="C366" t="s">
        <v>366</v>
      </c>
      <c r="D366" t="s">
        <v>369</v>
      </c>
      <c r="E366" t="s">
        <v>27</v>
      </c>
      <c r="F366" s="330">
        <v>2.88</v>
      </c>
      <c r="G366" s="330">
        <v>3500</v>
      </c>
      <c r="H366" s="310">
        <f t="shared" si="15"/>
        <v>1215.2777777777778</v>
      </c>
      <c r="I366" s="311">
        <v>0.3</v>
      </c>
      <c r="J366" s="310">
        <f t="shared" si="16"/>
        <v>2450</v>
      </c>
      <c r="K366" s="310">
        <f t="shared" si="17"/>
        <v>850.69444444444446</v>
      </c>
    </row>
    <row r="367" spans="1:11" x14ac:dyDescent="0.2">
      <c r="A367" t="s">
        <v>364</v>
      </c>
      <c r="B367" t="s">
        <v>83</v>
      </c>
      <c r="C367" t="s">
        <v>366</v>
      </c>
      <c r="D367" t="s">
        <v>369</v>
      </c>
      <c r="E367" t="s">
        <v>27</v>
      </c>
      <c r="F367" s="330">
        <v>2.88</v>
      </c>
      <c r="G367" s="330">
        <v>3500</v>
      </c>
      <c r="H367" s="310">
        <f t="shared" si="15"/>
        <v>1215.2777777777778</v>
      </c>
      <c r="I367" s="311">
        <v>0.3</v>
      </c>
      <c r="J367" s="310">
        <f t="shared" si="16"/>
        <v>2450</v>
      </c>
      <c r="K367" s="310">
        <f t="shared" si="17"/>
        <v>850.69444444444446</v>
      </c>
    </row>
    <row r="368" spans="1:11" x14ac:dyDescent="0.2">
      <c r="A368" t="s">
        <v>364</v>
      </c>
      <c r="B368" t="s">
        <v>83</v>
      </c>
      <c r="C368" t="s">
        <v>366</v>
      </c>
      <c r="D368" t="s">
        <v>369</v>
      </c>
      <c r="E368" t="s">
        <v>27</v>
      </c>
      <c r="F368" s="330">
        <v>3.04</v>
      </c>
      <c r="G368" s="330">
        <v>2820</v>
      </c>
      <c r="H368" s="310">
        <f t="shared" si="15"/>
        <v>927.63157894736844</v>
      </c>
      <c r="I368" s="311">
        <v>0.3</v>
      </c>
      <c r="J368" s="310">
        <f t="shared" si="16"/>
        <v>1973.9999999999998</v>
      </c>
      <c r="K368" s="310">
        <f t="shared" si="17"/>
        <v>649.3421052631578</v>
      </c>
    </row>
    <row r="369" spans="1:11" x14ac:dyDescent="0.2">
      <c r="A369" t="s">
        <v>364</v>
      </c>
      <c r="B369" t="s">
        <v>83</v>
      </c>
      <c r="C369" t="s">
        <v>366</v>
      </c>
      <c r="D369" t="s">
        <v>369</v>
      </c>
      <c r="E369" t="s">
        <v>27</v>
      </c>
      <c r="F369" s="330">
        <v>3.06</v>
      </c>
      <c r="G369" s="330">
        <v>3900</v>
      </c>
      <c r="H369" s="310">
        <f t="shared" si="15"/>
        <v>1274.5098039215686</v>
      </c>
      <c r="I369" s="311">
        <v>0.3</v>
      </c>
      <c r="J369" s="310">
        <f t="shared" si="16"/>
        <v>2730</v>
      </c>
      <c r="K369" s="310">
        <f t="shared" si="17"/>
        <v>892.15686274509801</v>
      </c>
    </row>
    <row r="370" spans="1:11" x14ac:dyDescent="0.2">
      <c r="A370" t="s">
        <v>364</v>
      </c>
      <c r="B370" t="s">
        <v>83</v>
      </c>
      <c r="C370" t="s">
        <v>366</v>
      </c>
      <c r="D370" t="s">
        <v>369</v>
      </c>
      <c r="E370" t="s">
        <v>27</v>
      </c>
      <c r="F370" s="330">
        <v>3.08</v>
      </c>
      <c r="G370" s="330">
        <v>3900</v>
      </c>
      <c r="H370" s="310">
        <f t="shared" si="15"/>
        <v>1266.2337662337661</v>
      </c>
      <c r="I370" s="311">
        <v>0.3</v>
      </c>
      <c r="J370" s="310">
        <f t="shared" si="16"/>
        <v>2730</v>
      </c>
      <c r="K370" s="310">
        <f t="shared" si="17"/>
        <v>886.36363636363637</v>
      </c>
    </row>
    <row r="371" spans="1:11" x14ac:dyDescent="0.2">
      <c r="A371" t="s">
        <v>364</v>
      </c>
      <c r="B371" t="s">
        <v>83</v>
      </c>
      <c r="C371" t="s">
        <v>366</v>
      </c>
      <c r="D371" t="s">
        <v>369</v>
      </c>
      <c r="E371" t="s">
        <v>27</v>
      </c>
      <c r="F371" s="330">
        <v>3.08</v>
      </c>
      <c r="G371" s="330">
        <v>3900</v>
      </c>
      <c r="H371" s="310">
        <f t="shared" si="15"/>
        <v>1266.2337662337661</v>
      </c>
      <c r="I371" s="311">
        <v>0.3</v>
      </c>
      <c r="J371" s="310">
        <f t="shared" si="16"/>
        <v>2730</v>
      </c>
      <c r="K371" s="310">
        <f t="shared" si="17"/>
        <v>886.36363636363637</v>
      </c>
    </row>
    <row r="372" spans="1:11" x14ac:dyDescent="0.2">
      <c r="A372" t="s">
        <v>364</v>
      </c>
      <c r="B372" t="s">
        <v>83</v>
      </c>
      <c r="C372" t="s">
        <v>366</v>
      </c>
      <c r="D372" t="s">
        <v>369</v>
      </c>
      <c r="E372" t="s">
        <v>27</v>
      </c>
      <c r="F372" s="330">
        <v>3.22</v>
      </c>
      <c r="G372" s="330">
        <v>4000</v>
      </c>
      <c r="H372" s="310">
        <f t="shared" si="15"/>
        <v>1242.2360248447205</v>
      </c>
      <c r="I372" s="311">
        <v>0.3</v>
      </c>
      <c r="J372" s="310">
        <f t="shared" si="16"/>
        <v>2800</v>
      </c>
      <c r="K372" s="310">
        <f t="shared" si="17"/>
        <v>869.56521739130426</v>
      </c>
    </row>
    <row r="373" spans="1:11" x14ac:dyDescent="0.2">
      <c r="A373" t="s">
        <v>364</v>
      </c>
      <c r="B373" t="s">
        <v>83</v>
      </c>
      <c r="C373" t="s">
        <v>366</v>
      </c>
      <c r="D373" t="s">
        <v>369</v>
      </c>
      <c r="E373" t="s">
        <v>27</v>
      </c>
      <c r="F373" s="330">
        <v>3.22</v>
      </c>
      <c r="G373" s="330">
        <v>4000</v>
      </c>
      <c r="H373" s="310">
        <f t="shared" si="15"/>
        <v>1242.2360248447205</v>
      </c>
      <c r="I373" s="311">
        <v>0.3</v>
      </c>
      <c r="J373" s="310">
        <f t="shared" si="16"/>
        <v>2800</v>
      </c>
      <c r="K373" s="310">
        <f t="shared" si="17"/>
        <v>869.56521739130426</v>
      </c>
    </row>
    <row r="374" spans="1:11" x14ac:dyDescent="0.2">
      <c r="A374" t="s">
        <v>364</v>
      </c>
      <c r="B374" t="s">
        <v>83</v>
      </c>
      <c r="C374" t="s">
        <v>366</v>
      </c>
      <c r="D374" t="s">
        <v>369</v>
      </c>
      <c r="E374" t="s">
        <v>27</v>
      </c>
      <c r="F374" s="330">
        <v>3.61</v>
      </c>
      <c r="G374" s="330">
        <v>4200</v>
      </c>
      <c r="H374" s="310">
        <f t="shared" si="15"/>
        <v>1163.4349030470914</v>
      </c>
      <c r="I374" s="311">
        <v>0.3</v>
      </c>
      <c r="J374" s="310">
        <f t="shared" si="16"/>
        <v>2940</v>
      </c>
      <c r="K374" s="310">
        <f t="shared" si="17"/>
        <v>814.40443213296396</v>
      </c>
    </row>
    <row r="375" spans="1:11" x14ac:dyDescent="0.2">
      <c r="A375" t="s">
        <v>364</v>
      </c>
      <c r="B375" t="s">
        <v>83</v>
      </c>
      <c r="C375" t="s">
        <v>366</v>
      </c>
      <c r="D375" t="s">
        <v>369</v>
      </c>
      <c r="E375" t="s">
        <v>27</v>
      </c>
      <c r="F375" s="330">
        <v>3.74</v>
      </c>
      <c r="G375" s="330">
        <v>4700</v>
      </c>
      <c r="H375" s="310">
        <f t="shared" si="15"/>
        <v>1256.6844919786095</v>
      </c>
      <c r="I375" s="311">
        <v>0.3</v>
      </c>
      <c r="J375" s="310">
        <f t="shared" si="16"/>
        <v>3290</v>
      </c>
      <c r="K375" s="310">
        <f t="shared" si="17"/>
        <v>879.67914438502669</v>
      </c>
    </row>
    <row r="376" spans="1:11" x14ac:dyDescent="0.2">
      <c r="A376" t="s">
        <v>364</v>
      </c>
      <c r="B376" t="s">
        <v>83</v>
      </c>
      <c r="C376" t="s">
        <v>366</v>
      </c>
      <c r="D376" t="s">
        <v>369</v>
      </c>
      <c r="E376" t="s">
        <v>27</v>
      </c>
      <c r="F376" s="330">
        <v>3.92</v>
      </c>
      <c r="G376" s="330">
        <v>5000</v>
      </c>
      <c r="H376" s="310">
        <f t="shared" si="15"/>
        <v>1275.5102040816328</v>
      </c>
      <c r="I376" s="311">
        <v>0.3</v>
      </c>
      <c r="J376" s="310">
        <f t="shared" si="16"/>
        <v>3500</v>
      </c>
      <c r="K376" s="310">
        <f t="shared" si="17"/>
        <v>892.85714285714289</v>
      </c>
    </row>
    <row r="377" spans="1:11" x14ac:dyDescent="0.2">
      <c r="A377" t="s">
        <v>364</v>
      </c>
      <c r="B377" t="s">
        <v>83</v>
      </c>
      <c r="C377" t="s">
        <v>366</v>
      </c>
      <c r="D377" t="s">
        <v>369</v>
      </c>
      <c r="E377" t="s">
        <v>27</v>
      </c>
      <c r="F377" s="330">
        <v>4.08</v>
      </c>
      <c r="G377" s="330">
        <v>4600</v>
      </c>
      <c r="H377" s="310">
        <f t="shared" si="15"/>
        <v>1127.4509803921569</v>
      </c>
      <c r="I377" s="311">
        <v>0.3</v>
      </c>
      <c r="J377" s="310">
        <f t="shared" si="16"/>
        <v>3220</v>
      </c>
      <c r="K377" s="310">
        <f t="shared" si="17"/>
        <v>789.21568627450984</v>
      </c>
    </row>
    <row r="378" spans="1:11" x14ac:dyDescent="0.2">
      <c r="A378" t="s">
        <v>364</v>
      </c>
      <c r="B378" t="s">
        <v>83</v>
      </c>
      <c r="C378" t="s">
        <v>366</v>
      </c>
      <c r="D378" t="s">
        <v>369</v>
      </c>
      <c r="E378" t="s">
        <v>27</v>
      </c>
      <c r="F378" s="330">
        <v>4.08</v>
      </c>
      <c r="G378" s="330">
        <v>5000</v>
      </c>
      <c r="H378" s="310">
        <f t="shared" si="15"/>
        <v>1225.4901960784314</v>
      </c>
      <c r="I378" s="311">
        <v>0.3</v>
      </c>
      <c r="J378" s="310">
        <f t="shared" si="16"/>
        <v>3500</v>
      </c>
      <c r="K378" s="310">
        <f t="shared" si="17"/>
        <v>857.84313725490199</v>
      </c>
    </row>
    <row r="379" spans="1:11" x14ac:dyDescent="0.2">
      <c r="A379" t="s">
        <v>364</v>
      </c>
      <c r="B379" t="s">
        <v>83</v>
      </c>
      <c r="C379" t="s">
        <v>366</v>
      </c>
      <c r="D379" t="s">
        <v>369</v>
      </c>
      <c r="E379" t="s">
        <v>27</v>
      </c>
      <c r="F379" s="330">
        <v>4.5999999999999996</v>
      </c>
      <c r="G379" s="330">
        <v>5600</v>
      </c>
      <c r="H379" s="310">
        <f t="shared" si="15"/>
        <v>1217.3913043478262</v>
      </c>
      <c r="I379" s="311">
        <v>0.3</v>
      </c>
      <c r="J379" s="310">
        <f t="shared" si="16"/>
        <v>3919.9999999999995</v>
      </c>
      <c r="K379" s="310">
        <f t="shared" si="17"/>
        <v>852.17391304347825</v>
      </c>
    </row>
    <row r="380" spans="1:11" x14ac:dyDescent="0.2">
      <c r="A380" t="s">
        <v>364</v>
      </c>
      <c r="B380" t="s">
        <v>83</v>
      </c>
      <c r="C380" t="s">
        <v>366</v>
      </c>
      <c r="D380" t="s">
        <v>369</v>
      </c>
      <c r="E380" t="s">
        <v>26</v>
      </c>
      <c r="F380" s="330">
        <v>5.29</v>
      </c>
      <c r="G380" s="330">
        <v>5400</v>
      </c>
      <c r="H380" s="310">
        <f t="shared" si="15"/>
        <v>1020.7939508506616</v>
      </c>
      <c r="I380" s="311">
        <v>0.3</v>
      </c>
      <c r="J380" s="310">
        <f t="shared" si="16"/>
        <v>3779.9999999999995</v>
      </c>
      <c r="K380" s="310">
        <f t="shared" si="17"/>
        <v>714.55576559546307</v>
      </c>
    </row>
    <row r="381" spans="1:11" x14ac:dyDescent="0.2">
      <c r="A381" t="s">
        <v>364</v>
      </c>
      <c r="B381" t="s">
        <v>83</v>
      </c>
      <c r="C381" t="s">
        <v>366</v>
      </c>
      <c r="D381" t="s">
        <v>369</v>
      </c>
      <c r="E381" t="s">
        <v>26</v>
      </c>
      <c r="F381" s="330">
        <v>5.29</v>
      </c>
      <c r="G381" s="330">
        <v>5600</v>
      </c>
      <c r="H381" s="310">
        <f t="shared" si="15"/>
        <v>1058.6011342155009</v>
      </c>
      <c r="I381" s="311">
        <v>0.3</v>
      </c>
      <c r="J381" s="310">
        <f t="shared" si="16"/>
        <v>3919.9999999999995</v>
      </c>
      <c r="K381" s="310">
        <f t="shared" si="17"/>
        <v>741.02079395085059</v>
      </c>
    </row>
    <row r="382" spans="1:11" x14ac:dyDescent="0.2">
      <c r="A382" t="s">
        <v>364</v>
      </c>
      <c r="B382" t="s">
        <v>83</v>
      </c>
      <c r="C382" t="s">
        <v>366</v>
      </c>
      <c r="D382" t="s">
        <v>369</v>
      </c>
      <c r="E382" t="s">
        <v>26</v>
      </c>
      <c r="F382" s="330">
        <v>5.29</v>
      </c>
      <c r="G382" s="330">
        <v>5800</v>
      </c>
      <c r="H382" s="310">
        <f t="shared" si="15"/>
        <v>1096.4083175803403</v>
      </c>
      <c r="I382" s="311">
        <v>0.3</v>
      </c>
      <c r="J382" s="310">
        <f t="shared" si="16"/>
        <v>4059.9999999999995</v>
      </c>
      <c r="K382" s="310">
        <f t="shared" si="17"/>
        <v>767.48582230623811</v>
      </c>
    </row>
    <row r="383" spans="1:11" x14ac:dyDescent="0.2">
      <c r="A383" t="s">
        <v>364</v>
      </c>
      <c r="B383" t="s">
        <v>83</v>
      </c>
      <c r="C383" t="s">
        <v>366</v>
      </c>
      <c r="D383" t="s">
        <v>369</v>
      </c>
      <c r="E383" t="s">
        <v>26</v>
      </c>
      <c r="F383" s="330">
        <v>5.29</v>
      </c>
      <c r="G383" s="330">
        <v>6100</v>
      </c>
      <c r="H383" s="310">
        <f t="shared" si="15"/>
        <v>1153.1190926275992</v>
      </c>
      <c r="I383" s="311">
        <v>0.3</v>
      </c>
      <c r="J383" s="310">
        <f t="shared" si="16"/>
        <v>4270</v>
      </c>
      <c r="K383" s="310">
        <f t="shared" si="17"/>
        <v>807.18336483931944</v>
      </c>
    </row>
    <row r="384" spans="1:11" x14ac:dyDescent="0.2">
      <c r="A384" t="s">
        <v>364</v>
      </c>
      <c r="B384" t="s">
        <v>83</v>
      </c>
      <c r="C384" t="s">
        <v>366</v>
      </c>
      <c r="D384" t="s">
        <v>369</v>
      </c>
      <c r="E384" t="s">
        <v>26</v>
      </c>
      <c r="F384" s="330">
        <v>5.29</v>
      </c>
      <c r="G384" s="330">
        <v>6500</v>
      </c>
      <c r="H384" s="310">
        <f t="shared" si="15"/>
        <v>1228.733459357278</v>
      </c>
      <c r="I384" s="311">
        <v>0.3</v>
      </c>
      <c r="J384" s="310">
        <f t="shared" si="16"/>
        <v>4550</v>
      </c>
      <c r="K384" s="310">
        <f t="shared" si="17"/>
        <v>860.11342155009447</v>
      </c>
    </row>
    <row r="385" spans="1:11" x14ac:dyDescent="0.2">
      <c r="A385" t="s">
        <v>364</v>
      </c>
      <c r="B385" t="s">
        <v>83</v>
      </c>
      <c r="C385" t="s">
        <v>366</v>
      </c>
      <c r="D385" t="s">
        <v>369</v>
      </c>
      <c r="E385" t="s">
        <v>26</v>
      </c>
      <c r="F385" s="330">
        <v>5.46</v>
      </c>
      <c r="G385" s="330">
        <v>6800</v>
      </c>
      <c r="H385" s="310">
        <f t="shared" si="15"/>
        <v>1245.4212454212454</v>
      </c>
      <c r="I385" s="311">
        <v>0.3</v>
      </c>
      <c r="J385" s="310">
        <f t="shared" si="16"/>
        <v>4760</v>
      </c>
      <c r="K385" s="310">
        <f t="shared" si="17"/>
        <v>871.79487179487182</v>
      </c>
    </row>
    <row r="386" spans="1:11" x14ac:dyDescent="0.2">
      <c r="A386" t="s">
        <v>364</v>
      </c>
      <c r="B386" t="s">
        <v>83</v>
      </c>
      <c r="C386" t="s">
        <v>366</v>
      </c>
      <c r="D386" t="s">
        <v>369</v>
      </c>
      <c r="E386" t="s">
        <v>26</v>
      </c>
      <c r="F386" s="330">
        <v>6.67</v>
      </c>
      <c r="G386" s="330">
        <v>8400</v>
      </c>
      <c r="H386" s="310">
        <f t="shared" ref="H386:H449" si="18">G386/F386</f>
        <v>1259.3703148425786</v>
      </c>
      <c r="I386" s="311">
        <v>0.3</v>
      </c>
      <c r="J386" s="310">
        <f t="shared" ref="J386:J449" si="19">G386*(1-I386)</f>
        <v>5880</v>
      </c>
      <c r="K386" s="310">
        <f t="shared" ref="K386:K449" si="20">J386/F386</f>
        <v>881.55922038980509</v>
      </c>
    </row>
    <row r="387" spans="1:11" x14ac:dyDescent="0.2">
      <c r="A387" t="s">
        <v>364</v>
      </c>
      <c r="B387" t="s">
        <v>83</v>
      </c>
      <c r="C387" t="s">
        <v>366</v>
      </c>
      <c r="D387" t="s">
        <v>369</v>
      </c>
      <c r="E387" t="s">
        <v>26</v>
      </c>
      <c r="F387" s="330">
        <v>6.67</v>
      </c>
      <c r="G387" s="330">
        <v>5800</v>
      </c>
      <c r="H387" s="310">
        <f t="shared" si="18"/>
        <v>869.56521739130437</v>
      </c>
      <c r="I387" s="311">
        <v>0.3</v>
      </c>
      <c r="J387" s="310">
        <f t="shared" si="19"/>
        <v>4059.9999999999995</v>
      </c>
      <c r="K387" s="310">
        <f t="shared" si="20"/>
        <v>608.695652173913</v>
      </c>
    </row>
    <row r="388" spans="1:11" x14ac:dyDescent="0.2">
      <c r="A388" t="s">
        <v>364</v>
      </c>
      <c r="B388" t="s">
        <v>83</v>
      </c>
      <c r="C388" t="s">
        <v>366</v>
      </c>
      <c r="D388" t="s">
        <v>369</v>
      </c>
      <c r="E388" t="s">
        <v>26</v>
      </c>
      <c r="F388" s="330">
        <v>6.67</v>
      </c>
      <c r="G388" s="330">
        <v>8400</v>
      </c>
      <c r="H388" s="310">
        <f t="shared" si="18"/>
        <v>1259.3703148425786</v>
      </c>
      <c r="I388" s="311">
        <v>0.3</v>
      </c>
      <c r="J388" s="310">
        <f t="shared" si="19"/>
        <v>5880</v>
      </c>
      <c r="K388" s="310">
        <f t="shared" si="20"/>
        <v>881.55922038980509</v>
      </c>
    </row>
    <row r="389" spans="1:11" x14ac:dyDescent="0.2">
      <c r="A389" t="s">
        <v>364</v>
      </c>
      <c r="B389" t="s">
        <v>83</v>
      </c>
      <c r="C389" t="s">
        <v>366</v>
      </c>
      <c r="D389" t="s">
        <v>369</v>
      </c>
      <c r="E389" t="s">
        <v>26</v>
      </c>
      <c r="F389" s="330">
        <v>7.56</v>
      </c>
      <c r="G389" s="330">
        <v>9200</v>
      </c>
      <c r="H389" s="310">
        <f t="shared" si="18"/>
        <v>1216.931216931217</v>
      </c>
      <c r="I389" s="311">
        <v>0.3</v>
      </c>
      <c r="J389" s="310">
        <f t="shared" si="19"/>
        <v>6440</v>
      </c>
      <c r="K389" s="310">
        <f t="shared" si="20"/>
        <v>851.85185185185185</v>
      </c>
    </row>
    <row r="390" spans="1:11" x14ac:dyDescent="0.2">
      <c r="A390" t="s">
        <v>364</v>
      </c>
      <c r="B390" t="s">
        <v>83</v>
      </c>
      <c r="C390" t="s">
        <v>366</v>
      </c>
      <c r="D390" t="s">
        <v>369</v>
      </c>
      <c r="E390" t="s">
        <v>26</v>
      </c>
      <c r="F390" s="330">
        <v>7.79</v>
      </c>
      <c r="G390" s="330">
        <v>5800</v>
      </c>
      <c r="H390" s="310">
        <f t="shared" si="18"/>
        <v>744.54428754813864</v>
      </c>
      <c r="I390" s="311">
        <v>0.3</v>
      </c>
      <c r="J390" s="310">
        <f t="shared" si="19"/>
        <v>4059.9999999999995</v>
      </c>
      <c r="K390" s="310">
        <f t="shared" si="20"/>
        <v>521.18100128369701</v>
      </c>
    </row>
    <row r="391" spans="1:11" x14ac:dyDescent="0.2">
      <c r="A391" t="s">
        <v>364</v>
      </c>
      <c r="B391" t="s">
        <v>83</v>
      </c>
      <c r="C391" t="s">
        <v>366</v>
      </c>
      <c r="D391" t="s">
        <v>369</v>
      </c>
      <c r="E391" t="s">
        <v>26</v>
      </c>
      <c r="F391" s="330">
        <v>7.79</v>
      </c>
      <c r="G391" s="330">
        <v>9500</v>
      </c>
      <c r="H391" s="310">
        <f t="shared" si="18"/>
        <v>1219.5121951219512</v>
      </c>
      <c r="I391" s="311">
        <v>0.3</v>
      </c>
      <c r="J391" s="310">
        <f t="shared" si="19"/>
        <v>6650</v>
      </c>
      <c r="K391" s="310">
        <f t="shared" si="20"/>
        <v>853.65853658536582</v>
      </c>
    </row>
    <row r="392" spans="1:11" x14ac:dyDescent="0.2">
      <c r="A392" t="s">
        <v>364</v>
      </c>
      <c r="B392" t="s">
        <v>83</v>
      </c>
      <c r="C392" t="s">
        <v>366</v>
      </c>
      <c r="D392" t="s">
        <v>369</v>
      </c>
      <c r="E392" t="s">
        <v>26</v>
      </c>
      <c r="F392" s="330">
        <v>8.4</v>
      </c>
      <c r="G392" s="330">
        <v>10000</v>
      </c>
      <c r="H392" s="310">
        <f t="shared" si="18"/>
        <v>1190.4761904761904</v>
      </c>
      <c r="I392" s="311">
        <v>0.3</v>
      </c>
      <c r="J392" s="310">
        <f t="shared" si="19"/>
        <v>7000</v>
      </c>
      <c r="K392" s="310">
        <f t="shared" si="20"/>
        <v>833.33333333333326</v>
      </c>
    </row>
    <row r="393" spans="1:11" x14ac:dyDescent="0.2">
      <c r="A393" t="s">
        <v>364</v>
      </c>
      <c r="B393" t="s">
        <v>83</v>
      </c>
      <c r="C393" t="s">
        <v>366</v>
      </c>
      <c r="D393" t="s">
        <v>369</v>
      </c>
      <c r="E393" t="s">
        <v>26</v>
      </c>
      <c r="F393" s="330">
        <v>9.1</v>
      </c>
      <c r="G393" s="330">
        <v>10000</v>
      </c>
      <c r="H393" s="310">
        <f t="shared" si="18"/>
        <v>1098.901098901099</v>
      </c>
      <c r="I393" s="311">
        <v>0.3</v>
      </c>
      <c r="J393" s="310">
        <f t="shared" si="19"/>
        <v>7000</v>
      </c>
      <c r="K393" s="310">
        <f t="shared" si="20"/>
        <v>769.23076923076928</v>
      </c>
    </row>
    <row r="394" spans="1:11" x14ac:dyDescent="0.2">
      <c r="A394" t="s">
        <v>364</v>
      </c>
      <c r="B394" t="s">
        <v>83</v>
      </c>
      <c r="C394" t="s">
        <v>366</v>
      </c>
      <c r="D394" t="s">
        <v>369</v>
      </c>
      <c r="E394" t="s">
        <v>26</v>
      </c>
      <c r="F394" s="330">
        <v>9.1</v>
      </c>
      <c r="G394" s="330">
        <v>11000</v>
      </c>
      <c r="H394" s="310">
        <f t="shared" si="18"/>
        <v>1208.7912087912089</v>
      </c>
      <c r="I394" s="311">
        <v>0.3</v>
      </c>
      <c r="J394" s="310">
        <f t="shared" si="19"/>
        <v>7699.9999999999991</v>
      </c>
      <c r="K394" s="310">
        <f t="shared" si="20"/>
        <v>846.15384615384608</v>
      </c>
    </row>
    <row r="395" spans="1:11" x14ac:dyDescent="0.2">
      <c r="A395" t="s">
        <v>364</v>
      </c>
      <c r="B395" t="s">
        <v>83</v>
      </c>
      <c r="C395" t="s">
        <v>366</v>
      </c>
      <c r="D395" t="s">
        <v>369</v>
      </c>
      <c r="E395" t="s">
        <v>26</v>
      </c>
      <c r="F395" s="330">
        <v>9.2799999999999994</v>
      </c>
      <c r="G395" s="330">
        <v>6099</v>
      </c>
      <c r="H395" s="310">
        <f t="shared" si="18"/>
        <v>657.21982758620697</v>
      </c>
      <c r="I395" s="311">
        <v>0.3</v>
      </c>
      <c r="J395" s="310">
        <f t="shared" si="19"/>
        <v>4269.3</v>
      </c>
      <c r="K395" s="310">
        <f t="shared" si="20"/>
        <v>460.05387931034488</v>
      </c>
    </row>
    <row r="396" spans="1:11" x14ac:dyDescent="0.2">
      <c r="A396" t="s">
        <v>364</v>
      </c>
      <c r="B396" t="s">
        <v>83</v>
      </c>
      <c r="C396" t="s">
        <v>366</v>
      </c>
      <c r="D396" t="s">
        <v>369</v>
      </c>
      <c r="E396" t="s">
        <v>26</v>
      </c>
      <c r="F396" s="330">
        <v>9.2799999999999994</v>
      </c>
      <c r="G396" s="330">
        <v>6420</v>
      </c>
      <c r="H396" s="310">
        <f t="shared" si="18"/>
        <v>691.81034482758628</v>
      </c>
      <c r="I396" s="311">
        <v>0.3</v>
      </c>
      <c r="J396" s="310">
        <f t="shared" si="19"/>
        <v>4494</v>
      </c>
      <c r="K396" s="310">
        <f t="shared" si="20"/>
        <v>484.26724137931041</v>
      </c>
    </row>
    <row r="397" spans="1:11" x14ac:dyDescent="0.2">
      <c r="A397" t="s">
        <v>364</v>
      </c>
      <c r="B397" t="s">
        <v>83</v>
      </c>
      <c r="C397" t="s">
        <v>366</v>
      </c>
      <c r="D397" t="s">
        <v>369</v>
      </c>
      <c r="E397" t="s">
        <v>26</v>
      </c>
      <c r="F397" s="330">
        <v>9.2799999999999994</v>
      </c>
      <c r="G397" s="330">
        <v>11000</v>
      </c>
      <c r="H397" s="310">
        <f t="shared" si="18"/>
        <v>1185.344827586207</v>
      </c>
      <c r="I397" s="311">
        <v>0.3</v>
      </c>
      <c r="J397" s="310">
        <f t="shared" si="19"/>
        <v>7699.9999999999991</v>
      </c>
      <c r="K397" s="310">
        <f t="shared" si="20"/>
        <v>829.74137931034477</v>
      </c>
    </row>
    <row r="398" spans="1:11" x14ac:dyDescent="0.2">
      <c r="A398" t="s">
        <v>364</v>
      </c>
      <c r="B398" t="s">
        <v>83</v>
      </c>
      <c r="C398" t="s">
        <v>366</v>
      </c>
      <c r="D398" t="s">
        <v>369</v>
      </c>
      <c r="E398" t="s">
        <v>26</v>
      </c>
      <c r="F398" s="330">
        <v>9.2799999999999994</v>
      </c>
      <c r="G398" s="330">
        <v>11000</v>
      </c>
      <c r="H398" s="310">
        <f t="shared" si="18"/>
        <v>1185.344827586207</v>
      </c>
      <c r="I398" s="311">
        <v>0.3</v>
      </c>
      <c r="J398" s="310">
        <f t="shared" si="19"/>
        <v>7699.9999999999991</v>
      </c>
      <c r="K398" s="310">
        <f t="shared" si="20"/>
        <v>829.74137931034477</v>
      </c>
    </row>
    <row r="399" spans="1:11" x14ac:dyDescent="0.2">
      <c r="A399" t="s">
        <v>364</v>
      </c>
      <c r="B399" t="s">
        <v>83</v>
      </c>
      <c r="C399" t="s">
        <v>367</v>
      </c>
      <c r="D399" t="s">
        <v>66</v>
      </c>
      <c r="E399" t="s">
        <v>38</v>
      </c>
      <c r="F399" s="330">
        <v>14.58</v>
      </c>
      <c r="G399" s="330">
        <v>14600</v>
      </c>
      <c r="H399" s="310">
        <f t="shared" si="18"/>
        <v>1001.3717421124828</v>
      </c>
      <c r="I399" s="311">
        <v>0.3</v>
      </c>
      <c r="J399" s="310">
        <f t="shared" si="19"/>
        <v>10220</v>
      </c>
      <c r="K399" s="310">
        <f t="shared" si="20"/>
        <v>700.96021947873794</v>
      </c>
    </row>
    <row r="400" spans="1:11" x14ac:dyDescent="0.2">
      <c r="A400" t="s">
        <v>364</v>
      </c>
      <c r="B400" t="s">
        <v>83</v>
      </c>
      <c r="C400" t="s">
        <v>366</v>
      </c>
      <c r="D400" t="s">
        <v>369</v>
      </c>
      <c r="E400" t="s">
        <v>25</v>
      </c>
      <c r="F400" s="330">
        <v>14.85</v>
      </c>
      <c r="G400" s="330">
        <v>18000</v>
      </c>
      <c r="H400" s="310">
        <f t="shared" si="18"/>
        <v>1212.1212121212122</v>
      </c>
      <c r="I400" s="311">
        <v>0.3</v>
      </c>
      <c r="J400" s="310">
        <f t="shared" si="19"/>
        <v>12600</v>
      </c>
      <c r="K400" s="310">
        <f t="shared" si="20"/>
        <v>848.4848484848485</v>
      </c>
    </row>
    <row r="401" spans="1:11" x14ac:dyDescent="0.2">
      <c r="A401" t="s">
        <v>364</v>
      </c>
      <c r="B401" t="s">
        <v>83</v>
      </c>
      <c r="C401" t="s">
        <v>367</v>
      </c>
      <c r="D401" t="s">
        <v>66</v>
      </c>
      <c r="E401" t="s">
        <v>38</v>
      </c>
      <c r="F401" s="330">
        <v>15.9</v>
      </c>
      <c r="G401" s="330">
        <v>15900</v>
      </c>
      <c r="H401" s="310">
        <f t="shared" si="18"/>
        <v>1000</v>
      </c>
      <c r="I401" s="311">
        <v>0.3</v>
      </c>
      <c r="J401" s="310">
        <f t="shared" si="19"/>
        <v>11130</v>
      </c>
      <c r="K401" s="310">
        <f t="shared" si="20"/>
        <v>700</v>
      </c>
    </row>
    <row r="402" spans="1:11" x14ac:dyDescent="0.2">
      <c r="A402" t="s">
        <v>364</v>
      </c>
      <c r="B402" t="s">
        <v>83</v>
      </c>
      <c r="C402" t="s">
        <v>367</v>
      </c>
      <c r="D402" t="s">
        <v>66</v>
      </c>
      <c r="E402" t="s">
        <v>38</v>
      </c>
      <c r="F402" s="330">
        <v>16.2</v>
      </c>
      <c r="G402" s="330">
        <v>16200</v>
      </c>
      <c r="H402" s="310">
        <f t="shared" si="18"/>
        <v>1000</v>
      </c>
      <c r="I402" s="311">
        <v>0.3</v>
      </c>
      <c r="J402" s="310">
        <f t="shared" si="19"/>
        <v>11340</v>
      </c>
      <c r="K402" s="310">
        <f t="shared" si="20"/>
        <v>700</v>
      </c>
    </row>
    <row r="403" spans="1:11" x14ac:dyDescent="0.2">
      <c r="A403" t="s">
        <v>364</v>
      </c>
      <c r="B403" t="s">
        <v>83</v>
      </c>
      <c r="C403" t="s">
        <v>366</v>
      </c>
      <c r="D403" t="s">
        <v>369</v>
      </c>
      <c r="E403" t="s">
        <v>25</v>
      </c>
      <c r="F403" s="330">
        <v>18.899999999999999</v>
      </c>
      <c r="G403" s="330">
        <v>19100</v>
      </c>
      <c r="H403" s="310">
        <f t="shared" si="18"/>
        <v>1010.5820105820106</v>
      </c>
      <c r="I403" s="311">
        <v>0.3</v>
      </c>
      <c r="J403" s="310">
        <f t="shared" si="19"/>
        <v>13370</v>
      </c>
      <c r="K403" s="310">
        <f t="shared" si="20"/>
        <v>707.4074074074075</v>
      </c>
    </row>
    <row r="404" spans="1:11" x14ac:dyDescent="0.2">
      <c r="A404" t="s">
        <v>364</v>
      </c>
      <c r="B404" t="s">
        <v>83</v>
      </c>
      <c r="C404" t="s">
        <v>367</v>
      </c>
      <c r="D404" t="s">
        <v>66</v>
      </c>
      <c r="E404" t="s">
        <v>38</v>
      </c>
      <c r="F404" s="330">
        <v>19.079999999999998</v>
      </c>
      <c r="G404" s="330">
        <v>19100</v>
      </c>
      <c r="H404" s="310">
        <f t="shared" si="18"/>
        <v>1001.0482180293502</v>
      </c>
      <c r="I404" s="311">
        <v>0.3</v>
      </c>
      <c r="J404" s="310">
        <f t="shared" si="19"/>
        <v>13370</v>
      </c>
      <c r="K404" s="310">
        <f t="shared" si="20"/>
        <v>700.73375262054515</v>
      </c>
    </row>
    <row r="405" spans="1:11" x14ac:dyDescent="0.2">
      <c r="A405" t="s">
        <v>364</v>
      </c>
      <c r="B405" t="s">
        <v>83</v>
      </c>
      <c r="C405" t="s">
        <v>366</v>
      </c>
      <c r="D405" t="s">
        <v>369</v>
      </c>
      <c r="E405" t="s">
        <v>25</v>
      </c>
      <c r="F405" s="330">
        <v>19.5</v>
      </c>
      <c r="G405" s="330">
        <v>21000</v>
      </c>
      <c r="H405" s="310">
        <f t="shared" si="18"/>
        <v>1076.9230769230769</v>
      </c>
      <c r="I405" s="311">
        <v>0.3</v>
      </c>
      <c r="J405" s="310">
        <f t="shared" si="19"/>
        <v>14699.999999999998</v>
      </c>
      <c r="K405" s="310">
        <f t="shared" si="20"/>
        <v>753.8461538461537</v>
      </c>
    </row>
    <row r="406" spans="1:11" x14ac:dyDescent="0.2">
      <c r="A406" t="s">
        <v>364</v>
      </c>
      <c r="B406" t="s">
        <v>83</v>
      </c>
      <c r="C406" t="s">
        <v>366</v>
      </c>
      <c r="D406" t="s">
        <v>369</v>
      </c>
      <c r="E406" t="s">
        <v>28</v>
      </c>
      <c r="F406" s="330">
        <v>24.36</v>
      </c>
      <c r="G406" s="330">
        <v>29700</v>
      </c>
      <c r="H406" s="310">
        <f t="shared" si="18"/>
        <v>1219.2118226600985</v>
      </c>
      <c r="I406" s="311">
        <v>0.3</v>
      </c>
      <c r="J406" s="310">
        <f t="shared" si="19"/>
        <v>20790</v>
      </c>
      <c r="K406" s="310">
        <f t="shared" si="20"/>
        <v>853.44827586206895</v>
      </c>
    </row>
    <row r="407" spans="1:11" x14ac:dyDescent="0.2">
      <c r="A407" t="s">
        <v>364</v>
      </c>
      <c r="B407" t="s">
        <v>83</v>
      </c>
      <c r="C407" t="s">
        <v>366</v>
      </c>
      <c r="D407" t="s">
        <v>369</v>
      </c>
      <c r="E407" t="s">
        <v>28</v>
      </c>
      <c r="F407" s="330">
        <v>24.36</v>
      </c>
      <c r="G407" s="330">
        <v>29700</v>
      </c>
      <c r="H407" s="310">
        <f t="shared" si="18"/>
        <v>1219.2118226600985</v>
      </c>
      <c r="I407" s="311">
        <v>0.3</v>
      </c>
      <c r="J407" s="310">
        <f t="shared" si="19"/>
        <v>20790</v>
      </c>
      <c r="K407" s="310">
        <f t="shared" si="20"/>
        <v>853.44827586206895</v>
      </c>
    </row>
    <row r="408" spans="1:11" x14ac:dyDescent="0.2">
      <c r="A408" t="s">
        <v>364</v>
      </c>
      <c r="B408" t="s">
        <v>83</v>
      </c>
      <c r="C408" t="s">
        <v>366</v>
      </c>
      <c r="D408" t="s">
        <v>370</v>
      </c>
      <c r="E408" t="s">
        <v>39</v>
      </c>
      <c r="F408" s="330">
        <v>28.32</v>
      </c>
      <c r="G408" s="330">
        <v>22000</v>
      </c>
      <c r="H408" s="310">
        <f t="shared" si="18"/>
        <v>776.83615819209035</v>
      </c>
      <c r="I408" s="311">
        <v>0.3</v>
      </c>
      <c r="J408" s="310">
        <f t="shared" si="19"/>
        <v>15399.999999999998</v>
      </c>
      <c r="K408" s="310">
        <f t="shared" si="20"/>
        <v>543.78531073446322</v>
      </c>
    </row>
    <row r="409" spans="1:11" x14ac:dyDescent="0.2">
      <c r="A409" t="s">
        <v>364</v>
      </c>
      <c r="B409" t="s">
        <v>83</v>
      </c>
      <c r="C409" t="s">
        <v>366</v>
      </c>
      <c r="D409" t="s">
        <v>369</v>
      </c>
      <c r="E409" t="s">
        <v>30</v>
      </c>
      <c r="F409" s="330">
        <v>46.61</v>
      </c>
      <c r="G409" s="330">
        <v>57100</v>
      </c>
      <c r="H409" s="310">
        <f t="shared" si="18"/>
        <v>1225.0590002145464</v>
      </c>
      <c r="I409" s="311">
        <v>0.3</v>
      </c>
      <c r="J409" s="310">
        <f t="shared" si="19"/>
        <v>39970</v>
      </c>
      <c r="K409" s="310">
        <f t="shared" si="20"/>
        <v>857.54130015018234</v>
      </c>
    </row>
    <row r="410" spans="1:11" x14ac:dyDescent="0.2">
      <c r="A410" t="s">
        <v>364</v>
      </c>
      <c r="B410" t="s">
        <v>84</v>
      </c>
      <c r="C410" t="s">
        <v>367</v>
      </c>
      <c r="D410" t="s">
        <v>120</v>
      </c>
      <c r="E410" t="s">
        <v>42</v>
      </c>
      <c r="F410" s="330">
        <v>0.12</v>
      </c>
      <c r="G410" s="330">
        <v>495</v>
      </c>
      <c r="H410" s="310">
        <f t="shared" si="18"/>
        <v>4125</v>
      </c>
      <c r="I410" s="311">
        <v>0</v>
      </c>
      <c r="J410" s="310">
        <f t="shared" si="19"/>
        <v>495</v>
      </c>
      <c r="K410" s="310">
        <f t="shared" si="20"/>
        <v>4125</v>
      </c>
    </row>
    <row r="411" spans="1:11" x14ac:dyDescent="0.2">
      <c r="A411" t="s">
        <v>364</v>
      </c>
      <c r="B411" t="s">
        <v>84</v>
      </c>
      <c r="C411" t="s">
        <v>367</v>
      </c>
      <c r="D411" t="s">
        <v>120</v>
      </c>
      <c r="E411" t="s">
        <v>43</v>
      </c>
      <c r="F411" s="330">
        <v>0.12</v>
      </c>
      <c r="G411" s="330">
        <v>495</v>
      </c>
      <c r="H411" s="310">
        <f t="shared" si="18"/>
        <v>4125</v>
      </c>
      <c r="I411" s="311">
        <v>0</v>
      </c>
      <c r="J411" s="310">
        <f t="shared" si="19"/>
        <v>495</v>
      </c>
      <c r="K411" s="310">
        <f t="shared" si="20"/>
        <v>4125</v>
      </c>
    </row>
    <row r="412" spans="1:11" x14ac:dyDescent="0.2">
      <c r="A412" t="s">
        <v>364</v>
      </c>
      <c r="B412" t="s">
        <v>84</v>
      </c>
      <c r="C412" t="s">
        <v>367</v>
      </c>
      <c r="D412" t="s">
        <v>120</v>
      </c>
      <c r="E412" t="s">
        <v>33</v>
      </c>
      <c r="F412" s="330">
        <v>0.9</v>
      </c>
      <c r="G412" s="330">
        <v>1395</v>
      </c>
      <c r="H412" s="310">
        <f t="shared" si="18"/>
        <v>1550</v>
      </c>
      <c r="I412" s="311">
        <v>0</v>
      </c>
      <c r="J412" s="310">
        <f t="shared" si="19"/>
        <v>1395</v>
      </c>
      <c r="K412" s="310">
        <f t="shared" si="20"/>
        <v>1550</v>
      </c>
    </row>
    <row r="413" spans="1:11" x14ac:dyDescent="0.2">
      <c r="A413" t="s">
        <v>364</v>
      </c>
      <c r="B413" t="s">
        <v>84</v>
      </c>
      <c r="C413" t="s">
        <v>367</v>
      </c>
      <c r="D413" t="s">
        <v>120</v>
      </c>
      <c r="E413" t="s">
        <v>34</v>
      </c>
      <c r="F413" s="330">
        <v>0.9</v>
      </c>
      <c r="G413" s="330">
        <v>1395</v>
      </c>
      <c r="H413" s="310">
        <f t="shared" si="18"/>
        <v>1550</v>
      </c>
      <c r="I413" s="311">
        <v>0</v>
      </c>
      <c r="J413" s="310">
        <f t="shared" si="19"/>
        <v>1395</v>
      </c>
      <c r="K413" s="310">
        <f t="shared" si="20"/>
        <v>1550</v>
      </c>
    </row>
    <row r="414" spans="1:11" x14ac:dyDescent="0.2">
      <c r="A414" t="s">
        <v>364</v>
      </c>
      <c r="B414" t="s">
        <v>84</v>
      </c>
      <c r="C414" t="s">
        <v>367</v>
      </c>
      <c r="D414" t="s">
        <v>120</v>
      </c>
      <c r="E414" t="s">
        <v>33</v>
      </c>
      <c r="F414" s="330">
        <v>1</v>
      </c>
      <c r="G414" s="330">
        <v>1395</v>
      </c>
      <c r="H414" s="310">
        <f t="shared" si="18"/>
        <v>1395</v>
      </c>
      <c r="I414" s="311">
        <v>0</v>
      </c>
      <c r="J414" s="310">
        <f t="shared" si="19"/>
        <v>1395</v>
      </c>
      <c r="K414" s="310">
        <f t="shared" si="20"/>
        <v>1395</v>
      </c>
    </row>
    <row r="415" spans="1:11" x14ac:dyDescent="0.2">
      <c r="A415" t="s">
        <v>364</v>
      </c>
      <c r="B415" t="s">
        <v>84</v>
      </c>
      <c r="C415" t="s">
        <v>367</v>
      </c>
      <c r="D415" t="s">
        <v>120</v>
      </c>
      <c r="E415" t="s">
        <v>34</v>
      </c>
      <c r="F415" s="330">
        <v>1</v>
      </c>
      <c r="G415" s="330">
        <v>1395</v>
      </c>
      <c r="H415" s="310">
        <f t="shared" si="18"/>
        <v>1395</v>
      </c>
      <c r="I415" s="311">
        <v>0</v>
      </c>
      <c r="J415" s="310">
        <f t="shared" si="19"/>
        <v>1395</v>
      </c>
      <c r="K415" s="310">
        <f t="shared" si="20"/>
        <v>1395</v>
      </c>
    </row>
    <row r="416" spans="1:11" x14ac:dyDescent="0.2">
      <c r="A416" t="s">
        <v>364</v>
      </c>
      <c r="B416" t="s">
        <v>84</v>
      </c>
      <c r="C416" t="s">
        <v>367</v>
      </c>
      <c r="D416" t="s">
        <v>120</v>
      </c>
      <c r="E416" t="s">
        <v>34</v>
      </c>
      <c r="F416" s="330">
        <v>1</v>
      </c>
      <c r="G416" s="330">
        <v>1595</v>
      </c>
      <c r="H416" s="310">
        <f t="shared" si="18"/>
        <v>1595</v>
      </c>
      <c r="I416" s="311">
        <v>0</v>
      </c>
      <c r="J416" s="310">
        <f t="shared" si="19"/>
        <v>1595</v>
      </c>
      <c r="K416" s="310">
        <f t="shared" si="20"/>
        <v>1595</v>
      </c>
    </row>
    <row r="417" spans="1:11" x14ac:dyDescent="0.2">
      <c r="A417" t="s">
        <v>364</v>
      </c>
      <c r="B417" t="s">
        <v>84</v>
      </c>
      <c r="C417" t="s">
        <v>367</v>
      </c>
      <c r="D417" t="s">
        <v>120</v>
      </c>
      <c r="E417" t="s">
        <v>33</v>
      </c>
      <c r="F417" s="330">
        <v>1.04</v>
      </c>
      <c r="G417" s="330">
        <v>1395</v>
      </c>
      <c r="H417" s="310">
        <f t="shared" si="18"/>
        <v>1341.3461538461538</v>
      </c>
      <c r="I417" s="311">
        <v>0</v>
      </c>
      <c r="J417" s="310">
        <f t="shared" si="19"/>
        <v>1395</v>
      </c>
      <c r="K417" s="310">
        <f t="shared" si="20"/>
        <v>1341.3461538461538</v>
      </c>
    </row>
    <row r="418" spans="1:11" x14ac:dyDescent="0.2">
      <c r="A418" t="s">
        <v>364</v>
      </c>
      <c r="B418" t="s">
        <v>84</v>
      </c>
      <c r="C418" t="s">
        <v>367</v>
      </c>
      <c r="D418" t="s">
        <v>120</v>
      </c>
      <c r="E418" t="s">
        <v>34</v>
      </c>
      <c r="F418" s="330">
        <v>1.04</v>
      </c>
      <c r="G418" s="330">
        <v>1395</v>
      </c>
      <c r="H418" s="310">
        <f t="shared" si="18"/>
        <v>1341.3461538461538</v>
      </c>
      <c r="I418" s="311">
        <v>0</v>
      </c>
      <c r="J418" s="310">
        <f t="shared" si="19"/>
        <v>1395</v>
      </c>
      <c r="K418" s="310">
        <f t="shared" si="20"/>
        <v>1341.3461538461538</v>
      </c>
    </row>
    <row r="419" spans="1:11" x14ac:dyDescent="0.2">
      <c r="A419" t="s">
        <v>364</v>
      </c>
      <c r="B419" t="s">
        <v>84</v>
      </c>
      <c r="C419" t="s">
        <v>367</v>
      </c>
      <c r="D419" t="s">
        <v>369</v>
      </c>
      <c r="E419" t="s">
        <v>12</v>
      </c>
      <c r="F419" s="330">
        <v>2.0699999999999998</v>
      </c>
      <c r="G419" s="330">
        <v>2600</v>
      </c>
      <c r="H419" s="310">
        <f t="shared" si="18"/>
        <v>1256.0386473429953</v>
      </c>
      <c r="I419" s="311">
        <v>0.35</v>
      </c>
      <c r="J419" s="310">
        <f t="shared" si="19"/>
        <v>1690</v>
      </c>
      <c r="K419" s="310">
        <f t="shared" si="20"/>
        <v>816.42512077294691</v>
      </c>
    </row>
    <row r="420" spans="1:11" x14ac:dyDescent="0.2">
      <c r="A420" t="s">
        <v>364</v>
      </c>
      <c r="B420" t="s">
        <v>84</v>
      </c>
      <c r="C420" t="s">
        <v>367</v>
      </c>
      <c r="D420" t="s">
        <v>369</v>
      </c>
      <c r="E420" t="s">
        <v>12</v>
      </c>
      <c r="F420" s="330">
        <v>2.08</v>
      </c>
      <c r="G420" s="330">
        <v>2600</v>
      </c>
      <c r="H420" s="310">
        <f t="shared" si="18"/>
        <v>1250</v>
      </c>
      <c r="I420" s="311">
        <v>0.35</v>
      </c>
      <c r="J420" s="310">
        <f t="shared" si="19"/>
        <v>1690</v>
      </c>
      <c r="K420" s="310">
        <f t="shared" si="20"/>
        <v>812.5</v>
      </c>
    </row>
    <row r="421" spans="1:11" x14ac:dyDescent="0.2">
      <c r="A421" t="s">
        <v>364</v>
      </c>
      <c r="B421" t="s">
        <v>84</v>
      </c>
      <c r="C421" t="s">
        <v>367</v>
      </c>
      <c r="D421" t="s">
        <v>369</v>
      </c>
      <c r="E421" t="s">
        <v>12</v>
      </c>
      <c r="F421" s="330">
        <v>2.1</v>
      </c>
      <c r="G421" s="330">
        <v>2600</v>
      </c>
      <c r="H421" s="310">
        <f t="shared" si="18"/>
        <v>1238.0952380952381</v>
      </c>
      <c r="I421" s="311">
        <v>0.35</v>
      </c>
      <c r="J421" s="310">
        <f t="shared" si="19"/>
        <v>1690</v>
      </c>
      <c r="K421" s="310">
        <f t="shared" si="20"/>
        <v>804.7619047619047</v>
      </c>
    </row>
    <row r="422" spans="1:11" x14ac:dyDescent="0.2">
      <c r="A422" t="s">
        <v>364</v>
      </c>
      <c r="B422" t="s">
        <v>84</v>
      </c>
      <c r="C422" t="s">
        <v>367</v>
      </c>
      <c r="D422" t="s">
        <v>369</v>
      </c>
      <c r="E422" t="s">
        <v>12</v>
      </c>
      <c r="F422" s="330">
        <v>2.16</v>
      </c>
      <c r="G422" s="330">
        <v>2600</v>
      </c>
      <c r="H422" s="310">
        <f t="shared" si="18"/>
        <v>1203.7037037037037</v>
      </c>
      <c r="I422" s="311">
        <v>0.35</v>
      </c>
      <c r="J422" s="310">
        <f t="shared" si="19"/>
        <v>1690</v>
      </c>
      <c r="K422" s="310">
        <f t="shared" si="20"/>
        <v>782.40740740740739</v>
      </c>
    </row>
    <row r="423" spans="1:11" x14ac:dyDescent="0.2">
      <c r="A423" t="s">
        <v>364</v>
      </c>
      <c r="B423" t="s">
        <v>84</v>
      </c>
      <c r="C423" t="s">
        <v>367</v>
      </c>
      <c r="D423" t="s">
        <v>369</v>
      </c>
      <c r="E423" t="s">
        <v>12</v>
      </c>
      <c r="F423" s="330">
        <v>2.2400000000000002</v>
      </c>
      <c r="G423" s="330">
        <v>2600</v>
      </c>
      <c r="H423" s="310">
        <f t="shared" si="18"/>
        <v>1160.7142857142856</v>
      </c>
      <c r="I423" s="311">
        <v>0.35</v>
      </c>
      <c r="J423" s="310">
        <f t="shared" si="19"/>
        <v>1690</v>
      </c>
      <c r="K423" s="310">
        <f t="shared" si="20"/>
        <v>754.46428571428567</v>
      </c>
    </row>
    <row r="424" spans="1:11" x14ac:dyDescent="0.2">
      <c r="A424" t="s">
        <v>364</v>
      </c>
      <c r="B424" t="s">
        <v>84</v>
      </c>
      <c r="C424" t="s">
        <v>367</v>
      </c>
      <c r="D424" t="s">
        <v>369</v>
      </c>
      <c r="E424" t="s">
        <v>12</v>
      </c>
      <c r="F424" s="330">
        <v>2.2799999999999998</v>
      </c>
      <c r="G424" s="330">
        <v>2600</v>
      </c>
      <c r="H424" s="310">
        <f t="shared" si="18"/>
        <v>1140.3508771929826</v>
      </c>
      <c r="I424" s="311">
        <v>0.35</v>
      </c>
      <c r="J424" s="310">
        <f t="shared" si="19"/>
        <v>1690</v>
      </c>
      <c r="K424" s="310">
        <f t="shared" si="20"/>
        <v>741.22807017543869</v>
      </c>
    </row>
    <row r="425" spans="1:11" x14ac:dyDescent="0.2">
      <c r="A425" t="s">
        <v>364</v>
      </c>
      <c r="B425" t="s">
        <v>84</v>
      </c>
      <c r="C425" t="s">
        <v>367</v>
      </c>
      <c r="D425" t="s">
        <v>369</v>
      </c>
      <c r="E425" t="s">
        <v>12</v>
      </c>
      <c r="F425" s="330">
        <v>2.31</v>
      </c>
      <c r="G425" s="330">
        <v>2600</v>
      </c>
      <c r="H425" s="310">
        <f t="shared" si="18"/>
        <v>1125.5411255411254</v>
      </c>
      <c r="I425" s="311">
        <v>0.35</v>
      </c>
      <c r="J425" s="310">
        <f t="shared" si="19"/>
        <v>1690</v>
      </c>
      <c r="K425" s="310">
        <f t="shared" si="20"/>
        <v>731.60173160173156</v>
      </c>
    </row>
    <row r="426" spans="1:11" x14ac:dyDescent="0.2">
      <c r="A426" t="s">
        <v>364</v>
      </c>
      <c r="B426" t="s">
        <v>84</v>
      </c>
      <c r="C426" t="s">
        <v>367</v>
      </c>
      <c r="D426" t="s">
        <v>369</v>
      </c>
      <c r="E426" t="s">
        <v>12</v>
      </c>
      <c r="F426" s="330">
        <v>2.34</v>
      </c>
      <c r="G426" s="330">
        <v>2600</v>
      </c>
      <c r="H426" s="310">
        <f t="shared" si="18"/>
        <v>1111.1111111111111</v>
      </c>
      <c r="I426" s="311">
        <v>0.35</v>
      </c>
      <c r="J426" s="310">
        <f t="shared" si="19"/>
        <v>1690</v>
      </c>
      <c r="K426" s="310">
        <f t="shared" si="20"/>
        <v>722.22222222222229</v>
      </c>
    </row>
    <row r="427" spans="1:11" x14ac:dyDescent="0.2">
      <c r="A427" t="s">
        <v>364</v>
      </c>
      <c r="B427" t="s">
        <v>84</v>
      </c>
      <c r="C427" t="s">
        <v>367</v>
      </c>
      <c r="D427" t="s">
        <v>369</v>
      </c>
      <c r="E427" t="s">
        <v>12</v>
      </c>
      <c r="F427" s="330">
        <v>2.38</v>
      </c>
      <c r="G427" s="330">
        <v>2600</v>
      </c>
      <c r="H427" s="310">
        <f t="shared" si="18"/>
        <v>1092.4369747899161</v>
      </c>
      <c r="I427" s="311">
        <v>0.35</v>
      </c>
      <c r="J427" s="310">
        <f t="shared" si="19"/>
        <v>1690</v>
      </c>
      <c r="K427" s="310">
        <f t="shared" si="20"/>
        <v>710.0840336134454</v>
      </c>
    </row>
    <row r="428" spans="1:11" x14ac:dyDescent="0.2">
      <c r="A428" t="s">
        <v>364</v>
      </c>
      <c r="B428" t="s">
        <v>84</v>
      </c>
      <c r="C428" t="s">
        <v>367</v>
      </c>
      <c r="D428" t="s">
        <v>369</v>
      </c>
      <c r="E428" t="s">
        <v>12</v>
      </c>
      <c r="F428" s="330">
        <v>2.4</v>
      </c>
      <c r="G428" s="330">
        <v>2600</v>
      </c>
      <c r="H428" s="310">
        <f t="shared" si="18"/>
        <v>1083.3333333333335</v>
      </c>
      <c r="I428" s="311">
        <v>0.35</v>
      </c>
      <c r="J428" s="310">
        <f t="shared" si="19"/>
        <v>1690</v>
      </c>
      <c r="K428" s="310">
        <f t="shared" si="20"/>
        <v>704.16666666666674</v>
      </c>
    </row>
    <row r="429" spans="1:11" x14ac:dyDescent="0.2">
      <c r="A429" t="s">
        <v>364</v>
      </c>
      <c r="B429" t="s">
        <v>84</v>
      </c>
      <c r="C429" t="s">
        <v>367</v>
      </c>
      <c r="D429" t="s">
        <v>369</v>
      </c>
      <c r="E429" t="s">
        <v>12</v>
      </c>
      <c r="F429" s="330">
        <v>2.4</v>
      </c>
      <c r="G429" s="330">
        <v>2600</v>
      </c>
      <c r="H429" s="310">
        <f t="shared" si="18"/>
        <v>1083.3333333333335</v>
      </c>
      <c r="I429" s="311">
        <v>0.35</v>
      </c>
      <c r="J429" s="310">
        <f t="shared" si="19"/>
        <v>1690</v>
      </c>
      <c r="K429" s="310">
        <f t="shared" si="20"/>
        <v>704.16666666666674</v>
      </c>
    </row>
    <row r="430" spans="1:11" x14ac:dyDescent="0.2">
      <c r="A430" t="s">
        <v>364</v>
      </c>
      <c r="B430" t="s">
        <v>84</v>
      </c>
      <c r="C430" t="s">
        <v>367</v>
      </c>
      <c r="D430" t="s">
        <v>369</v>
      </c>
      <c r="E430" t="s">
        <v>12</v>
      </c>
      <c r="F430" s="330">
        <v>2.42</v>
      </c>
      <c r="G430" s="330">
        <v>2600</v>
      </c>
      <c r="H430" s="310">
        <f t="shared" si="18"/>
        <v>1074.3801652892562</v>
      </c>
      <c r="I430" s="311">
        <v>0.35</v>
      </c>
      <c r="J430" s="310">
        <f t="shared" si="19"/>
        <v>1690</v>
      </c>
      <c r="K430" s="310">
        <f t="shared" si="20"/>
        <v>698.34710743801656</v>
      </c>
    </row>
    <row r="431" spans="1:11" x14ac:dyDescent="0.2">
      <c r="A431" t="s">
        <v>364</v>
      </c>
      <c r="B431" t="s">
        <v>84</v>
      </c>
      <c r="C431" t="s">
        <v>367</v>
      </c>
      <c r="D431" t="s">
        <v>369</v>
      </c>
      <c r="E431" t="s">
        <v>10</v>
      </c>
      <c r="F431" s="330">
        <v>2.4700000000000002</v>
      </c>
      <c r="G431" s="330">
        <v>2800</v>
      </c>
      <c r="H431" s="310">
        <f t="shared" si="18"/>
        <v>1133.6032388663966</v>
      </c>
      <c r="I431" s="311">
        <v>0.35</v>
      </c>
      <c r="J431" s="310">
        <f t="shared" si="19"/>
        <v>1820</v>
      </c>
      <c r="K431" s="310">
        <f t="shared" si="20"/>
        <v>736.8421052631578</v>
      </c>
    </row>
    <row r="432" spans="1:11" x14ac:dyDescent="0.2">
      <c r="A432" t="s">
        <v>364</v>
      </c>
      <c r="B432" t="s">
        <v>84</v>
      </c>
      <c r="C432" t="s">
        <v>367</v>
      </c>
      <c r="D432" t="s">
        <v>369</v>
      </c>
      <c r="E432" t="s">
        <v>10</v>
      </c>
      <c r="F432" s="330">
        <v>2.56</v>
      </c>
      <c r="G432" s="330">
        <v>2800</v>
      </c>
      <c r="H432" s="310">
        <f t="shared" si="18"/>
        <v>1093.75</v>
      </c>
      <c r="I432" s="311">
        <v>0.35</v>
      </c>
      <c r="J432" s="310">
        <f t="shared" si="19"/>
        <v>1820</v>
      </c>
      <c r="K432" s="310">
        <f t="shared" si="20"/>
        <v>710.9375</v>
      </c>
    </row>
    <row r="433" spans="1:11" x14ac:dyDescent="0.2">
      <c r="A433" t="s">
        <v>364</v>
      </c>
      <c r="B433" t="s">
        <v>84</v>
      </c>
      <c r="C433" t="s">
        <v>367</v>
      </c>
      <c r="D433" t="s">
        <v>369</v>
      </c>
      <c r="E433" t="s">
        <v>10</v>
      </c>
      <c r="F433" s="330">
        <v>3.08</v>
      </c>
      <c r="G433" s="330">
        <v>3100</v>
      </c>
      <c r="H433" s="310">
        <f t="shared" si="18"/>
        <v>1006.4935064935065</v>
      </c>
      <c r="I433" s="311">
        <v>0.35</v>
      </c>
      <c r="J433" s="310">
        <f t="shared" si="19"/>
        <v>2015</v>
      </c>
      <c r="K433" s="310">
        <f t="shared" si="20"/>
        <v>654.22077922077915</v>
      </c>
    </row>
    <row r="434" spans="1:11" x14ac:dyDescent="0.2">
      <c r="A434" t="s">
        <v>364</v>
      </c>
      <c r="B434" t="s">
        <v>84</v>
      </c>
      <c r="C434" t="s">
        <v>367</v>
      </c>
      <c r="D434" t="s">
        <v>369</v>
      </c>
      <c r="E434" t="s">
        <v>10</v>
      </c>
      <c r="F434" s="330">
        <v>3.2</v>
      </c>
      <c r="G434" s="330">
        <v>3100</v>
      </c>
      <c r="H434" s="310">
        <f t="shared" si="18"/>
        <v>968.75</v>
      </c>
      <c r="I434" s="311">
        <v>0.35</v>
      </c>
      <c r="J434" s="310">
        <f t="shared" si="19"/>
        <v>2015</v>
      </c>
      <c r="K434" s="310">
        <f t="shared" si="20"/>
        <v>629.6875</v>
      </c>
    </row>
    <row r="435" spans="1:11" x14ac:dyDescent="0.2">
      <c r="A435" t="s">
        <v>364</v>
      </c>
      <c r="B435" t="s">
        <v>84</v>
      </c>
      <c r="C435" t="s">
        <v>367</v>
      </c>
      <c r="D435" t="s">
        <v>369</v>
      </c>
      <c r="E435" t="s">
        <v>10</v>
      </c>
      <c r="F435" s="330">
        <v>3.3</v>
      </c>
      <c r="G435" s="330">
        <v>2000</v>
      </c>
      <c r="H435" s="310">
        <f t="shared" si="18"/>
        <v>606.06060606060612</v>
      </c>
      <c r="I435" s="311">
        <v>0.35</v>
      </c>
      <c r="J435" s="310">
        <f t="shared" si="19"/>
        <v>1300</v>
      </c>
      <c r="K435" s="310">
        <f t="shared" si="20"/>
        <v>393.93939393939394</v>
      </c>
    </row>
    <row r="436" spans="1:11" x14ac:dyDescent="0.2">
      <c r="A436" t="s">
        <v>364</v>
      </c>
      <c r="B436" t="s">
        <v>84</v>
      </c>
      <c r="C436" t="s">
        <v>367</v>
      </c>
      <c r="D436" t="s">
        <v>369</v>
      </c>
      <c r="E436" t="s">
        <v>10</v>
      </c>
      <c r="F436" s="330">
        <v>3.84</v>
      </c>
      <c r="G436" s="330">
        <v>3500</v>
      </c>
      <c r="H436" s="310">
        <f t="shared" si="18"/>
        <v>911.45833333333337</v>
      </c>
      <c r="I436" s="311">
        <v>0.35</v>
      </c>
      <c r="J436" s="310">
        <f t="shared" si="19"/>
        <v>2275</v>
      </c>
      <c r="K436" s="310">
        <f t="shared" si="20"/>
        <v>592.44791666666674</v>
      </c>
    </row>
    <row r="437" spans="1:11" x14ac:dyDescent="0.2">
      <c r="A437" t="s">
        <v>364</v>
      </c>
      <c r="B437" t="s">
        <v>84</v>
      </c>
      <c r="C437" t="s">
        <v>367</v>
      </c>
      <c r="D437" t="s">
        <v>369</v>
      </c>
      <c r="E437" t="s">
        <v>10</v>
      </c>
      <c r="F437" s="330">
        <v>4.1399999999999997</v>
      </c>
      <c r="G437" s="330">
        <v>4200</v>
      </c>
      <c r="H437" s="310">
        <f t="shared" si="18"/>
        <v>1014.4927536231885</v>
      </c>
      <c r="I437" s="311">
        <v>0.35</v>
      </c>
      <c r="J437" s="310">
        <f t="shared" si="19"/>
        <v>2730</v>
      </c>
      <c r="K437" s="310">
        <f t="shared" si="20"/>
        <v>659.4202898550725</v>
      </c>
    </row>
    <row r="438" spans="1:11" x14ac:dyDescent="0.2">
      <c r="A438" t="s">
        <v>364</v>
      </c>
      <c r="B438" t="s">
        <v>84</v>
      </c>
      <c r="C438" t="s">
        <v>367</v>
      </c>
      <c r="D438" t="s">
        <v>369</v>
      </c>
      <c r="E438" t="s">
        <v>10</v>
      </c>
      <c r="F438" s="330">
        <v>4.18</v>
      </c>
      <c r="G438" s="330">
        <v>4200</v>
      </c>
      <c r="H438" s="310">
        <f t="shared" si="18"/>
        <v>1004.7846889952153</v>
      </c>
      <c r="I438" s="311">
        <v>0.35</v>
      </c>
      <c r="J438" s="310">
        <f t="shared" si="19"/>
        <v>2730</v>
      </c>
      <c r="K438" s="310">
        <f t="shared" si="20"/>
        <v>653.11004784688998</v>
      </c>
    </row>
    <row r="439" spans="1:11" x14ac:dyDescent="0.2">
      <c r="A439" t="s">
        <v>364</v>
      </c>
      <c r="B439" t="s">
        <v>84</v>
      </c>
      <c r="C439" t="s">
        <v>367</v>
      </c>
      <c r="D439" t="s">
        <v>369</v>
      </c>
      <c r="E439" t="s">
        <v>10</v>
      </c>
      <c r="F439" s="330">
        <v>4.42</v>
      </c>
      <c r="G439" s="330">
        <v>4200</v>
      </c>
      <c r="H439" s="310">
        <f t="shared" si="18"/>
        <v>950.22624434389138</v>
      </c>
      <c r="I439" s="311">
        <v>0.35</v>
      </c>
      <c r="J439" s="310">
        <f t="shared" si="19"/>
        <v>2730</v>
      </c>
      <c r="K439" s="310">
        <f t="shared" si="20"/>
        <v>617.64705882352939</v>
      </c>
    </row>
    <row r="440" spans="1:11" x14ac:dyDescent="0.2">
      <c r="A440" t="s">
        <v>364</v>
      </c>
      <c r="B440" t="s">
        <v>84</v>
      </c>
      <c r="C440" t="s">
        <v>367</v>
      </c>
      <c r="D440" t="s">
        <v>369</v>
      </c>
      <c r="E440" t="s">
        <v>10</v>
      </c>
      <c r="F440" s="330">
        <v>4.4800000000000004</v>
      </c>
      <c r="G440" s="330">
        <v>4200</v>
      </c>
      <c r="H440" s="310">
        <f t="shared" si="18"/>
        <v>937.49999999999989</v>
      </c>
      <c r="I440" s="311">
        <v>0.35</v>
      </c>
      <c r="J440" s="310">
        <f t="shared" si="19"/>
        <v>2730</v>
      </c>
      <c r="K440" s="310">
        <f t="shared" si="20"/>
        <v>609.37499999999989</v>
      </c>
    </row>
    <row r="441" spans="1:11" x14ac:dyDescent="0.2">
      <c r="A441" t="s">
        <v>364</v>
      </c>
      <c r="B441" t="s">
        <v>84</v>
      </c>
      <c r="C441" t="s">
        <v>367</v>
      </c>
      <c r="D441" t="s">
        <v>369</v>
      </c>
      <c r="E441" t="s">
        <v>10</v>
      </c>
      <c r="F441" s="330">
        <v>4.5</v>
      </c>
      <c r="G441" s="330">
        <v>4200</v>
      </c>
      <c r="H441" s="310">
        <f t="shared" si="18"/>
        <v>933.33333333333337</v>
      </c>
      <c r="I441" s="311">
        <v>0.35</v>
      </c>
      <c r="J441" s="310">
        <f t="shared" si="19"/>
        <v>2730</v>
      </c>
      <c r="K441" s="310">
        <f t="shared" si="20"/>
        <v>606.66666666666663</v>
      </c>
    </row>
    <row r="442" spans="1:11" x14ac:dyDescent="0.2">
      <c r="A442" t="s">
        <v>364</v>
      </c>
      <c r="B442" t="s">
        <v>84</v>
      </c>
      <c r="C442" t="s">
        <v>367</v>
      </c>
      <c r="D442" t="s">
        <v>369</v>
      </c>
      <c r="E442" t="s">
        <v>10</v>
      </c>
      <c r="F442" s="330">
        <v>4.5599999999999996</v>
      </c>
      <c r="G442" s="330">
        <v>4200</v>
      </c>
      <c r="H442" s="310">
        <f t="shared" si="18"/>
        <v>921.0526315789474</v>
      </c>
      <c r="I442" s="311">
        <v>0.35</v>
      </c>
      <c r="J442" s="310">
        <f t="shared" si="19"/>
        <v>2730</v>
      </c>
      <c r="K442" s="310">
        <f t="shared" si="20"/>
        <v>598.68421052631584</v>
      </c>
    </row>
    <row r="443" spans="1:11" x14ac:dyDescent="0.2">
      <c r="A443" t="s">
        <v>364</v>
      </c>
      <c r="B443" t="s">
        <v>84</v>
      </c>
      <c r="C443" t="s">
        <v>367</v>
      </c>
      <c r="D443" t="s">
        <v>369</v>
      </c>
      <c r="E443" t="s">
        <v>10</v>
      </c>
      <c r="F443" s="330">
        <v>4.59</v>
      </c>
      <c r="G443" s="330">
        <v>4200</v>
      </c>
      <c r="H443" s="310">
        <f t="shared" si="18"/>
        <v>915.03267973856214</v>
      </c>
      <c r="I443" s="311">
        <v>0.35</v>
      </c>
      <c r="J443" s="310">
        <f t="shared" si="19"/>
        <v>2730</v>
      </c>
      <c r="K443" s="310">
        <f t="shared" si="20"/>
        <v>594.77124183006538</v>
      </c>
    </row>
    <row r="444" spans="1:11" x14ac:dyDescent="0.2">
      <c r="A444" t="s">
        <v>364</v>
      </c>
      <c r="B444" t="s">
        <v>84</v>
      </c>
      <c r="C444" t="s">
        <v>367</v>
      </c>
      <c r="D444" t="s">
        <v>369</v>
      </c>
      <c r="E444" t="s">
        <v>10</v>
      </c>
      <c r="F444" s="330">
        <v>4.68</v>
      </c>
      <c r="G444" s="330">
        <v>4200</v>
      </c>
      <c r="H444" s="310">
        <f t="shared" si="18"/>
        <v>897.43589743589746</v>
      </c>
      <c r="I444" s="311">
        <v>0.35</v>
      </c>
      <c r="J444" s="310">
        <f t="shared" si="19"/>
        <v>2730</v>
      </c>
      <c r="K444" s="310">
        <f t="shared" si="20"/>
        <v>583.33333333333337</v>
      </c>
    </row>
    <row r="445" spans="1:11" x14ac:dyDescent="0.2">
      <c r="A445" t="s">
        <v>364</v>
      </c>
      <c r="B445" t="s">
        <v>84</v>
      </c>
      <c r="C445" t="s">
        <v>367</v>
      </c>
      <c r="D445" t="s">
        <v>369</v>
      </c>
      <c r="E445" t="s">
        <v>10</v>
      </c>
      <c r="F445" s="330">
        <v>4.8</v>
      </c>
      <c r="G445" s="330">
        <v>4200</v>
      </c>
      <c r="H445" s="310">
        <f t="shared" si="18"/>
        <v>875</v>
      </c>
      <c r="I445" s="311">
        <v>0.35</v>
      </c>
      <c r="J445" s="310">
        <f t="shared" si="19"/>
        <v>2730</v>
      </c>
      <c r="K445" s="310">
        <f t="shared" si="20"/>
        <v>568.75</v>
      </c>
    </row>
    <row r="446" spans="1:11" x14ac:dyDescent="0.2">
      <c r="A446" t="s">
        <v>364</v>
      </c>
      <c r="B446" t="s">
        <v>84</v>
      </c>
      <c r="C446" t="s">
        <v>367</v>
      </c>
      <c r="D446" t="s">
        <v>369</v>
      </c>
      <c r="E446" t="s">
        <v>10</v>
      </c>
      <c r="F446" s="330">
        <v>4.9400000000000004</v>
      </c>
      <c r="G446" s="330">
        <v>4500</v>
      </c>
      <c r="H446" s="310">
        <f t="shared" si="18"/>
        <v>910.9311740890688</v>
      </c>
      <c r="I446" s="311">
        <v>0.35</v>
      </c>
      <c r="J446" s="310">
        <f t="shared" si="19"/>
        <v>2925</v>
      </c>
      <c r="K446" s="310">
        <f t="shared" si="20"/>
        <v>592.10526315789468</v>
      </c>
    </row>
    <row r="447" spans="1:11" x14ac:dyDescent="0.2">
      <c r="A447" t="s">
        <v>364</v>
      </c>
      <c r="B447" t="s">
        <v>84</v>
      </c>
      <c r="C447" t="s">
        <v>367</v>
      </c>
      <c r="D447" t="s">
        <v>369</v>
      </c>
      <c r="E447" t="s">
        <v>9</v>
      </c>
      <c r="F447" s="330">
        <v>5.04</v>
      </c>
      <c r="G447" s="330">
        <v>4500</v>
      </c>
      <c r="H447" s="310">
        <f t="shared" si="18"/>
        <v>892.85714285714289</v>
      </c>
      <c r="I447" s="311">
        <v>0.35</v>
      </c>
      <c r="J447" s="310">
        <f t="shared" si="19"/>
        <v>2925</v>
      </c>
      <c r="K447" s="310">
        <f t="shared" si="20"/>
        <v>580.35714285714289</v>
      </c>
    </row>
    <row r="448" spans="1:11" x14ac:dyDescent="0.2">
      <c r="A448" t="s">
        <v>364</v>
      </c>
      <c r="B448" t="s">
        <v>84</v>
      </c>
      <c r="C448" t="s">
        <v>367</v>
      </c>
      <c r="D448" t="s">
        <v>369</v>
      </c>
      <c r="E448" t="s">
        <v>9</v>
      </c>
      <c r="F448" s="330">
        <v>5.0599999999999996</v>
      </c>
      <c r="G448" s="330">
        <v>4500</v>
      </c>
      <c r="H448" s="310">
        <f t="shared" si="18"/>
        <v>889.32806324110675</v>
      </c>
      <c r="I448" s="311">
        <v>0.35</v>
      </c>
      <c r="J448" s="310">
        <f t="shared" si="19"/>
        <v>2925</v>
      </c>
      <c r="K448" s="310">
        <f t="shared" si="20"/>
        <v>578.06324110671937</v>
      </c>
    </row>
    <row r="449" spans="1:11" x14ac:dyDescent="0.2">
      <c r="A449" t="s">
        <v>364</v>
      </c>
      <c r="B449" t="s">
        <v>84</v>
      </c>
      <c r="C449" t="s">
        <v>367</v>
      </c>
      <c r="D449" t="s">
        <v>369</v>
      </c>
      <c r="E449" t="s">
        <v>9</v>
      </c>
      <c r="F449" s="330">
        <v>5.94</v>
      </c>
      <c r="G449" s="330">
        <v>5100</v>
      </c>
      <c r="H449" s="310">
        <f t="shared" si="18"/>
        <v>858.58585858585855</v>
      </c>
      <c r="I449" s="311">
        <v>0.35</v>
      </c>
      <c r="J449" s="310">
        <f t="shared" si="19"/>
        <v>3315</v>
      </c>
      <c r="K449" s="310">
        <f t="shared" si="20"/>
        <v>558.08080808080808</v>
      </c>
    </row>
    <row r="450" spans="1:11" x14ac:dyDescent="0.2">
      <c r="A450" t="s">
        <v>364</v>
      </c>
      <c r="B450" t="s">
        <v>84</v>
      </c>
      <c r="C450" t="s">
        <v>367</v>
      </c>
      <c r="D450" t="s">
        <v>369</v>
      </c>
      <c r="E450" t="s">
        <v>9</v>
      </c>
      <c r="F450" s="330">
        <v>6.24</v>
      </c>
      <c r="G450" s="330">
        <v>5100</v>
      </c>
      <c r="H450" s="310">
        <f t="shared" ref="H450:H513" si="21">G450/F450</f>
        <v>817.30769230769226</v>
      </c>
      <c r="I450" s="311">
        <v>0.35</v>
      </c>
      <c r="J450" s="310">
        <f t="shared" ref="J450:J513" si="22">G450*(1-I450)</f>
        <v>3315</v>
      </c>
      <c r="K450" s="310">
        <f t="shared" ref="K450:K513" si="23">J450/F450</f>
        <v>531.25</v>
      </c>
    </row>
    <row r="451" spans="1:11" x14ac:dyDescent="0.2">
      <c r="A451" t="s">
        <v>364</v>
      </c>
      <c r="B451" t="s">
        <v>84</v>
      </c>
      <c r="C451" t="s">
        <v>367</v>
      </c>
      <c r="D451" t="s">
        <v>369</v>
      </c>
      <c r="E451" t="s">
        <v>9</v>
      </c>
      <c r="F451" s="330">
        <v>6.72</v>
      </c>
      <c r="G451" s="330">
        <v>5600</v>
      </c>
      <c r="H451" s="310">
        <f t="shared" si="21"/>
        <v>833.33333333333337</v>
      </c>
      <c r="I451" s="311">
        <v>0.35</v>
      </c>
      <c r="J451" s="310">
        <f t="shared" si="22"/>
        <v>3640</v>
      </c>
      <c r="K451" s="310">
        <f t="shared" si="23"/>
        <v>541.66666666666674</v>
      </c>
    </row>
    <row r="452" spans="1:11" x14ac:dyDescent="0.2">
      <c r="A452" t="s">
        <v>364</v>
      </c>
      <c r="B452" t="s">
        <v>84</v>
      </c>
      <c r="C452" t="s">
        <v>367</v>
      </c>
      <c r="D452" t="s">
        <v>369</v>
      </c>
      <c r="E452" t="s">
        <v>9</v>
      </c>
      <c r="F452" s="330">
        <v>6.75</v>
      </c>
      <c r="G452" s="330">
        <v>5600</v>
      </c>
      <c r="H452" s="310">
        <f t="shared" si="21"/>
        <v>829.62962962962968</v>
      </c>
      <c r="I452" s="311">
        <v>0.35</v>
      </c>
      <c r="J452" s="310">
        <f t="shared" si="22"/>
        <v>3640</v>
      </c>
      <c r="K452" s="310">
        <f t="shared" si="23"/>
        <v>539.25925925925924</v>
      </c>
    </row>
    <row r="453" spans="1:11" x14ac:dyDescent="0.2">
      <c r="A453" t="s">
        <v>364</v>
      </c>
      <c r="B453" t="s">
        <v>84</v>
      </c>
      <c r="C453" t="s">
        <v>367</v>
      </c>
      <c r="D453" t="s">
        <v>369</v>
      </c>
      <c r="E453" t="s">
        <v>9</v>
      </c>
      <c r="F453" s="330">
        <v>6.76</v>
      </c>
      <c r="G453" s="330">
        <v>5600</v>
      </c>
      <c r="H453" s="310">
        <f t="shared" si="21"/>
        <v>828.4023668639054</v>
      </c>
      <c r="I453" s="311">
        <v>0.35</v>
      </c>
      <c r="J453" s="310">
        <f t="shared" si="22"/>
        <v>3640</v>
      </c>
      <c r="K453" s="310">
        <f t="shared" si="23"/>
        <v>538.46153846153845</v>
      </c>
    </row>
    <row r="454" spans="1:11" x14ac:dyDescent="0.2">
      <c r="A454" t="s">
        <v>364</v>
      </c>
      <c r="B454" t="s">
        <v>84</v>
      </c>
      <c r="C454" t="s">
        <v>367</v>
      </c>
      <c r="D454" t="s">
        <v>369</v>
      </c>
      <c r="E454" t="s">
        <v>9</v>
      </c>
      <c r="F454" s="330">
        <v>6.82</v>
      </c>
      <c r="G454" s="330">
        <v>5600</v>
      </c>
      <c r="H454" s="310">
        <f t="shared" si="21"/>
        <v>821.11436950146629</v>
      </c>
      <c r="I454" s="311">
        <v>0.35</v>
      </c>
      <c r="J454" s="310">
        <f t="shared" si="22"/>
        <v>3640</v>
      </c>
      <c r="K454" s="310">
        <f t="shared" si="23"/>
        <v>533.7243401759531</v>
      </c>
    </row>
    <row r="455" spans="1:11" x14ac:dyDescent="0.2">
      <c r="A455" t="s">
        <v>364</v>
      </c>
      <c r="B455" t="s">
        <v>84</v>
      </c>
      <c r="C455" t="s">
        <v>367</v>
      </c>
      <c r="D455" t="s">
        <v>369</v>
      </c>
      <c r="E455" t="s">
        <v>9</v>
      </c>
      <c r="F455" s="330">
        <v>6.84</v>
      </c>
      <c r="G455" s="330">
        <v>5600</v>
      </c>
      <c r="H455" s="310">
        <f t="shared" si="21"/>
        <v>818.71345029239762</v>
      </c>
      <c r="I455" s="311">
        <v>0.35</v>
      </c>
      <c r="J455" s="310">
        <f t="shared" si="22"/>
        <v>3640</v>
      </c>
      <c r="K455" s="310">
        <f t="shared" si="23"/>
        <v>532.16374269005848</v>
      </c>
    </row>
    <row r="456" spans="1:11" x14ac:dyDescent="0.2">
      <c r="A456" t="s">
        <v>364</v>
      </c>
      <c r="B456" t="s">
        <v>84</v>
      </c>
      <c r="C456" t="s">
        <v>367</v>
      </c>
      <c r="D456" t="s">
        <v>369</v>
      </c>
      <c r="E456" t="s">
        <v>9</v>
      </c>
      <c r="F456" s="330">
        <v>6.9</v>
      </c>
      <c r="G456" s="330">
        <v>5600</v>
      </c>
      <c r="H456" s="310">
        <f t="shared" si="21"/>
        <v>811.59420289855063</v>
      </c>
      <c r="I456" s="311">
        <v>0.35</v>
      </c>
      <c r="J456" s="310">
        <f t="shared" si="22"/>
        <v>3640</v>
      </c>
      <c r="K456" s="310">
        <f t="shared" si="23"/>
        <v>527.536231884058</v>
      </c>
    </row>
    <row r="457" spans="1:11" x14ac:dyDescent="0.2">
      <c r="A457" t="s">
        <v>364</v>
      </c>
      <c r="B457" t="s">
        <v>84</v>
      </c>
      <c r="C457" t="s">
        <v>367</v>
      </c>
      <c r="D457" t="s">
        <v>369</v>
      </c>
      <c r="E457" t="s">
        <v>9</v>
      </c>
      <c r="F457" s="330">
        <v>7.04</v>
      </c>
      <c r="G457" s="330">
        <v>5600</v>
      </c>
      <c r="H457" s="310">
        <f t="shared" si="21"/>
        <v>795.4545454545455</v>
      </c>
      <c r="I457" s="311">
        <v>0.35</v>
      </c>
      <c r="J457" s="310">
        <f t="shared" si="22"/>
        <v>3640</v>
      </c>
      <c r="K457" s="310">
        <f t="shared" si="23"/>
        <v>517.0454545454545</v>
      </c>
    </row>
    <row r="458" spans="1:11" x14ac:dyDescent="0.2">
      <c r="A458" t="s">
        <v>364</v>
      </c>
      <c r="B458" t="s">
        <v>84</v>
      </c>
      <c r="C458" t="s">
        <v>367</v>
      </c>
      <c r="D458" t="s">
        <v>369</v>
      </c>
      <c r="E458" t="s">
        <v>9</v>
      </c>
      <c r="F458" s="330">
        <v>7.5</v>
      </c>
      <c r="G458" s="330">
        <v>6000</v>
      </c>
      <c r="H458" s="310">
        <f t="shared" si="21"/>
        <v>800</v>
      </c>
      <c r="I458" s="311">
        <v>0.35</v>
      </c>
      <c r="J458" s="310">
        <f t="shared" si="22"/>
        <v>3900</v>
      </c>
      <c r="K458" s="310">
        <f t="shared" si="23"/>
        <v>520</v>
      </c>
    </row>
    <row r="459" spans="1:11" x14ac:dyDescent="0.2">
      <c r="A459" t="s">
        <v>364</v>
      </c>
      <c r="B459" t="s">
        <v>84</v>
      </c>
      <c r="C459" t="s">
        <v>367</v>
      </c>
      <c r="D459" t="s">
        <v>369</v>
      </c>
      <c r="E459" t="s">
        <v>9</v>
      </c>
      <c r="F459" s="330">
        <v>7.56</v>
      </c>
      <c r="G459" s="330">
        <v>6000</v>
      </c>
      <c r="H459" s="310">
        <f t="shared" si="21"/>
        <v>793.65079365079373</v>
      </c>
      <c r="I459" s="311">
        <v>0.35</v>
      </c>
      <c r="J459" s="310">
        <f t="shared" si="22"/>
        <v>3900</v>
      </c>
      <c r="K459" s="310">
        <f t="shared" si="23"/>
        <v>515.8730158730159</v>
      </c>
    </row>
    <row r="460" spans="1:11" x14ac:dyDescent="0.2">
      <c r="A460" t="s">
        <v>364</v>
      </c>
      <c r="B460" t="s">
        <v>84</v>
      </c>
      <c r="C460" t="s">
        <v>367</v>
      </c>
      <c r="D460" t="s">
        <v>369</v>
      </c>
      <c r="E460" t="s">
        <v>9</v>
      </c>
      <c r="F460" s="330">
        <v>7.6</v>
      </c>
      <c r="G460" s="330">
        <v>6000</v>
      </c>
      <c r="H460" s="310">
        <f t="shared" si="21"/>
        <v>789.47368421052636</v>
      </c>
      <c r="I460" s="311">
        <v>0.35</v>
      </c>
      <c r="J460" s="310">
        <f t="shared" si="22"/>
        <v>3900</v>
      </c>
      <c r="K460" s="310">
        <f t="shared" si="23"/>
        <v>513.15789473684208</v>
      </c>
    </row>
    <row r="461" spans="1:11" x14ac:dyDescent="0.2">
      <c r="A461" t="s">
        <v>364</v>
      </c>
      <c r="B461" t="s">
        <v>84</v>
      </c>
      <c r="C461" t="s">
        <v>367</v>
      </c>
      <c r="D461" t="s">
        <v>369</v>
      </c>
      <c r="E461" t="s">
        <v>9</v>
      </c>
      <c r="F461" s="330">
        <v>7.6</v>
      </c>
      <c r="G461" s="330">
        <v>6000</v>
      </c>
      <c r="H461" s="310">
        <f t="shared" si="21"/>
        <v>789.47368421052636</v>
      </c>
      <c r="I461" s="311">
        <v>0.35</v>
      </c>
      <c r="J461" s="310">
        <f t="shared" si="22"/>
        <v>3900</v>
      </c>
      <c r="K461" s="310">
        <f t="shared" si="23"/>
        <v>513.15789473684208</v>
      </c>
    </row>
    <row r="462" spans="1:11" x14ac:dyDescent="0.2">
      <c r="A462" t="s">
        <v>364</v>
      </c>
      <c r="B462" t="s">
        <v>84</v>
      </c>
      <c r="C462" t="s">
        <v>367</v>
      </c>
      <c r="D462" t="s">
        <v>369</v>
      </c>
      <c r="E462" t="s">
        <v>9</v>
      </c>
      <c r="F462" s="330">
        <v>8.17</v>
      </c>
      <c r="G462" s="330">
        <v>6200</v>
      </c>
      <c r="H462" s="310">
        <f t="shared" si="21"/>
        <v>758.87392900856798</v>
      </c>
      <c r="I462" s="311">
        <v>0.35</v>
      </c>
      <c r="J462" s="310">
        <f t="shared" si="22"/>
        <v>4030</v>
      </c>
      <c r="K462" s="310">
        <f t="shared" si="23"/>
        <v>493.26805385556918</v>
      </c>
    </row>
    <row r="463" spans="1:11" x14ac:dyDescent="0.2">
      <c r="A463" t="s">
        <v>364</v>
      </c>
      <c r="B463" t="s">
        <v>84</v>
      </c>
      <c r="C463" t="s">
        <v>367</v>
      </c>
      <c r="D463" t="s">
        <v>369</v>
      </c>
      <c r="E463" t="s">
        <v>9</v>
      </c>
      <c r="F463" s="330">
        <v>8.9600000000000009</v>
      </c>
      <c r="G463" s="330">
        <v>6700</v>
      </c>
      <c r="H463" s="310">
        <f t="shared" si="21"/>
        <v>747.76785714285711</v>
      </c>
      <c r="I463" s="311">
        <v>0.35</v>
      </c>
      <c r="J463" s="310">
        <f t="shared" si="22"/>
        <v>4355</v>
      </c>
      <c r="K463" s="310">
        <f t="shared" si="23"/>
        <v>486.04910714285711</v>
      </c>
    </row>
    <row r="464" spans="1:11" x14ac:dyDescent="0.2">
      <c r="A464" t="s">
        <v>364</v>
      </c>
      <c r="B464" t="s">
        <v>84</v>
      </c>
      <c r="C464" t="s">
        <v>367</v>
      </c>
      <c r="D464" t="s">
        <v>369</v>
      </c>
      <c r="E464" t="s">
        <v>9</v>
      </c>
      <c r="F464" s="330">
        <v>9.24</v>
      </c>
      <c r="G464" s="330">
        <v>6700</v>
      </c>
      <c r="H464" s="310">
        <f t="shared" si="21"/>
        <v>725.10822510822504</v>
      </c>
      <c r="I464" s="311">
        <v>0.35</v>
      </c>
      <c r="J464" s="310">
        <f t="shared" si="22"/>
        <v>4355</v>
      </c>
      <c r="K464" s="310">
        <f t="shared" si="23"/>
        <v>471.32034632034629</v>
      </c>
    </row>
    <row r="465" spans="1:11" x14ac:dyDescent="0.2">
      <c r="A465" t="s">
        <v>364</v>
      </c>
      <c r="B465" t="s">
        <v>84</v>
      </c>
      <c r="C465" t="s">
        <v>367</v>
      </c>
      <c r="D465" t="s">
        <v>369</v>
      </c>
      <c r="E465" t="s">
        <v>9</v>
      </c>
      <c r="F465" s="330">
        <v>9.61</v>
      </c>
      <c r="G465" s="330">
        <v>6800</v>
      </c>
      <c r="H465" s="310">
        <f t="shared" si="21"/>
        <v>707.59625390218525</v>
      </c>
      <c r="I465" s="311">
        <v>0.35</v>
      </c>
      <c r="J465" s="310">
        <f t="shared" si="22"/>
        <v>4420</v>
      </c>
      <c r="K465" s="310">
        <f t="shared" si="23"/>
        <v>459.93756503642044</v>
      </c>
    </row>
    <row r="466" spans="1:11" x14ac:dyDescent="0.2">
      <c r="A466" t="s">
        <v>364</v>
      </c>
      <c r="B466" t="s">
        <v>84</v>
      </c>
      <c r="C466" t="s">
        <v>367</v>
      </c>
      <c r="D466" t="s">
        <v>369</v>
      </c>
      <c r="E466" t="s">
        <v>9</v>
      </c>
      <c r="F466" s="330">
        <v>9.9</v>
      </c>
      <c r="G466" s="330">
        <v>6700</v>
      </c>
      <c r="H466" s="310">
        <f t="shared" si="21"/>
        <v>676.76767676767679</v>
      </c>
      <c r="I466" s="311">
        <v>0.35</v>
      </c>
      <c r="J466" s="310">
        <f t="shared" si="22"/>
        <v>4355</v>
      </c>
      <c r="K466" s="310">
        <f t="shared" si="23"/>
        <v>439.8989898989899</v>
      </c>
    </row>
    <row r="467" spans="1:11" x14ac:dyDescent="0.2">
      <c r="A467" t="s">
        <v>364</v>
      </c>
      <c r="B467" t="s">
        <v>84</v>
      </c>
      <c r="C467" t="s">
        <v>367</v>
      </c>
      <c r="D467" t="s">
        <v>369</v>
      </c>
      <c r="E467" t="s">
        <v>9</v>
      </c>
      <c r="F467" s="330">
        <v>9.9</v>
      </c>
      <c r="G467" s="330">
        <v>7000</v>
      </c>
      <c r="H467" s="310">
        <f t="shared" si="21"/>
        <v>707.07070707070704</v>
      </c>
      <c r="I467" s="311">
        <v>0.35</v>
      </c>
      <c r="J467" s="310">
        <f t="shared" si="22"/>
        <v>4550</v>
      </c>
      <c r="K467" s="310">
        <f t="shared" si="23"/>
        <v>459.59595959595958</v>
      </c>
    </row>
    <row r="468" spans="1:11" x14ac:dyDescent="0.2">
      <c r="A468" t="s">
        <v>364</v>
      </c>
      <c r="B468" t="s">
        <v>84</v>
      </c>
      <c r="C468" t="s">
        <v>367</v>
      </c>
      <c r="D468" t="s">
        <v>369</v>
      </c>
      <c r="E468" t="s">
        <v>8</v>
      </c>
      <c r="F468" s="330">
        <v>12.21</v>
      </c>
      <c r="G468" s="330">
        <v>8600</v>
      </c>
      <c r="H468" s="310">
        <f t="shared" si="21"/>
        <v>704.34070434070429</v>
      </c>
      <c r="I468" s="311">
        <v>0.35</v>
      </c>
      <c r="J468" s="310">
        <f t="shared" si="22"/>
        <v>5590</v>
      </c>
      <c r="K468" s="310">
        <f t="shared" si="23"/>
        <v>457.82145782145778</v>
      </c>
    </row>
    <row r="469" spans="1:11" x14ac:dyDescent="0.2">
      <c r="A469" t="s">
        <v>364</v>
      </c>
      <c r="B469" t="s">
        <v>84</v>
      </c>
      <c r="C469" t="s">
        <v>367</v>
      </c>
      <c r="D469" t="s">
        <v>369</v>
      </c>
      <c r="E469" t="s">
        <v>8</v>
      </c>
      <c r="F469" s="330">
        <v>12.6</v>
      </c>
      <c r="G469" s="330">
        <v>8800</v>
      </c>
      <c r="H469" s="310">
        <f t="shared" si="21"/>
        <v>698.41269841269843</v>
      </c>
      <c r="I469" s="311">
        <v>0.35</v>
      </c>
      <c r="J469" s="310">
        <f t="shared" si="22"/>
        <v>5720</v>
      </c>
      <c r="K469" s="310">
        <f t="shared" si="23"/>
        <v>453.96825396825398</v>
      </c>
    </row>
    <row r="470" spans="1:11" x14ac:dyDescent="0.2">
      <c r="A470" t="s">
        <v>364</v>
      </c>
      <c r="B470" t="s">
        <v>84</v>
      </c>
      <c r="C470" t="s">
        <v>367</v>
      </c>
      <c r="D470" t="s">
        <v>369</v>
      </c>
      <c r="E470" t="s">
        <v>8</v>
      </c>
      <c r="F470" s="330">
        <v>13.95</v>
      </c>
      <c r="G470" s="330">
        <v>9800</v>
      </c>
      <c r="H470" s="310">
        <f t="shared" si="21"/>
        <v>702.50896057347677</v>
      </c>
      <c r="I470" s="311">
        <v>0.35</v>
      </c>
      <c r="J470" s="310">
        <f t="shared" si="22"/>
        <v>6370</v>
      </c>
      <c r="K470" s="310">
        <f t="shared" si="23"/>
        <v>456.63082437275989</v>
      </c>
    </row>
    <row r="471" spans="1:11" x14ac:dyDescent="0.2">
      <c r="A471" t="s">
        <v>364</v>
      </c>
      <c r="B471" t="s">
        <v>84</v>
      </c>
      <c r="C471" t="s">
        <v>367</v>
      </c>
      <c r="D471" t="s">
        <v>369</v>
      </c>
      <c r="E471" t="s">
        <v>8</v>
      </c>
      <c r="F471" s="330">
        <v>15.3</v>
      </c>
      <c r="G471" s="330">
        <v>10700</v>
      </c>
      <c r="H471" s="310">
        <f t="shared" si="21"/>
        <v>699.34640522875816</v>
      </c>
      <c r="I471" s="311">
        <v>0.35</v>
      </c>
      <c r="J471" s="310">
        <f t="shared" si="22"/>
        <v>6955</v>
      </c>
      <c r="K471" s="310">
        <f t="shared" si="23"/>
        <v>454.57516339869278</v>
      </c>
    </row>
    <row r="472" spans="1:11" x14ac:dyDescent="0.2">
      <c r="A472" t="s">
        <v>364</v>
      </c>
      <c r="B472" t="s">
        <v>84</v>
      </c>
      <c r="C472" t="s">
        <v>367</v>
      </c>
      <c r="D472" t="s">
        <v>66</v>
      </c>
      <c r="E472" t="s">
        <v>41</v>
      </c>
      <c r="F472" s="330">
        <v>19.52</v>
      </c>
      <c r="G472" s="330">
        <v>13700</v>
      </c>
      <c r="H472" s="310">
        <f t="shared" si="21"/>
        <v>701.84426229508199</v>
      </c>
      <c r="I472" s="311">
        <v>0.35</v>
      </c>
      <c r="J472" s="310">
        <f t="shared" si="22"/>
        <v>8905</v>
      </c>
      <c r="K472" s="310">
        <f t="shared" si="23"/>
        <v>456.19877049180332</v>
      </c>
    </row>
    <row r="473" spans="1:11" x14ac:dyDescent="0.2">
      <c r="A473" t="s">
        <v>364</v>
      </c>
      <c r="B473" t="s">
        <v>84</v>
      </c>
      <c r="C473" t="s">
        <v>367</v>
      </c>
      <c r="D473" t="s">
        <v>66</v>
      </c>
      <c r="E473" t="s">
        <v>41</v>
      </c>
      <c r="F473" s="330">
        <v>20.74</v>
      </c>
      <c r="G473" s="330">
        <v>15000</v>
      </c>
      <c r="H473" s="310">
        <f t="shared" si="21"/>
        <v>723.24011571841856</v>
      </c>
      <c r="I473" s="311">
        <v>0.35</v>
      </c>
      <c r="J473" s="310">
        <f t="shared" si="22"/>
        <v>9750</v>
      </c>
      <c r="K473" s="310">
        <f t="shared" si="23"/>
        <v>470.10607521697204</v>
      </c>
    </row>
    <row r="474" spans="1:11" x14ac:dyDescent="0.2">
      <c r="A474" t="s">
        <v>364</v>
      </c>
      <c r="B474" t="s">
        <v>84</v>
      </c>
      <c r="C474" t="s">
        <v>367</v>
      </c>
      <c r="D474" t="s">
        <v>66</v>
      </c>
      <c r="E474" t="s">
        <v>41</v>
      </c>
      <c r="F474" s="330">
        <v>25.01</v>
      </c>
      <c r="G474" s="330">
        <v>17500</v>
      </c>
      <c r="H474" s="310">
        <f t="shared" si="21"/>
        <v>699.72011195521782</v>
      </c>
      <c r="I474" s="311">
        <v>0.35</v>
      </c>
      <c r="J474" s="310">
        <f t="shared" si="22"/>
        <v>11375</v>
      </c>
      <c r="K474" s="310">
        <f t="shared" si="23"/>
        <v>454.8180727708916</v>
      </c>
    </row>
    <row r="475" spans="1:11" x14ac:dyDescent="0.2">
      <c r="A475" t="s">
        <v>364</v>
      </c>
      <c r="B475" t="s">
        <v>86</v>
      </c>
      <c r="C475" t="s">
        <v>366</v>
      </c>
      <c r="D475" t="s">
        <v>120</v>
      </c>
      <c r="E475" t="s">
        <v>19</v>
      </c>
      <c r="F475" s="330">
        <v>0.6</v>
      </c>
      <c r="G475" s="330">
        <v>894.57939999999996</v>
      </c>
      <c r="H475" s="310">
        <f t="shared" si="21"/>
        <v>1490.9656666666667</v>
      </c>
      <c r="I475" s="311">
        <v>0</v>
      </c>
      <c r="J475" s="310">
        <f t="shared" si="22"/>
        <v>894.57939999999996</v>
      </c>
      <c r="K475" s="310">
        <f t="shared" si="23"/>
        <v>1490.9656666666667</v>
      </c>
    </row>
    <row r="476" spans="1:11" x14ac:dyDescent="0.2">
      <c r="A476" t="s">
        <v>364</v>
      </c>
      <c r="B476" t="s">
        <v>86</v>
      </c>
      <c r="C476" t="s">
        <v>366</v>
      </c>
      <c r="D476" t="s">
        <v>120</v>
      </c>
      <c r="E476" t="s">
        <v>19</v>
      </c>
      <c r="F476" s="330">
        <v>0.6</v>
      </c>
      <c r="G476" s="330">
        <v>1010.7477</v>
      </c>
      <c r="H476" s="310">
        <f t="shared" si="21"/>
        <v>1684.5795000000001</v>
      </c>
      <c r="I476" s="311">
        <v>0</v>
      </c>
      <c r="J476" s="310">
        <f t="shared" si="22"/>
        <v>1010.7477</v>
      </c>
      <c r="K476" s="310">
        <f t="shared" si="23"/>
        <v>1684.5795000000001</v>
      </c>
    </row>
    <row r="477" spans="1:11" x14ac:dyDescent="0.2">
      <c r="A477" t="s">
        <v>364</v>
      </c>
      <c r="B477" t="s">
        <v>86</v>
      </c>
      <c r="C477" t="s">
        <v>366</v>
      </c>
      <c r="D477" t="s">
        <v>120</v>
      </c>
      <c r="E477" t="s">
        <v>20</v>
      </c>
      <c r="F477" s="330">
        <v>0.6</v>
      </c>
      <c r="G477" s="330">
        <v>894.57939999999996</v>
      </c>
      <c r="H477" s="310">
        <f t="shared" si="21"/>
        <v>1490.9656666666667</v>
      </c>
      <c r="I477" s="311">
        <v>0</v>
      </c>
      <c r="J477" s="310">
        <f t="shared" si="22"/>
        <v>894.57939999999996</v>
      </c>
      <c r="K477" s="310">
        <f t="shared" si="23"/>
        <v>1490.9656666666667</v>
      </c>
    </row>
    <row r="478" spans="1:11" x14ac:dyDescent="0.2">
      <c r="A478" t="s">
        <v>364</v>
      </c>
      <c r="B478" t="s">
        <v>86</v>
      </c>
      <c r="C478" t="s">
        <v>366</v>
      </c>
      <c r="D478" t="s">
        <v>120</v>
      </c>
      <c r="E478" t="s">
        <v>20</v>
      </c>
      <c r="F478" s="330">
        <v>0.6</v>
      </c>
      <c r="G478" s="330">
        <v>1010.7477</v>
      </c>
      <c r="H478" s="310">
        <f t="shared" si="21"/>
        <v>1684.5795000000001</v>
      </c>
      <c r="I478" s="311">
        <v>0</v>
      </c>
      <c r="J478" s="310">
        <f t="shared" si="22"/>
        <v>1010.7477</v>
      </c>
      <c r="K478" s="310">
        <f t="shared" si="23"/>
        <v>1684.5795000000001</v>
      </c>
    </row>
    <row r="479" spans="1:11" x14ac:dyDescent="0.2">
      <c r="A479" t="s">
        <v>364</v>
      </c>
      <c r="B479" t="s">
        <v>86</v>
      </c>
      <c r="C479" t="s">
        <v>366</v>
      </c>
      <c r="D479" t="s">
        <v>369</v>
      </c>
      <c r="E479" t="s">
        <v>31</v>
      </c>
      <c r="F479" s="330">
        <v>0.88</v>
      </c>
      <c r="G479" s="330">
        <v>1600</v>
      </c>
      <c r="H479" s="310">
        <f t="shared" si="21"/>
        <v>1818.1818181818182</v>
      </c>
      <c r="I479" s="311">
        <v>0.3</v>
      </c>
      <c r="J479" s="310">
        <f t="shared" si="22"/>
        <v>1120</v>
      </c>
      <c r="K479" s="310">
        <f t="shared" si="23"/>
        <v>1272.7272727272727</v>
      </c>
    </row>
    <row r="480" spans="1:11" x14ac:dyDescent="0.2">
      <c r="A480" t="s">
        <v>364</v>
      </c>
      <c r="B480" t="s">
        <v>86</v>
      </c>
      <c r="C480" t="s">
        <v>366</v>
      </c>
      <c r="D480" t="s">
        <v>369</v>
      </c>
      <c r="E480" t="s">
        <v>31</v>
      </c>
      <c r="F480" s="330">
        <v>1</v>
      </c>
      <c r="G480" s="330">
        <v>1600</v>
      </c>
      <c r="H480" s="310">
        <f t="shared" si="21"/>
        <v>1600</v>
      </c>
      <c r="I480" s="311">
        <v>0.3</v>
      </c>
      <c r="J480" s="310">
        <f t="shared" si="22"/>
        <v>1120</v>
      </c>
      <c r="K480" s="310">
        <f t="shared" si="23"/>
        <v>1120</v>
      </c>
    </row>
    <row r="481" spans="1:11" x14ac:dyDescent="0.2">
      <c r="A481" t="s">
        <v>364</v>
      </c>
      <c r="B481" t="s">
        <v>86</v>
      </c>
      <c r="C481" t="s">
        <v>366</v>
      </c>
      <c r="D481" t="s">
        <v>369</v>
      </c>
      <c r="E481" t="s">
        <v>29</v>
      </c>
      <c r="F481" s="330">
        <v>1.04</v>
      </c>
      <c r="G481" s="330">
        <v>1600</v>
      </c>
      <c r="H481" s="310">
        <f t="shared" si="21"/>
        <v>1538.4615384615383</v>
      </c>
      <c r="I481" s="311">
        <v>0.3</v>
      </c>
      <c r="J481" s="310">
        <f t="shared" si="22"/>
        <v>1120</v>
      </c>
      <c r="K481" s="310">
        <f t="shared" si="23"/>
        <v>1076.9230769230769</v>
      </c>
    </row>
    <row r="482" spans="1:11" x14ac:dyDescent="0.2">
      <c r="A482" t="s">
        <v>364</v>
      </c>
      <c r="B482" t="s">
        <v>86</v>
      </c>
      <c r="C482" t="s">
        <v>366</v>
      </c>
      <c r="D482" t="s">
        <v>369</v>
      </c>
      <c r="E482" t="s">
        <v>31</v>
      </c>
      <c r="F482" s="330">
        <v>1.35</v>
      </c>
      <c r="G482" s="330">
        <v>1775.7009</v>
      </c>
      <c r="H482" s="310">
        <f t="shared" si="21"/>
        <v>1315.3340000000001</v>
      </c>
      <c r="I482" s="311">
        <v>0.3</v>
      </c>
      <c r="J482" s="310">
        <f t="shared" si="22"/>
        <v>1242.99063</v>
      </c>
      <c r="K482" s="310">
        <f t="shared" si="23"/>
        <v>920.73379999999997</v>
      </c>
    </row>
    <row r="483" spans="1:11" x14ac:dyDescent="0.2">
      <c r="A483" t="s">
        <v>364</v>
      </c>
      <c r="B483" t="s">
        <v>86</v>
      </c>
      <c r="C483" t="s">
        <v>366</v>
      </c>
      <c r="D483" t="s">
        <v>369</v>
      </c>
      <c r="E483" t="s">
        <v>29</v>
      </c>
      <c r="F483" s="330">
        <v>1.5</v>
      </c>
      <c r="G483" s="330">
        <v>1775.7009</v>
      </c>
      <c r="H483" s="310">
        <f t="shared" si="21"/>
        <v>1183.8006</v>
      </c>
      <c r="I483" s="311">
        <v>0.3</v>
      </c>
      <c r="J483" s="310">
        <f t="shared" si="22"/>
        <v>1242.99063</v>
      </c>
      <c r="K483" s="310">
        <f t="shared" si="23"/>
        <v>828.66042000000004</v>
      </c>
    </row>
    <row r="484" spans="1:11" x14ac:dyDescent="0.2">
      <c r="A484" t="s">
        <v>364</v>
      </c>
      <c r="B484" t="s">
        <v>86</v>
      </c>
      <c r="C484" t="s">
        <v>366</v>
      </c>
      <c r="D484" t="s">
        <v>369</v>
      </c>
      <c r="E484" t="s">
        <v>29</v>
      </c>
      <c r="F484" s="330">
        <v>1.92</v>
      </c>
      <c r="G484" s="330">
        <v>2800</v>
      </c>
      <c r="H484" s="310">
        <f t="shared" si="21"/>
        <v>1458.3333333333335</v>
      </c>
      <c r="I484" s="311">
        <v>0.3</v>
      </c>
      <c r="J484" s="310">
        <f t="shared" si="22"/>
        <v>1959.9999999999998</v>
      </c>
      <c r="K484" s="310">
        <f t="shared" si="23"/>
        <v>1020.8333333333333</v>
      </c>
    </row>
    <row r="485" spans="1:11" x14ac:dyDescent="0.2">
      <c r="A485" t="s">
        <v>364</v>
      </c>
      <c r="B485" t="s">
        <v>86</v>
      </c>
      <c r="C485" t="s">
        <v>366</v>
      </c>
      <c r="D485" t="s">
        <v>369</v>
      </c>
      <c r="E485" t="s">
        <v>29</v>
      </c>
      <c r="F485" s="330">
        <v>1.9734</v>
      </c>
      <c r="G485" s="330">
        <v>2900</v>
      </c>
      <c r="H485" s="310">
        <f t="shared" si="21"/>
        <v>1469.5449478058174</v>
      </c>
      <c r="I485" s="311">
        <v>0.3</v>
      </c>
      <c r="J485" s="310">
        <f t="shared" si="22"/>
        <v>2029.9999999999998</v>
      </c>
      <c r="K485" s="310">
        <f t="shared" si="23"/>
        <v>1028.6814634640721</v>
      </c>
    </row>
    <row r="486" spans="1:11" x14ac:dyDescent="0.2">
      <c r="A486" t="s">
        <v>364</v>
      </c>
      <c r="B486" t="s">
        <v>86</v>
      </c>
      <c r="C486" t="s">
        <v>366</v>
      </c>
      <c r="D486" t="s">
        <v>369</v>
      </c>
      <c r="E486" t="s">
        <v>29</v>
      </c>
      <c r="F486" s="330">
        <v>2.04</v>
      </c>
      <c r="G486" s="330">
        <v>2900</v>
      </c>
      <c r="H486" s="310">
        <f t="shared" si="21"/>
        <v>1421.5686274509803</v>
      </c>
      <c r="I486" s="311">
        <v>0.3</v>
      </c>
      <c r="J486" s="310">
        <f t="shared" si="22"/>
        <v>2029.9999999999998</v>
      </c>
      <c r="K486" s="310">
        <f t="shared" si="23"/>
        <v>995.09803921568619</v>
      </c>
    </row>
    <row r="487" spans="1:11" x14ac:dyDescent="0.2">
      <c r="A487" t="s">
        <v>364</v>
      </c>
      <c r="B487" t="s">
        <v>86</v>
      </c>
      <c r="C487" t="s">
        <v>366</v>
      </c>
      <c r="D487" t="s">
        <v>369</v>
      </c>
      <c r="E487" t="s">
        <v>29</v>
      </c>
      <c r="F487" s="330">
        <v>2.08</v>
      </c>
      <c r="G487" s="330">
        <v>3100</v>
      </c>
      <c r="H487" s="310">
        <f t="shared" si="21"/>
        <v>1490.3846153846152</v>
      </c>
      <c r="I487" s="311">
        <v>0.3</v>
      </c>
      <c r="J487" s="310">
        <f t="shared" si="22"/>
        <v>2170</v>
      </c>
      <c r="K487" s="310">
        <f t="shared" si="23"/>
        <v>1043.2692307692307</v>
      </c>
    </row>
    <row r="488" spans="1:11" x14ac:dyDescent="0.2">
      <c r="A488" t="s">
        <v>364</v>
      </c>
      <c r="B488" t="s">
        <v>86</v>
      </c>
      <c r="C488" t="s">
        <v>366</v>
      </c>
      <c r="D488" t="s">
        <v>369</v>
      </c>
      <c r="E488" t="s">
        <v>29</v>
      </c>
      <c r="F488" s="330">
        <v>2.1</v>
      </c>
      <c r="G488" s="330">
        <v>3100</v>
      </c>
      <c r="H488" s="310">
        <f t="shared" si="21"/>
        <v>1476.1904761904761</v>
      </c>
      <c r="I488" s="311">
        <v>0.3</v>
      </c>
      <c r="J488" s="310">
        <f t="shared" si="22"/>
        <v>2170</v>
      </c>
      <c r="K488" s="310">
        <f t="shared" si="23"/>
        <v>1033.3333333333333</v>
      </c>
    </row>
    <row r="489" spans="1:11" x14ac:dyDescent="0.2">
      <c r="A489" t="s">
        <v>364</v>
      </c>
      <c r="B489" t="s">
        <v>86</v>
      </c>
      <c r="C489" t="s">
        <v>366</v>
      </c>
      <c r="D489" t="s">
        <v>369</v>
      </c>
      <c r="E489" t="s">
        <v>29</v>
      </c>
      <c r="F489" s="330">
        <v>2.38</v>
      </c>
      <c r="G489" s="330">
        <v>3500</v>
      </c>
      <c r="H489" s="310">
        <f t="shared" si="21"/>
        <v>1470.5882352941178</v>
      </c>
      <c r="I489" s="311">
        <v>0.3</v>
      </c>
      <c r="J489" s="310">
        <f t="shared" si="22"/>
        <v>2450</v>
      </c>
      <c r="K489" s="310">
        <f t="shared" si="23"/>
        <v>1029.4117647058824</v>
      </c>
    </row>
    <row r="490" spans="1:11" x14ac:dyDescent="0.2">
      <c r="A490" t="s">
        <v>364</v>
      </c>
      <c r="B490" t="s">
        <v>86</v>
      </c>
      <c r="C490" t="s">
        <v>366</v>
      </c>
      <c r="D490" t="s">
        <v>369</v>
      </c>
      <c r="E490" t="s">
        <v>27</v>
      </c>
      <c r="F490" s="330">
        <v>2.7</v>
      </c>
      <c r="G490" s="330">
        <v>4000</v>
      </c>
      <c r="H490" s="310">
        <f t="shared" si="21"/>
        <v>1481.4814814814813</v>
      </c>
      <c r="I490" s="311">
        <v>0.3</v>
      </c>
      <c r="J490" s="310">
        <f t="shared" si="22"/>
        <v>2800</v>
      </c>
      <c r="K490" s="310">
        <f t="shared" si="23"/>
        <v>1037.037037037037</v>
      </c>
    </row>
    <row r="491" spans="1:11" x14ac:dyDescent="0.2">
      <c r="A491" t="s">
        <v>364</v>
      </c>
      <c r="B491" t="s">
        <v>86</v>
      </c>
      <c r="C491" t="s">
        <v>366</v>
      </c>
      <c r="D491" t="s">
        <v>369</v>
      </c>
      <c r="E491" t="s">
        <v>27</v>
      </c>
      <c r="F491" s="330">
        <v>2.76</v>
      </c>
      <c r="G491" s="330">
        <v>4000</v>
      </c>
      <c r="H491" s="310">
        <f t="shared" si="21"/>
        <v>1449.2753623188407</v>
      </c>
      <c r="I491" s="311">
        <v>0.3</v>
      </c>
      <c r="J491" s="310">
        <f t="shared" si="22"/>
        <v>2800</v>
      </c>
      <c r="K491" s="310">
        <f t="shared" si="23"/>
        <v>1014.4927536231885</v>
      </c>
    </row>
    <row r="492" spans="1:11" x14ac:dyDescent="0.2">
      <c r="A492" t="s">
        <v>364</v>
      </c>
      <c r="B492" t="s">
        <v>86</v>
      </c>
      <c r="C492" t="s">
        <v>366</v>
      </c>
      <c r="D492" t="s">
        <v>369</v>
      </c>
      <c r="E492" t="s">
        <v>27</v>
      </c>
      <c r="F492" s="330">
        <v>2.9249999999999998</v>
      </c>
      <c r="G492" s="330">
        <v>4100</v>
      </c>
      <c r="H492" s="310">
        <f t="shared" si="21"/>
        <v>1401.7094017094018</v>
      </c>
      <c r="I492" s="311">
        <v>0.3</v>
      </c>
      <c r="J492" s="310">
        <f t="shared" si="22"/>
        <v>2870</v>
      </c>
      <c r="K492" s="310">
        <f t="shared" si="23"/>
        <v>981.19658119658129</v>
      </c>
    </row>
    <row r="493" spans="1:11" x14ac:dyDescent="0.2">
      <c r="A493" t="s">
        <v>364</v>
      </c>
      <c r="B493" t="s">
        <v>86</v>
      </c>
      <c r="C493" t="s">
        <v>366</v>
      </c>
      <c r="D493" t="s">
        <v>369</v>
      </c>
      <c r="E493" t="s">
        <v>27</v>
      </c>
      <c r="F493" s="330">
        <v>3</v>
      </c>
      <c r="G493" s="330">
        <v>4200</v>
      </c>
      <c r="H493" s="310">
        <f t="shared" si="21"/>
        <v>1400</v>
      </c>
      <c r="I493" s="311">
        <v>0.3</v>
      </c>
      <c r="J493" s="310">
        <f t="shared" si="22"/>
        <v>2940</v>
      </c>
      <c r="K493" s="310">
        <f t="shared" si="23"/>
        <v>980</v>
      </c>
    </row>
    <row r="494" spans="1:11" x14ac:dyDescent="0.2">
      <c r="A494" t="s">
        <v>364</v>
      </c>
      <c r="B494" t="s">
        <v>86</v>
      </c>
      <c r="C494" t="s">
        <v>366</v>
      </c>
      <c r="D494" t="s">
        <v>369</v>
      </c>
      <c r="E494" t="s">
        <v>27</v>
      </c>
      <c r="F494" s="330">
        <v>3.0154999999999998</v>
      </c>
      <c r="G494" s="330">
        <v>4200</v>
      </c>
      <c r="H494" s="310">
        <f t="shared" si="21"/>
        <v>1392.8038467915769</v>
      </c>
      <c r="I494" s="311">
        <v>0.3</v>
      </c>
      <c r="J494" s="310">
        <f t="shared" si="22"/>
        <v>2940</v>
      </c>
      <c r="K494" s="310">
        <f t="shared" si="23"/>
        <v>974.96269275410384</v>
      </c>
    </row>
    <row r="495" spans="1:11" x14ac:dyDescent="0.2">
      <c r="A495" t="s">
        <v>364</v>
      </c>
      <c r="B495" t="s">
        <v>86</v>
      </c>
      <c r="C495" t="s">
        <v>366</v>
      </c>
      <c r="D495" t="s">
        <v>369</v>
      </c>
      <c r="E495" t="s">
        <v>27</v>
      </c>
      <c r="F495" s="330">
        <v>3.04</v>
      </c>
      <c r="G495" s="330">
        <v>4200</v>
      </c>
      <c r="H495" s="310">
        <f t="shared" si="21"/>
        <v>1381.578947368421</v>
      </c>
      <c r="I495" s="311">
        <v>0.3</v>
      </c>
      <c r="J495" s="310">
        <f t="shared" si="22"/>
        <v>2940</v>
      </c>
      <c r="K495" s="310">
        <f t="shared" si="23"/>
        <v>967.10526315789468</v>
      </c>
    </row>
    <row r="496" spans="1:11" x14ac:dyDescent="0.2">
      <c r="A496" t="s">
        <v>364</v>
      </c>
      <c r="B496" t="s">
        <v>86</v>
      </c>
      <c r="C496" t="s">
        <v>366</v>
      </c>
      <c r="D496" t="s">
        <v>369</v>
      </c>
      <c r="E496" t="s">
        <v>27</v>
      </c>
      <c r="F496" s="330">
        <v>3.08</v>
      </c>
      <c r="G496" s="330">
        <v>4200</v>
      </c>
      <c r="H496" s="310">
        <f t="shared" si="21"/>
        <v>1363.6363636363635</v>
      </c>
      <c r="I496" s="311">
        <v>0.3</v>
      </c>
      <c r="J496" s="310">
        <f t="shared" si="22"/>
        <v>2940</v>
      </c>
      <c r="K496" s="310">
        <f t="shared" si="23"/>
        <v>954.5454545454545</v>
      </c>
    </row>
    <row r="497" spans="1:11" x14ac:dyDescent="0.2">
      <c r="A497" t="s">
        <v>364</v>
      </c>
      <c r="B497" t="s">
        <v>86</v>
      </c>
      <c r="C497" t="s">
        <v>366</v>
      </c>
      <c r="D497" t="s">
        <v>369</v>
      </c>
      <c r="E497" t="s">
        <v>27</v>
      </c>
      <c r="F497" s="330">
        <v>3.12</v>
      </c>
      <c r="G497" s="330">
        <v>4200</v>
      </c>
      <c r="H497" s="310">
        <f t="shared" si="21"/>
        <v>1346.1538461538462</v>
      </c>
      <c r="I497" s="311">
        <v>0.3</v>
      </c>
      <c r="J497" s="310">
        <f t="shared" si="22"/>
        <v>2940</v>
      </c>
      <c r="K497" s="310">
        <f t="shared" si="23"/>
        <v>942.30769230769226</v>
      </c>
    </row>
    <row r="498" spans="1:11" x14ac:dyDescent="0.2">
      <c r="A498" t="s">
        <v>364</v>
      </c>
      <c r="B498" t="s">
        <v>86</v>
      </c>
      <c r="C498" t="s">
        <v>366</v>
      </c>
      <c r="D498" t="s">
        <v>369</v>
      </c>
      <c r="E498" t="s">
        <v>27</v>
      </c>
      <c r="F498" s="330">
        <v>3.7730000000000001</v>
      </c>
      <c r="G498" s="330">
        <v>5000</v>
      </c>
      <c r="H498" s="310">
        <f t="shared" si="21"/>
        <v>1325.2054068380598</v>
      </c>
      <c r="I498" s="311">
        <v>0.3</v>
      </c>
      <c r="J498" s="310">
        <f t="shared" si="22"/>
        <v>3500</v>
      </c>
      <c r="K498" s="310">
        <f t="shared" si="23"/>
        <v>927.64378478664185</v>
      </c>
    </row>
    <row r="499" spans="1:11" x14ac:dyDescent="0.2">
      <c r="A499" t="s">
        <v>364</v>
      </c>
      <c r="B499" t="s">
        <v>86</v>
      </c>
      <c r="C499" t="s">
        <v>366</v>
      </c>
      <c r="D499" t="s">
        <v>369</v>
      </c>
      <c r="E499" t="s">
        <v>27</v>
      </c>
      <c r="F499" s="330">
        <v>3.87</v>
      </c>
      <c r="G499" s="330">
        <v>5000</v>
      </c>
      <c r="H499" s="310">
        <f t="shared" si="21"/>
        <v>1291.9896640826873</v>
      </c>
      <c r="I499" s="311">
        <v>0.3</v>
      </c>
      <c r="J499" s="310">
        <f t="shared" si="22"/>
        <v>3500</v>
      </c>
      <c r="K499" s="310">
        <f t="shared" si="23"/>
        <v>904.39276485788116</v>
      </c>
    </row>
    <row r="500" spans="1:11" x14ac:dyDescent="0.2">
      <c r="A500" t="s">
        <v>364</v>
      </c>
      <c r="B500" t="s">
        <v>86</v>
      </c>
      <c r="C500" t="s">
        <v>366</v>
      </c>
      <c r="D500" t="s">
        <v>369</v>
      </c>
      <c r="E500" t="s">
        <v>27</v>
      </c>
      <c r="F500" s="330">
        <v>4.5590000000000002</v>
      </c>
      <c r="G500" s="330">
        <v>6000</v>
      </c>
      <c r="H500" s="310">
        <f t="shared" si="21"/>
        <v>1316.0780872998464</v>
      </c>
      <c r="I500" s="311">
        <v>0.3</v>
      </c>
      <c r="J500" s="310">
        <f t="shared" si="22"/>
        <v>4200</v>
      </c>
      <c r="K500" s="310">
        <f t="shared" si="23"/>
        <v>921.25466110989248</v>
      </c>
    </row>
    <row r="501" spans="1:11" x14ac:dyDescent="0.2">
      <c r="A501" t="s">
        <v>364</v>
      </c>
      <c r="B501" t="s">
        <v>86</v>
      </c>
      <c r="C501" t="s">
        <v>366</v>
      </c>
      <c r="D501" t="s">
        <v>369</v>
      </c>
      <c r="E501" t="s">
        <v>26</v>
      </c>
      <c r="F501" s="330">
        <v>4.8</v>
      </c>
      <c r="G501" s="330">
        <v>6000</v>
      </c>
      <c r="H501" s="310">
        <f t="shared" si="21"/>
        <v>1250</v>
      </c>
      <c r="I501" s="311">
        <v>0.5</v>
      </c>
      <c r="J501" s="310">
        <f t="shared" si="22"/>
        <v>3000</v>
      </c>
      <c r="K501" s="310">
        <f t="shared" si="23"/>
        <v>625</v>
      </c>
    </row>
    <row r="502" spans="1:11" x14ac:dyDescent="0.2">
      <c r="A502" t="s">
        <v>364</v>
      </c>
      <c r="B502" t="s">
        <v>86</v>
      </c>
      <c r="C502" t="s">
        <v>366</v>
      </c>
      <c r="D502" t="s">
        <v>369</v>
      </c>
      <c r="E502" t="s">
        <v>26</v>
      </c>
      <c r="F502" s="330">
        <v>4.95</v>
      </c>
      <c r="G502" s="330">
        <v>6074.7664000000004</v>
      </c>
      <c r="H502" s="310">
        <f t="shared" si="21"/>
        <v>1227.2255353535354</v>
      </c>
      <c r="I502" s="311">
        <v>0.5</v>
      </c>
      <c r="J502" s="310">
        <f t="shared" si="22"/>
        <v>3037.3832000000002</v>
      </c>
      <c r="K502" s="310">
        <f t="shared" si="23"/>
        <v>613.6127676767677</v>
      </c>
    </row>
    <row r="503" spans="1:11" x14ac:dyDescent="0.2">
      <c r="A503" t="s">
        <v>364</v>
      </c>
      <c r="B503" t="s">
        <v>86</v>
      </c>
      <c r="C503" t="s">
        <v>366</v>
      </c>
      <c r="D503" t="s">
        <v>369</v>
      </c>
      <c r="E503" t="s">
        <v>26</v>
      </c>
      <c r="F503" s="330">
        <v>5.98</v>
      </c>
      <c r="G503" s="330">
        <v>6600</v>
      </c>
      <c r="H503" s="310">
        <f t="shared" si="21"/>
        <v>1103.6789297658861</v>
      </c>
      <c r="I503" s="311">
        <v>0.5</v>
      </c>
      <c r="J503" s="310">
        <f t="shared" si="22"/>
        <v>3300</v>
      </c>
      <c r="K503" s="310">
        <f t="shared" si="23"/>
        <v>551.83946488294305</v>
      </c>
    </row>
    <row r="504" spans="1:11" x14ac:dyDescent="0.2">
      <c r="A504" t="s">
        <v>364</v>
      </c>
      <c r="B504" t="s">
        <v>86</v>
      </c>
      <c r="C504" t="s">
        <v>366</v>
      </c>
      <c r="D504" t="s">
        <v>369</v>
      </c>
      <c r="E504" t="s">
        <v>26</v>
      </c>
      <c r="F504" s="330">
        <v>9.6</v>
      </c>
      <c r="G504" s="330">
        <v>11214.953299999999</v>
      </c>
      <c r="H504" s="310">
        <f t="shared" si="21"/>
        <v>1168.2243020833332</v>
      </c>
      <c r="I504" s="311">
        <v>0.5</v>
      </c>
      <c r="J504" s="310">
        <f t="shared" si="22"/>
        <v>5607.4766499999996</v>
      </c>
      <c r="K504" s="310">
        <f t="shared" si="23"/>
        <v>584.11215104166661</v>
      </c>
    </row>
    <row r="505" spans="1:11" x14ac:dyDescent="0.2">
      <c r="A505" t="s">
        <v>364</v>
      </c>
      <c r="B505" t="s">
        <v>86</v>
      </c>
      <c r="C505" t="s">
        <v>366</v>
      </c>
      <c r="D505" t="s">
        <v>369</v>
      </c>
      <c r="E505" t="s">
        <v>26</v>
      </c>
      <c r="F505" s="330">
        <v>10.23</v>
      </c>
      <c r="G505" s="330">
        <v>11588.785</v>
      </c>
      <c r="H505" s="310">
        <f t="shared" si="21"/>
        <v>1132.8235581622678</v>
      </c>
      <c r="I505" s="311">
        <v>0.5</v>
      </c>
      <c r="J505" s="310">
        <f t="shared" si="22"/>
        <v>5794.3924999999999</v>
      </c>
      <c r="K505" s="310">
        <f t="shared" si="23"/>
        <v>566.41177908113389</v>
      </c>
    </row>
    <row r="506" spans="1:11" x14ac:dyDescent="0.2">
      <c r="A506" t="s">
        <v>364</v>
      </c>
      <c r="B506" t="s">
        <v>86</v>
      </c>
      <c r="C506" t="s">
        <v>366</v>
      </c>
      <c r="D506" t="s">
        <v>369</v>
      </c>
      <c r="E506" t="s">
        <v>28</v>
      </c>
      <c r="F506" s="330">
        <v>24.99</v>
      </c>
      <c r="G506" s="330">
        <v>18800</v>
      </c>
      <c r="H506" s="310">
        <f t="shared" si="21"/>
        <v>752.30092036814733</v>
      </c>
      <c r="I506" s="311">
        <v>0.5</v>
      </c>
      <c r="J506" s="310">
        <f t="shared" si="22"/>
        <v>9400</v>
      </c>
      <c r="K506" s="310">
        <f t="shared" si="23"/>
        <v>376.15046018407367</v>
      </c>
    </row>
    <row r="507" spans="1:11" x14ac:dyDescent="0.2">
      <c r="A507" t="s">
        <v>364</v>
      </c>
      <c r="B507" t="s">
        <v>86</v>
      </c>
      <c r="C507" t="s">
        <v>366</v>
      </c>
      <c r="D507" t="s">
        <v>369</v>
      </c>
      <c r="E507" t="s">
        <v>30</v>
      </c>
      <c r="F507" s="330">
        <v>33.6</v>
      </c>
      <c r="G507" s="330">
        <v>24200</v>
      </c>
      <c r="H507" s="310">
        <f t="shared" si="21"/>
        <v>720.23809523809518</v>
      </c>
      <c r="I507" s="311">
        <v>0.5</v>
      </c>
      <c r="J507" s="310">
        <f t="shared" si="22"/>
        <v>12100</v>
      </c>
      <c r="K507" s="310">
        <f t="shared" si="23"/>
        <v>360.11904761904759</v>
      </c>
    </row>
    <row r="508" spans="1:11" x14ac:dyDescent="0.2">
      <c r="A508" t="s">
        <v>364</v>
      </c>
      <c r="B508" t="s">
        <v>86</v>
      </c>
      <c r="C508" t="s">
        <v>366</v>
      </c>
      <c r="D508" t="s">
        <v>369</v>
      </c>
      <c r="E508" t="s">
        <v>30</v>
      </c>
      <c r="F508" s="330">
        <v>35.04</v>
      </c>
      <c r="G508" s="330">
        <v>25300</v>
      </c>
      <c r="H508" s="310">
        <f t="shared" si="21"/>
        <v>722.03196347031962</v>
      </c>
      <c r="I508" s="311">
        <v>0.5</v>
      </c>
      <c r="J508" s="310">
        <f t="shared" si="22"/>
        <v>12650</v>
      </c>
      <c r="K508" s="310">
        <f t="shared" si="23"/>
        <v>361.01598173515981</v>
      </c>
    </row>
    <row r="509" spans="1:11" x14ac:dyDescent="0.2">
      <c r="A509" t="s">
        <v>364</v>
      </c>
      <c r="B509" t="s">
        <v>81</v>
      </c>
      <c r="C509" t="s">
        <v>367</v>
      </c>
      <c r="D509" t="s">
        <v>369</v>
      </c>
      <c r="E509" t="s">
        <v>14</v>
      </c>
      <c r="F509" s="330">
        <v>0.8</v>
      </c>
      <c r="G509" s="330">
        <v>1250</v>
      </c>
      <c r="H509" s="310">
        <f t="shared" si="21"/>
        <v>1562.5</v>
      </c>
      <c r="I509" s="311">
        <v>0.4</v>
      </c>
      <c r="J509" s="310">
        <f t="shared" si="22"/>
        <v>750</v>
      </c>
      <c r="K509" s="310">
        <f t="shared" si="23"/>
        <v>937.5</v>
      </c>
    </row>
    <row r="510" spans="1:11" x14ac:dyDescent="0.2">
      <c r="A510" t="s">
        <v>364</v>
      </c>
      <c r="B510" t="s">
        <v>81</v>
      </c>
      <c r="C510" t="s">
        <v>367</v>
      </c>
      <c r="D510" t="s">
        <v>120</v>
      </c>
      <c r="E510" t="s">
        <v>33</v>
      </c>
      <c r="F510" s="331">
        <v>0.9</v>
      </c>
      <c r="G510" s="330">
        <v>567.48</v>
      </c>
      <c r="H510" s="310">
        <f t="shared" si="21"/>
        <v>630.5333333333333</v>
      </c>
      <c r="I510" s="311">
        <v>0</v>
      </c>
      <c r="J510" s="310">
        <f t="shared" si="22"/>
        <v>567.48</v>
      </c>
      <c r="K510" s="310">
        <f t="shared" si="23"/>
        <v>630.5333333333333</v>
      </c>
    </row>
    <row r="511" spans="1:11" x14ac:dyDescent="0.2">
      <c r="A511" t="s">
        <v>364</v>
      </c>
      <c r="B511" t="s">
        <v>81</v>
      </c>
      <c r="C511" t="s">
        <v>367</v>
      </c>
      <c r="D511" t="s">
        <v>120</v>
      </c>
      <c r="E511" t="s">
        <v>34</v>
      </c>
      <c r="F511" s="331">
        <v>0.9</v>
      </c>
      <c r="G511" s="330">
        <v>474.02</v>
      </c>
      <c r="H511" s="310">
        <f t="shared" si="21"/>
        <v>526.68888888888887</v>
      </c>
      <c r="I511" s="311">
        <v>0</v>
      </c>
      <c r="J511" s="310">
        <f t="shared" si="22"/>
        <v>474.02</v>
      </c>
      <c r="K511" s="310">
        <f t="shared" si="23"/>
        <v>526.68888888888887</v>
      </c>
    </row>
    <row r="512" spans="1:11" x14ac:dyDescent="0.2">
      <c r="A512" t="s">
        <v>364</v>
      </c>
      <c r="B512" t="s">
        <v>81</v>
      </c>
      <c r="C512" t="s">
        <v>366</v>
      </c>
      <c r="D512" t="s">
        <v>369</v>
      </c>
      <c r="E512" t="s">
        <v>31</v>
      </c>
      <c r="F512" s="331">
        <v>0.9</v>
      </c>
      <c r="G512" s="330">
        <v>1300</v>
      </c>
      <c r="H512" s="310">
        <f t="shared" si="21"/>
        <v>1444.4444444444443</v>
      </c>
      <c r="I512" s="311">
        <v>0.4</v>
      </c>
      <c r="J512" s="310">
        <f t="shared" si="22"/>
        <v>780</v>
      </c>
      <c r="K512" s="310">
        <f t="shared" si="23"/>
        <v>866.66666666666663</v>
      </c>
    </row>
    <row r="513" spans="1:11" x14ac:dyDescent="0.2">
      <c r="A513" t="s">
        <v>364</v>
      </c>
      <c r="B513" t="s">
        <v>81</v>
      </c>
      <c r="C513" t="s">
        <v>367</v>
      </c>
      <c r="D513" t="s">
        <v>369</v>
      </c>
      <c r="E513" t="s">
        <v>14</v>
      </c>
      <c r="F513" s="330">
        <v>1</v>
      </c>
      <c r="G513" s="330">
        <v>1300</v>
      </c>
      <c r="H513" s="310">
        <f t="shared" si="21"/>
        <v>1300</v>
      </c>
      <c r="I513" s="311">
        <v>0.4</v>
      </c>
      <c r="J513" s="310">
        <f t="shared" si="22"/>
        <v>780</v>
      </c>
      <c r="K513" s="310">
        <f t="shared" si="23"/>
        <v>780</v>
      </c>
    </row>
    <row r="514" spans="1:11" x14ac:dyDescent="0.2">
      <c r="A514" t="s">
        <v>364</v>
      </c>
      <c r="B514" t="s">
        <v>81</v>
      </c>
      <c r="C514" t="s">
        <v>367</v>
      </c>
      <c r="D514" t="s">
        <v>369</v>
      </c>
      <c r="E514" t="s">
        <v>14</v>
      </c>
      <c r="F514" s="330">
        <v>1.04</v>
      </c>
      <c r="G514" s="330">
        <v>1300</v>
      </c>
      <c r="H514" s="310">
        <f t="shared" ref="H514:H577" si="24">G514/F514</f>
        <v>1250</v>
      </c>
      <c r="I514" s="311">
        <v>0.4</v>
      </c>
      <c r="J514" s="310">
        <f t="shared" ref="J514:J577" si="25">G514*(1-I514)</f>
        <v>780</v>
      </c>
      <c r="K514" s="310">
        <f t="shared" ref="K514:K577" si="26">J514/F514</f>
        <v>750</v>
      </c>
    </row>
    <row r="515" spans="1:11" x14ac:dyDescent="0.2">
      <c r="A515" t="s">
        <v>364</v>
      </c>
      <c r="B515" t="s">
        <v>81</v>
      </c>
      <c r="C515" t="s">
        <v>366</v>
      </c>
      <c r="D515" t="s">
        <v>369</v>
      </c>
      <c r="E515" t="s">
        <v>31</v>
      </c>
      <c r="F515" s="331">
        <v>1.1000000000000001</v>
      </c>
      <c r="G515" s="330">
        <v>1400</v>
      </c>
      <c r="H515" s="310">
        <f t="shared" si="24"/>
        <v>1272.7272727272725</v>
      </c>
      <c r="I515" s="311">
        <v>0.4</v>
      </c>
      <c r="J515" s="310">
        <f t="shared" si="25"/>
        <v>840</v>
      </c>
      <c r="K515" s="310">
        <f t="shared" si="26"/>
        <v>763.63636363636363</v>
      </c>
    </row>
    <row r="516" spans="1:11" x14ac:dyDescent="0.2">
      <c r="A516" t="s">
        <v>364</v>
      </c>
      <c r="B516" t="s">
        <v>81</v>
      </c>
      <c r="C516" t="s">
        <v>367</v>
      </c>
      <c r="D516" t="s">
        <v>369</v>
      </c>
      <c r="E516" t="s">
        <v>14</v>
      </c>
      <c r="F516" s="330">
        <v>1.4</v>
      </c>
      <c r="G516" s="330">
        <v>1500</v>
      </c>
      <c r="H516" s="310">
        <f t="shared" si="24"/>
        <v>1071.4285714285716</v>
      </c>
      <c r="I516" s="311">
        <v>0.4</v>
      </c>
      <c r="J516" s="310">
        <f t="shared" si="25"/>
        <v>900</v>
      </c>
      <c r="K516" s="310">
        <f t="shared" si="26"/>
        <v>642.85714285714289</v>
      </c>
    </row>
    <row r="517" spans="1:11" x14ac:dyDescent="0.2">
      <c r="A517" t="s">
        <v>364</v>
      </c>
      <c r="B517" t="s">
        <v>81</v>
      </c>
      <c r="C517" t="s">
        <v>367</v>
      </c>
      <c r="D517" t="s">
        <v>369</v>
      </c>
      <c r="E517" t="s">
        <v>14</v>
      </c>
      <c r="F517" s="330">
        <v>1.4</v>
      </c>
      <c r="G517" s="330">
        <v>1500</v>
      </c>
      <c r="H517" s="310">
        <f t="shared" si="24"/>
        <v>1071.4285714285716</v>
      </c>
      <c r="I517" s="311">
        <v>0.4</v>
      </c>
      <c r="J517" s="310">
        <f t="shared" si="25"/>
        <v>900</v>
      </c>
      <c r="K517" s="310">
        <f t="shared" si="26"/>
        <v>642.85714285714289</v>
      </c>
    </row>
    <row r="518" spans="1:11" x14ac:dyDescent="0.2">
      <c r="A518" t="s">
        <v>364</v>
      </c>
      <c r="B518" t="s">
        <v>81</v>
      </c>
      <c r="C518" t="s">
        <v>367</v>
      </c>
      <c r="D518" t="s">
        <v>369</v>
      </c>
      <c r="E518" t="s">
        <v>12</v>
      </c>
      <c r="F518" s="330">
        <v>1.5</v>
      </c>
      <c r="G518" s="330">
        <v>1600</v>
      </c>
      <c r="H518" s="310">
        <f t="shared" si="24"/>
        <v>1066.6666666666667</v>
      </c>
      <c r="I518" s="311">
        <v>0.4</v>
      </c>
      <c r="J518" s="310">
        <f t="shared" si="25"/>
        <v>960</v>
      </c>
      <c r="K518" s="310">
        <f t="shared" si="26"/>
        <v>640</v>
      </c>
    </row>
    <row r="519" spans="1:11" x14ac:dyDescent="0.2">
      <c r="A519" t="s">
        <v>364</v>
      </c>
      <c r="B519" t="s">
        <v>81</v>
      </c>
      <c r="C519" t="s">
        <v>367</v>
      </c>
      <c r="D519" t="s">
        <v>369</v>
      </c>
      <c r="E519" t="s">
        <v>12</v>
      </c>
      <c r="F519" s="330">
        <v>1.54</v>
      </c>
      <c r="G519" s="330">
        <v>1600</v>
      </c>
      <c r="H519" s="310">
        <f t="shared" si="24"/>
        <v>1038.9610389610389</v>
      </c>
      <c r="I519" s="311">
        <v>0.4</v>
      </c>
      <c r="J519" s="310">
        <f t="shared" si="25"/>
        <v>960</v>
      </c>
      <c r="K519" s="310">
        <f t="shared" si="26"/>
        <v>623.37662337662334</v>
      </c>
    </row>
    <row r="520" spans="1:11" x14ac:dyDescent="0.2">
      <c r="A520" t="s">
        <v>364</v>
      </c>
      <c r="B520" t="s">
        <v>81</v>
      </c>
      <c r="C520" t="s">
        <v>366</v>
      </c>
      <c r="D520" t="s">
        <v>369</v>
      </c>
      <c r="E520" t="s">
        <v>29</v>
      </c>
      <c r="F520" s="331">
        <v>1.7</v>
      </c>
      <c r="G520" s="330">
        <v>1900</v>
      </c>
      <c r="H520" s="310">
        <f t="shared" si="24"/>
        <v>1117.6470588235295</v>
      </c>
      <c r="I520" s="311">
        <v>0.4</v>
      </c>
      <c r="J520" s="310">
        <f t="shared" si="25"/>
        <v>1140</v>
      </c>
      <c r="K520" s="310">
        <f t="shared" si="26"/>
        <v>670.58823529411768</v>
      </c>
    </row>
    <row r="521" spans="1:11" x14ac:dyDescent="0.2">
      <c r="A521" t="s">
        <v>364</v>
      </c>
      <c r="B521" t="s">
        <v>81</v>
      </c>
      <c r="C521" t="s">
        <v>367</v>
      </c>
      <c r="D521" t="s">
        <v>369</v>
      </c>
      <c r="E521" t="s">
        <v>12</v>
      </c>
      <c r="F521" s="330">
        <v>1.7</v>
      </c>
      <c r="G521" s="330">
        <v>1800</v>
      </c>
      <c r="H521" s="310">
        <f t="shared" si="24"/>
        <v>1058.8235294117646</v>
      </c>
      <c r="I521" s="311">
        <v>0.4</v>
      </c>
      <c r="J521" s="310">
        <f t="shared" si="25"/>
        <v>1080</v>
      </c>
      <c r="K521" s="310">
        <f t="shared" si="26"/>
        <v>635.29411764705878</v>
      </c>
    </row>
    <row r="522" spans="1:11" x14ac:dyDescent="0.2">
      <c r="A522" t="s">
        <v>364</v>
      </c>
      <c r="B522" t="s">
        <v>81</v>
      </c>
      <c r="C522" t="s">
        <v>367</v>
      </c>
      <c r="D522" t="s">
        <v>369</v>
      </c>
      <c r="E522" t="s">
        <v>12</v>
      </c>
      <c r="F522" s="330">
        <v>1.8</v>
      </c>
      <c r="G522" s="330">
        <v>1800</v>
      </c>
      <c r="H522" s="310">
        <f t="shared" si="24"/>
        <v>1000</v>
      </c>
      <c r="I522" s="311">
        <v>0.4</v>
      </c>
      <c r="J522" s="310">
        <f t="shared" si="25"/>
        <v>1080</v>
      </c>
      <c r="K522" s="310">
        <f t="shared" si="26"/>
        <v>600</v>
      </c>
    </row>
    <row r="523" spans="1:11" x14ac:dyDescent="0.2">
      <c r="A523" t="s">
        <v>364</v>
      </c>
      <c r="B523" t="s">
        <v>81</v>
      </c>
      <c r="C523" t="s">
        <v>367</v>
      </c>
      <c r="D523" t="s">
        <v>369</v>
      </c>
      <c r="E523" t="s">
        <v>12</v>
      </c>
      <c r="F523" s="330">
        <v>2</v>
      </c>
      <c r="G523" s="330">
        <v>2000</v>
      </c>
      <c r="H523" s="310">
        <f t="shared" si="24"/>
        <v>1000</v>
      </c>
      <c r="I523" s="311">
        <v>0.4</v>
      </c>
      <c r="J523" s="310">
        <f t="shared" si="25"/>
        <v>1200</v>
      </c>
      <c r="K523" s="310">
        <f t="shared" si="26"/>
        <v>600</v>
      </c>
    </row>
    <row r="524" spans="1:11" x14ac:dyDescent="0.2">
      <c r="A524" t="s">
        <v>364</v>
      </c>
      <c r="B524" t="s">
        <v>81</v>
      </c>
      <c r="C524" t="s">
        <v>366</v>
      </c>
      <c r="D524" t="s">
        <v>369</v>
      </c>
      <c r="E524" t="s">
        <v>29</v>
      </c>
      <c r="F524" s="331">
        <v>2.04</v>
      </c>
      <c r="G524" s="330">
        <v>2200</v>
      </c>
      <c r="H524" s="310">
        <f t="shared" si="24"/>
        <v>1078.4313725490197</v>
      </c>
      <c r="I524" s="311">
        <v>0.4</v>
      </c>
      <c r="J524" s="310">
        <f t="shared" si="25"/>
        <v>1320</v>
      </c>
      <c r="K524" s="310">
        <f t="shared" si="26"/>
        <v>647.05882352941171</v>
      </c>
    </row>
    <row r="525" spans="1:11" x14ac:dyDescent="0.2">
      <c r="A525" t="s">
        <v>364</v>
      </c>
      <c r="B525" t="s">
        <v>81</v>
      </c>
      <c r="C525" t="s">
        <v>367</v>
      </c>
      <c r="D525" t="s">
        <v>369</v>
      </c>
      <c r="E525" t="s">
        <v>12</v>
      </c>
      <c r="F525" s="330">
        <v>2.2000000000000002</v>
      </c>
      <c r="G525" s="330">
        <v>2100</v>
      </c>
      <c r="H525" s="310">
        <f t="shared" si="24"/>
        <v>954.5454545454545</v>
      </c>
      <c r="I525" s="311">
        <v>0.4</v>
      </c>
      <c r="J525" s="310">
        <f t="shared" si="25"/>
        <v>1260</v>
      </c>
      <c r="K525" s="310">
        <f t="shared" si="26"/>
        <v>572.72727272727263</v>
      </c>
    </row>
    <row r="526" spans="1:11" x14ac:dyDescent="0.2">
      <c r="A526" t="s">
        <v>364</v>
      </c>
      <c r="B526" t="s">
        <v>81</v>
      </c>
      <c r="C526" t="s">
        <v>367</v>
      </c>
      <c r="D526" t="s">
        <v>369</v>
      </c>
      <c r="E526" t="s">
        <v>12</v>
      </c>
      <c r="F526" s="330">
        <v>2.4</v>
      </c>
      <c r="G526" s="330">
        <v>2100</v>
      </c>
      <c r="H526" s="310">
        <f t="shared" si="24"/>
        <v>875</v>
      </c>
      <c r="I526" s="311">
        <v>0.4</v>
      </c>
      <c r="J526" s="310">
        <f t="shared" si="25"/>
        <v>1260</v>
      </c>
      <c r="K526" s="310">
        <f t="shared" si="26"/>
        <v>525</v>
      </c>
    </row>
    <row r="527" spans="1:11" x14ac:dyDescent="0.2">
      <c r="A527" t="s">
        <v>364</v>
      </c>
      <c r="B527" t="s">
        <v>81</v>
      </c>
      <c r="C527" t="s">
        <v>366</v>
      </c>
      <c r="D527" t="s">
        <v>369</v>
      </c>
      <c r="E527" t="s">
        <v>27</v>
      </c>
      <c r="F527" s="331">
        <v>2.52</v>
      </c>
      <c r="G527" s="330">
        <v>2500</v>
      </c>
      <c r="H527" s="310">
        <f t="shared" si="24"/>
        <v>992.06349206349205</v>
      </c>
      <c r="I527" s="311">
        <v>0.4</v>
      </c>
      <c r="J527" s="310">
        <f t="shared" si="25"/>
        <v>1500</v>
      </c>
      <c r="K527" s="310">
        <f t="shared" si="26"/>
        <v>595.23809523809518</v>
      </c>
    </row>
    <row r="528" spans="1:11" x14ac:dyDescent="0.2">
      <c r="A528" t="s">
        <v>364</v>
      </c>
      <c r="B528" t="s">
        <v>81</v>
      </c>
      <c r="C528" t="s">
        <v>367</v>
      </c>
      <c r="D528" t="s">
        <v>369</v>
      </c>
      <c r="E528" t="s">
        <v>10</v>
      </c>
      <c r="F528" s="331">
        <v>2.86</v>
      </c>
      <c r="G528" s="330">
        <v>2500</v>
      </c>
      <c r="H528" s="310">
        <f t="shared" si="24"/>
        <v>874.12587412587413</v>
      </c>
      <c r="I528" s="311">
        <v>0.4</v>
      </c>
      <c r="J528" s="310">
        <f t="shared" si="25"/>
        <v>1500</v>
      </c>
      <c r="K528" s="310">
        <f t="shared" si="26"/>
        <v>524.47552447552448</v>
      </c>
    </row>
    <row r="529" spans="1:11" x14ac:dyDescent="0.2">
      <c r="A529" t="s">
        <v>364</v>
      </c>
      <c r="B529" t="s">
        <v>81</v>
      </c>
      <c r="C529" t="s">
        <v>367</v>
      </c>
      <c r="D529" t="s">
        <v>369</v>
      </c>
      <c r="E529" t="s">
        <v>10</v>
      </c>
      <c r="F529" s="331">
        <v>2.86</v>
      </c>
      <c r="G529" s="330">
        <v>2500</v>
      </c>
      <c r="H529" s="310">
        <f t="shared" si="24"/>
        <v>874.12587412587413</v>
      </c>
      <c r="I529" s="311">
        <v>0.4</v>
      </c>
      <c r="J529" s="310">
        <f t="shared" si="25"/>
        <v>1500</v>
      </c>
      <c r="K529" s="310">
        <f t="shared" si="26"/>
        <v>524.47552447552448</v>
      </c>
    </row>
    <row r="530" spans="1:11" x14ac:dyDescent="0.2">
      <c r="A530" t="s">
        <v>364</v>
      </c>
      <c r="B530" t="s">
        <v>81</v>
      </c>
      <c r="C530" t="s">
        <v>366</v>
      </c>
      <c r="D530" t="s">
        <v>369</v>
      </c>
      <c r="E530" t="s">
        <v>27</v>
      </c>
      <c r="F530" s="331">
        <v>3</v>
      </c>
      <c r="G530" s="330">
        <v>3300</v>
      </c>
      <c r="H530" s="310">
        <f t="shared" si="24"/>
        <v>1100</v>
      </c>
      <c r="I530" s="311">
        <v>0.4</v>
      </c>
      <c r="J530" s="310">
        <f t="shared" si="25"/>
        <v>1980</v>
      </c>
      <c r="K530" s="310">
        <f t="shared" si="26"/>
        <v>660</v>
      </c>
    </row>
    <row r="531" spans="1:11" x14ac:dyDescent="0.2">
      <c r="A531" t="s">
        <v>364</v>
      </c>
      <c r="B531" t="s">
        <v>81</v>
      </c>
      <c r="C531" t="s">
        <v>367</v>
      </c>
      <c r="D531" t="s">
        <v>369</v>
      </c>
      <c r="E531" t="s">
        <v>10</v>
      </c>
      <c r="F531" s="330">
        <v>3</v>
      </c>
      <c r="G531" s="330">
        <v>2600</v>
      </c>
      <c r="H531" s="310">
        <f t="shared" si="24"/>
        <v>866.66666666666663</v>
      </c>
      <c r="I531" s="311">
        <v>0.4</v>
      </c>
      <c r="J531" s="310">
        <f t="shared" si="25"/>
        <v>1560</v>
      </c>
      <c r="K531" s="310">
        <f t="shared" si="26"/>
        <v>520</v>
      </c>
    </row>
    <row r="532" spans="1:11" x14ac:dyDescent="0.2">
      <c r="A532" t="s">
        <v>364</v>
      </c>
      <c r="B532" t="s">
        <v>81</v>
      </c>
      <c r="C532" t="s">
        <v>366</v>
      </c>
      <c r="D532" t="s">
        <v>369</v>
      </c>
      <c r="E532" t="s">
        <v>27</v>
      </c>
      <c r="F532" s="331">
        <v>3.15</v>
      </c>
      <c r="G532" s="330">
        <v>3500</v>
      </c>
      <c r="H532" s="310">
        <f t="shared" si="24"/>
        <v>1111.1111111111111</v>
      </c>
      <c r="I532" s="311">
        <v>0.4</v>
      </c>
      <c r="J532" s="310">
        <f t="shared" si="25"/>
        <v>2100</v>
      </c>
      <c r="K532" s="310">
        <f t="shared" si="26"/>
        <v>666.66666666666663</v>
      </c>
    </row>
    <row r="533" spans="1:11" x14ac:dyDescent="0.2">
      <c r="A533" t="s">
        <v>364</v>
      </c>
      <c r="B533" t="s">
        <v>81</v>
      </c>
      <c r="C533" t="s">
        <v>366</v>
      </c>
      <c r="D533" t="s">
        <v>369</v>
      </c>
      <c r="E533" t="s">
        <v>27</v>
      </c>
      <c r="F533" s="331">
        <v>3.24</v>
      </c>
      <c r="G533" s="330">
        <v>3500</v>
      </c>
      <c r="H533" s="310">
        <f t="shared" si="24"/>
        <v>1080.2469135802469</v>
      </c>
      <c r="I533" s="311">
        <v>0.4</v>
      </c>
      <c r="J533" s="310">
        <f t="shared" si="25"/>
        <v>2100</v>
      </c>
      <c r="K533" s="310">
        <f t="shared" si="26"/>
        <v>648.14814814814815</v>
      </c>
    </row>
    <row r="534" spans="1:11" x14ac:dyDescent="0.2">
      <c r="A534" t="s">
        <v>364</v>
      </c>
      <c r="B534" t="s">
        <v>81</v>
      </c>
      <c r="C534" t="s">
        <v>367</v>
      </c>
      <c r="D534" t="s">
        <v>369</v>
      </c>
      <c r="E534" t="s">
        <v>10</v>
      </c>
      <c r="F534" s="330">
        <v>3.52</v>
      </c>
      <c r="G534" s="330">
        <v>3000</v>
      </c>
      <c r="H534" s="310">
        <f t="shared" si="24"/>
        <v>852.27272727272725</v>
      </c>
      <c r="I534" s="311">
        <v>0.4</v>
      </c>
      <c r="J534" s="310">
        <f t="shared" si="25"/>
        <v>1800</v>
      </c>
      <c r="K534" s="310">
        <f t="shared" si="26"/>
        <v>511.36363636363637</v>
      </c>
    </row>
    <row r="535" spans="1:11" x14ac:dyDescent="0.2">
      <c r="A535" t="s">
        <v>364</v>
      </c>
      <c r="B535" t="s">
        <v>81</v>
      </c>
      <c r="C535" t="s">
        <v>366</v>
      </c>
      <c r="D535" t="s">
        <v>369</v>
      </c>
      <c r="E535" t="s">
        <v>27</v>
      </c>
      <c r="F535" s="331">
        <v>3.6</v>
      </c>
      <c r="G535" s="330">
        <v>3800</v>
      </c>
      <c r="H535" s="310">
        <f t="shared" si="24"/>
        <v>1055.5555555555554</v>
      </c>
      <c r="I535" s="311">
        <v>0.4</v>
      </c>
      <c r="J535" s="310">
        <f t="shared" si="25"/>
        <v>2280</v>
      </c>
      <c r="K535" s="310">
        <f t="shared" si="26"/>
        <v>633.33333333333337</v>
      </c>
    </row>
    <row r="536" spans="1:11" x14ac:dyDescent="0.2">
      <c r="A536" t="s">
        <v>364</v>
      </c>
      <c r="B536" t="s">
        <v>81</v>
      </c>
      <c r="C536" t="s">
        <v>366</v>
      </c>
      <c r="D536" t="s">
        <v>369</v>
      </c>
      <c r="E536" t="s">
        <v>27</v>
      </c>
      <c r="F536" s="331">
        <v>4.2</v>
      </c>
      <c r="G536" s="330">
        <v>4500</v>
      </c>
      <c r="H536" s="310">
        <f t="shared" si="24"/>
        <v>1071.4285714285713</v>
      </c>
      <c r="I536" s="311">
        <v>0.4</v>
      </c>
      <c r="J536" s="310">
        <f t="shared" si="25"/>
        <v>2700</v>
      </c>
      <c r="K536" s="310">
        <f t="shared" si="26"/>
        <v>642.85714285714278</v>
      </c>
    </row>
    <row r="537" spans="1:11" x14ac:dyDescent="0.2">
      <c r="A537" t="s">
        <v>364</v>
      </c>
      <c r="B537" t="s">
        <v>81</v>
      </c>
      <c r="C537" t="s">
        <v>367</v>
      </c>
      <c r="D537" t="s">
        <v>369</v>
      </c>
      <c r="E537" t="s">
        <v>10</v>
      </c>
      <c r="F537" s="330">
        <v>4.2</v>
      </c>
      <c r="G537" s="330">
        <v>4200</v>
      </c>
      <c r="H537" s="310">
        <f t="shared" si="24"/>
        <v>1000</v>
      </c>
      <c r="I537" s="311">
        <v>0.4</v>
      </c>
      <c r="J537" s="310">
        <f t="shared" si="25"/>
        <v>2520</v>
      </c>
      <c r="K537" s="310">
        <f t="shared" si="26"/>
        <v>600</v>
      </c>
    </row>
    <row r="538" spans="1:11" x14ac:dyDescent="0.2">
      <c r="A538" t="s">
        <v>364</v>
      </c>
      <c r="B538" t="s">
        <v>81</v>
      </c>
      <c r="C538" t="s">
        <v>367</v>
      </c>
      <c r="D538" t="s">
        <v>369</v>
      </c>
      <c r="E538" t="s">
        <v>10</v>
      </c>
      <c r="F538" s="330">
        <v>4.29</v>
      </c>
      <c r="G538" s="330">
        <v>4200</v>
      </c>
      <c r="H538" s="310">
        <f t="shared" si="24"/>
        <v>979.02097902097898</v>
      </c>
      <c r="I538" s="311">
        <v>0.4</v>
      </c>
      <c r="J538" s="310">
        <f t="shared" si="25"/>
        <v>2520</v>
      </c>
      <c r="K538" s="310">
        <f t="shared" si="26"/>
        <v>587.41258741258741</v>
      </c>
    </row>
    <row r="539" spans="1:11" x14ac:dyDescent="0.2">
      <c r="A539" t="s">
        <v>364</v>
      </c>
      <c r="B539" t="s">
        <v>81</v>
      </c>
      <c r="C539" t="s">
        <v>367</v>
      </c>
      <c r="D539" t="s">
        <v>369</v>
      </c>
      <c r="E539" t="s">
        <v>10</v>
      </c>
      <c r="F539" s="330">
        <v>4.4000000000000004</v>
      </c>
      <c r="G539" s="330">
        <v>4200</v>
      </c>
      <c r="H539" s="310">
        <f t="shared" si="24"/>
        <v>954.5454545454545</v>
      </c>
      <c r="I539" s="311">
        <v>0.4</v>
      </c>
      <c r="J539" s="310">
        <f t="shared" si="25"/>
        <v>2520</v>
      </c>
      <c r="K539" s="310">
        <f t="shared" si="26"/>
        <v>572.72727272727263</v>
      </c>
    </row>
    <row r="540" spans="1:11" x14ac:dyDescent="0.2">
      <c r="A540" t="s">
        <v>364</v>
      </c>
      <c r="B540" t="s">
        <v>81</v>
      </c>
      <c r="C540" t="s">
        <v>367</v>
      </c>
      <c r="D540" t="s">
        <v>369</v>
      </c>
      <c r="E540" t="s">
        <v>10</v>
      </c>
      <c r="F540" s="330">
        <v>4.42</v>
      </c>
      <c r="G540" s="330">
        <v>4200</v>
      </c>
      <c r="H540" s="310">
        <f t="shared" si="24"/>
        <v>950.22624434389138</v>
      </c>
      <c r="I540" s="311">
        <v>0.4</v>
      </c>
      <c r="J540" s="310">
        <f t="shared" si="25"/>
        <v>2520</v>
      </c>
      <c r="K540" s="310">
        <f t="shared" si="26"/>
        <v>570.13574660633481</v>
      </c>
    </row>
    <row r="541" spans="1:11" x14ac:dyDescent="0.2">
      <c r="A541" t="s">
        <v>364</v>
      </c>
      <c r="B541" t="s">
        <v>81</v>
      </c>
      <c r="C541" t="s">
        <v>367</v>
      </c>
      <c r="D541" t="s">
        <v>369</v>
      </c>
      <c r="E541" t="s">
        <v>10</v>
      </c>
      <c r="F541" s="330">
        <v>4.42</v>
      </c>
      <c r="G541" s="330">
        <v>4200</v>
      </c>
      <c r="H541" s="310">
        <f t="shared" si="24"/>
        <v>950.22624434389138</v>
      </c>
      <c r="I541" s="311">
        <v>0.4</v>
      </c>
      <c r="J541" s="310">
        <f t="shared" si="25"/>
        <v>2520</v>
      </c>
      <c r="K541" s="310">
        <f t="shared" si="26"/>
        <v>570.13574660633481</v>
      </c>
    </row>
    <row r="542" spans="1:11" x14ac:dyDescent="0.2">
      <c r="A542" t="s">
        <v>364</v>
      </c>
      <c r="B542" t="s">
        <v>81</v>
      </c>
      <c r="C542" t="s">
        <v>367</v>
      </c>
      <c r="D542" t="s">
        <v>369</v>
      </c>
      <c r="E542" t="s">
        <v>9</v>
      </c>
      <c r="F542" s="331">
        <v>5.72</v>
      </c>
      <c r="G542" s="330">
        <v>5000</v>
      </c>
      <c r="H542" s="310">
        <f t="shared" si="24"/>
        <v>874.12587412587413</v>
      </c>
      <c r="I542" s="311">
        <v>0.4</v>
      </c>
      <c r="J542" s="310">
        <f t="shared" si="25"/>
        <v>3000</v>
      </c>
      <c r="K542" s="310">
        <f t="shared" si="26"/>
        <v>524.47552447552448</v>
      </c>
    </row>
    <row r="543" spans="1:11" x14ac:dyDescent="0.2">
      <c r="A543" t="s">
        <v>364</v>
      </c>
      <c r="B543" t="s">
        <v>81</v>
      </c>
      <c r="C543" t="s">
        <v>366</v>
      </c>
      <c r="D543" t="s">
        <v>369</v>
      </c>
      <c r="E543" t="s">
        <v>26</v>
      </c>
      <c r="F543" s="331">
        <v>6.15</v>
      </c>
      <c r="G543" s="330">
        <v>7000</v>
      </c>
      <c r="H543" s="310">
        <f t="shared" si="24"/>
        <v>1138.2113821138212</v>
      </c>
      <c r="I543" s="311">
        <v>0.4</v>
      </c>
      <c r="J543" s="310">
        <f t="shared" si="25"/>
        <v>4200</v>
      </c>
      <c r="K543" s="310">
        <f t="shared" si="26"/>
        <v>682.92682926829264</v>
      </c>
    </row>
    <row r="544" spans="1:11" x14ac:dyDescent="0.2">
      <c r="A544" t="s">
        <v>364</v>
      </c>
      <c r="B544" t="s">
        <v>81</v>
      </c>
      <c r="C544" t="s">
        <v>367</v>
      </c>
      <c r="D544" t="s">
        <v>369</v>
      </c>
      <c r="E544" t="s">
        <v>9</v>
      </c>
      <c r="F544" s="331">
        <v>6.8</v>
      </c>
      <c r="G544" s="330">
        <v>6500</v>
      </c>
      <c r="H544" s="310">
        <f t="shared" si="24"/>
        <v>955.88235294117646</v>
      </c>
      <c r="I544" s="311">
        <v>0.4</v>
      </c>
      <c r="J544" s="310">
        <f t="shared" si="25"/>
        <v>3900</v>
      </c>
      <c r="K544" s="310">
        <f t="shared" si="26"/>
        <v>573.52941176470586</v>
      </c>
    </row>
    <row r="545" spans="1:11" x14ac:dyDescent="0.2">
      <c r="A545" t="s">
        <v>364</v>
      </c>
      <c r="B545" t="s">
        <v>81</v>
      </c>
      <c r="C545" t="s">
        <v>367</v>
      </c>
      <c r="D545" t="s">
        <v>369</v>
      </c>
      <c r="E545" t="s">
        <v>9</v>
      </c>
      <c r="F545" s="331">
        <v>8.4</v>
      </c>
      <c r="G545" s="330">
        <v>7200</v>
      </c>
      <c r="H545" s="310">
        <f t="shared" si="24"/>
        <v>857.14285714285711</v>
      </c>
      <c r="I545" s="311">
        <v>0.4</v>
      </c>
      <c r="J545" s="310">
        <f t="shared" si="25"/>
        <v>4320</v>
      </c>
      <c r="K545" s="310">
        <f t="shared" si="26"/>
        <v>514.28571428571422</v>
      </c>
    </row>
    <row r="546" spans="1:11" x14ac:dyDescent="0.2">
      <c r="A546" t="s">
        <v>364</v>
      </c>
      <c r="B546" t="s">
        <v>81</v>
      </c>
      <c r="C546" t="s">
        <v>367</v>
      </c>
      <c r="D546" t="s">
        <v>369</v>
      </c>
      <c r="E546" t="s">
        <v>9</v>
      </c>
      <c r="F546" s="331">
        <v>8.67</v>
      </c>
      <c r="G546" s="330">
        <v>7500</v>
      </c>
      <c r="H546" s="310">
        <f t="shared" si="24"/>
        <v>865.05190311418687</v>
      </c>
      <c r="I546" s="311">
        <v>0.4</v>
      </c>
      <c r="J546" s="310">
        <f t="shared" si="25"/>
        <v>4500</v>
      </c>
      <c r="K546" s="310">
        <f t="shared" si="26"/>
        <v>519.03114186851212</v>
      </c>
    </row>
    <row r="547" spans="1:11" x14ac:dyDescent="0.2">
      <c r="A547" t="s">
        <v>364</v>
      </c>
      <c r="B547" t="s">
        <v>81</v>
      </c>
      <c r="C547" t="s">
        <v>367</v>
      </c>
      <c r="D547" t="s">
        <v>369</v>
      </c>
      <c r="E547" t="s">
        <v>9</v>
      </c>
      <c r="F547" s="331">
        <v>9.66</v>
      </c>
      <c r="G547" s="330">
        <v>9600</v>
      </c>
      <c r="H547" s="310">
        <f t="shared" si="24"/>
        <v>993.78881987577643</v>
      </c>
      <c r="I547" s="311">
        <v>0.4</v>
      </c>
      <c r="J547" s="310">
        <f t="shared" si="25"/>
        <v>5760</v>
      </c>
      <c r="K547" s="310">
        <f t="shared" si="26"/>
        <v>596.27329192546586</v>
      </c>
    </row>
    <row r="548" spans="1:11" x14ac:dyDescent="0.2">
      <c r="A548" t="s">
        <v>364</v>
      </c>
      <c r="B548" t="s">
        <v>81</v>
      </c>
      <c r="C548" t="s">
        <v>367</v>
      </c>
      <c r="D548" t="s">
        <v>369</v>
      </c>
      <c r="E548" t="s">
        <v>9</v>
      </c>
      <c r="F548" s="331">
        <v>10.119999999999999</v>
      </c>
      <c r="G548" s="330">
        <v>9800</v>
      </c>
      <c r="H548" s="310">
        <f t="shared" si="24"/>
        <v>968.37944664031625</v>
      </c>
      <c r="I548" s="311">
        <v>0.4</v>
      </c>
      <c r="J548" s="310">
        <f t="shared" si="25"/>
        <v>5880</v>
      </c>
      <c r="K548" s="310">
        <f t="shared" si="26"/>
        <v>581.02766798418975</v>
      </c>
    </row>
    <row r="549" spans="1:11" x14ac:dyDescent="0.2">
      <c r="A549" t="s">
        <v>364</v>
      </c>
      <c r="B549" t="s">
        <v>81</v>
      </c>
      <c r="C549" t="s">
        <v>367</v>
      </c>
      <c r="D549" t="s">
        <v>369</v>
      </c>
      <c r="E549" t="s">
        <v>9</v>
      </c>
      <c r="F549" s="331">
        <v>10.199999999999999</v>
      </c>
      <c r="G549" s="330">
        <v>9800</v>
      </c>
      <c r="H549" s="310">
        <f t="shared" si="24"/>
        <v>960.78431372549028</v>
      </c>
      <c r="I549" s="311">
        <v>0.4</v>
      </c>
      <c r="J549" s="310">
        <f t="shared" si="25"/>
        <v>5880</v>
      </c>
      <c r="K549" s="310">
        <f t="shared" si="26"/>
        <v>576.47058823529414</v>
      </c>
    </row>
    <row r="550" spans="1:11" x14ac:dyDescent="0.2">
      <c r="A550" t="s">
        <v>364</v>
      </c>
      <c r="B550" t="s">
        <v>81</v>
      </c>
      <c r="C550" t="s">
        <v>367</v>
      </c>
      <c r="D550" t="s">
        <v>369</v>
      </c>
      <c r="E550" t="s">
        <v>9</v>
      </c>
      <c r="F550" s="331">
        <v>10.8</v>
      </c>
      <c r="G550" s="330">
        <v>10000</v>
      </c>
      <c r="H550" s="310">
        <f t="shared" si="24"/>
        <v>925.92592592592587</v>
      </c>
      <c r="I550" s="311">
        <v>0.4</v>
      </c>
      <c r="J550" s="310">
        <f t="shared" si="25"/>
        <v>6000</v>
      </c>
      <c r="K550" s="310">
        <f t="shared" si="26"/>
        <v>555.55555555555554</v>
      </c>
    </row>
    <row r="551" spans="1:11" x14ac:dyDescent="0.2">
      <c r="A551" t="s">
        <v>364</v>
      </c>
      <c r="B551" t="s">
        <v>81</v>
      </c>
      <c r="C551" t="s">
        <v>367</v>
      </c>
      <c r="D551" t="s">
        <v>369</v>
      </c>
      <c r="E551" t="s">
        <v>8</v>
      </c>
      <c r="F551" s="331">
        <v>11.44</v>
      </c>
      <c r="G551" s="330">
        <v>11000</v>
      </c>
      <c r="H551" s="310">
        <f t="shared" si="24"/>
        <v>961.53846153846155</v>
      </c>
      <c r="I551" s="311">
        <v>0.4</v>
      </c>
      <c r="J551" s="310">
        <f t="shared" si="25"/>
        <v>6600</v>
      </c>
      <c r="K551" s="310">
        <f t="shared" si="26"/>
        <v>576.92307692307691</v>
      </c>
    </row>
    <row r="552" spans="1:11" x14ac:dyDescent="0.2">
      <c r="A552" t="s">
        <v>364</v>
      </c>
      <c r="B552" t="s">
        <v>81</v>
      </c>
      <c r="C552" t="s">
        <v>367</v>
      </c>
      <c r="D552" t="s">
        <v>369</v>
      </c>
      <c r="E552" t="s">
        <v>8</v>
      </c>
      <c r="F552" s="331">
        <v>11.44</v>
      </c>
      <c r="G552" s="330">
        <v>11000</v>
      </c>
      <c r="H552" s="310">
        <f t="shared" si="24"/>
        <v>961.53846153846155</v>
      </c>
      <c r="I552" s="311">
        <v>0.4</v>
      </c>
      <c r="J552" s="310">
        <f t="shared" si="25"/>
        <v>6600</v>
      </c>
      <c r="K552" s="310">
        <f t="shared" si="26"/>
        <v>576.92307692307691</v>
      </c>
    </row>
    <row r="553" spans="1:11" x14ac:dyDescent="0.2">
      <c r="A553" t="s">
        <v>364</v>
      </c>
      <c r="B553" t="s">
        <v>81</v>
      </c>
      <c r="C553" t="s">
        <v>366</v>
      </c>
      <c r="D553" t="s">
        <v>369</v>
      </c>
      <c r="E553" t="s">
        <v>25</v>
      </c>
      <c r="F553" s="331">
        <v>12.42</v>
      </c>
      <c r="G553" s="330">
        <v>14200</v>
      </c>
      <c r="H553" s="310">
        <f t="shared" si="24"/>
        <v>1143.3172302737521</v>
      </c>
      <c r="I553" s="311">
        <v>0.4</v>
      </c>
      <c r="J553" s="310">
        <f t="shared" si="25"/>
        <v>8520</v>
      </c>
      <c r="K553" s="310">
        <f t="shared" si="26"/>
        <v>685.99033816425117</v>
      </c>
    </row>
    <row r="554" spans="1:11" x14ac:dyDescent="0.2">
      <c r="A554" t="s">
        <v>364</v>
      </c>
      <c r="B554" t="s">
        <v>81</v>
      </c>
      <c r="C554" t="s">
        <v>366</v>
      </c>
      <c r="D554" t="s">
        <v>369</v>
      </c>
      <c r="E554" t="s">
        <v>25</v>
      </c>
      <c r="F554" s="331">
        <v>12.54</v>
      </c>
      <c r="G554" s="330">
        <v>14200</v>
      </c>
      <c r="H554" s="310">
        <f t="shared" si="24"/>
        <v>1132.3763955342904</v>
      </c>
      <c r="I554" s="311">
        <v>0.4</v>
      </c>
      <c r="J554" s="310">
        <f t="shared" si="25"/>
        <v>8520</v>
      </c>
      <c r="K554" s="310">
        <f t="shared" si="26"/>
        <v>679.42583732057426</v>
      </c>
    </row>
    <row r="555" spans="1:11" x14ac:dyDescent="0.2">
      <c r="A555" t="s">
        <v>364</v>
      </c>
      <c r="B555" t="s">
        <v>81</v>
      </c>
      <c r="C555" t="s">
        <v>366</v>
      </c>
      <c r="D555" t="s">
        <v>369</v>
      </c>
      <c r="E555" t="s">
        <v>25</v>
      </c>
      <c r="F555" s="331">
        <v>12.69</v>
      </c>
      <c r="G555" s="330">
        <v>14200</v>
      </c>
      <c r="H555" s="310">
        <f t="shared" si="24"/>
        <v>1118.9913317572893</v>
      </c>
      <c r="I555" s="311">
        <v>0.4</v>
      </c>
      <c r="J555" s="310">
        <f t="shared" si="25"/>
        <v>8520</v>
      </c>
      <c r="K555" s="310">
        <f t="shared" si="26"/>
        <v>671.39479905437349</v>
      </c>
    </row>
    <row r="556" spans="1:11" x14ac:dyDescent="0.2">
      <c r="A556" t="s">
        <v>364</v>
      </c>
      <c r="B556" t="s">
        <v>81</v>
      </c>
      <c r="C556" t="s">
        <v>366</v>
      </c>
      <c r="D556" t="s">
        <v>369</v>
      </c>
      <c r="E556" t="s">
        <v>25</v>
      </c>
      <c r="F556" s="331">
        <v>13.34</v>
      </c>
      <c r="G556" s="330">
        <v>14800</v>
      </c>
      <c r="H556" s="310">
        <f t="shared" si="24"/>
        <v>1109.4452773613193</v>
      </c>
      <c r="I556" s="311">
        <v>0.4</v>
      </c>
      <c r="J556" s="310">
        <f t="shared" si="25"/>
        <v>8880</v>
      </c>
      <c r="K556" s="310">
        <f t="shared" si="26"/>
        <v>665.66716641679159</v>
      </c>
    </row>
    <row r="557" spans="1:11" x14ac:dyDescent="0.2">
      <c r="A557" t="s">
        <v>364</v>
      </c>
      <c r="B557" t="s">
        <v>81</v>
      </c>
      <c r="C557" t="s">
        <v>366</v>
      </c>
      <c r="D557" t="s">
        <v>369</v>
      </c>
      <c r="E557" t="s">
        <v>25</v>
      </c>
      <c r="F557" s="331">
        <v>14.79</v>
      </c>
      <c r="G557" s="330">
        <v>16000</v>
      </c>
      <c r="H557" s="310">
        <f t="shared" si="24"/>
        <v>1081.8120351588911</v>
      </c>
      <c r="I557" s="311">
        <v>0.4</v>
      </c>
      <c r="J557" s="310">
        <f t="shared" si="25"/>
        <v>9600</v>
      </c>
      <c r="K557" s="310">
        <f t="shared" si="26"/>
        <v>649.08722109533471</v>
      </c>
    </row>
    <row r="558" spans="1:11" x14ac:dyDescent="0.2">
      <c r="A558" t="s">
        <v>364</v>
      </c>
      <c r="B558" t="s">
        <v>81</v>
      </c>
      <c r="C558" t="s">
        <v>367</v>
      </c>
      <c r="D558" t="s">
        <v>369</v>
      </c>
      <c r="E558" t="s">
        <v>8</v>
      </c>
      <c r="F558" s="331">
        <v>14.8</v>
      </c>
      <c r="G558" s="330">
        <v>13800</v>
      </c>
      <c r="H558" s="310">
        <f t="shared" si="24"/>
        <v>932.43243243243239</v>
      </c>
      <c r="I558" s="311">
        <v>0.4</v>
      </c>
      <c r="J558" s="310">
        <f t="shared" si="25"/>
        <v>8280</v>
      </c>
      <c r="K558" s="310">
        <f t="shared" si="26"/>
        <v>559.45945945945948</v>
      </c>
    </row>
    <row r="559" spans="1:11" x14ac:dyDescent="0.2">
      <c r="A559" t="s">
        <v>364</v>
      </c>
      <c r="B559" t="s">
        <v>81</v>
      </c>
      <c r="C559" t="s">
        <v>367</v>
      </c>
      <c r="D559" t="s">
        <v>369</v>
      </c>
      <c r="E559" t="s">
        <v>8</v>
      </c>
      <c r="F559" s="331">
        <v>15.12</v>
      </c>
      <c r="G559" s="330">
        <v>13800</v>
      </c>
      <c r="H559" s="310">
        <f t="shared" si="24"/>
        <v>912.69841269841277</v>
      </c>
      <c r="I559" s="311">
        <v>0.4</v>
      </c>
      <c r="J559" s="310">
        <f t="shared" si="25"/>
        <v>8280</v>
      </c>
      <c r="K559" s="310">
        <f t="shared" si="26"/>
        <v>547.61904761904759</v>
      </c>
    </row>
    <row r="560" spans="1:11" x14ac:dyDescent="0.2">
      <c r="A560" t="s">
        <v>364</v>
      </c>
      <c r="B560" t="s">
        <v>81</v>
      </c>
      <c r="C560" t="s">
        <v>366</v>
      </c>
      <c r="D560" t="s">
        <v>369</v>
      </c>
      <c r="E560" t="s">
        <v>25</v>
      </c>
      <c r="F560" s="331">
        <v>16.100000000000001</v>
      </c>
      <c r="G560" s="330">
        <v>17800</v>
      </c>
      <c r="H560" s="310">
        <f t="shared" si="24"/>
        <v>1105.5900621118012</v>
      </c>
      <c r="I560" s="311">
        <v>0.4</v>
      </c>
      <c r="J560" s="310">
        <f t="shared" si="25"/>
        <v>10680</v>
      </c>
      <c r="K560" s="310">
        <f t="shared" si="26"/>
        <v>663.35403726708068</v>
      </c>
    </row>
    <row r="561" spans="1:11" x14ac:dyDescent="0.2">
      <c r="A561" t="s">
        <v>364</v>
      </c>
      <c r="B561" t="s">
        <v>81</v>
      </c>
      <c r="C561" t="s">
        <v>366</v>
      </c>
      <c r="D561" t="s">
        <v>369</v>
      </c>
      <c r="E561" t="s">
        <v>25</v>
      </c>
      <c r="F561" s="331">
        <v>16.2</v>
      </c>
      <c r="G561" s="330">
        <v>17800</v>
      </c>
      <c r="H561" s="310">
        <f t="shared" si="24"/>
        <v>1098.7654320987656</v>
      </c>
      <c r="I561" s="311">
        <v>0.4</v>
      </c>
      <c r="J561" s="310">
        <f t="shared" si="25"/>
        <v>10680</v>
      </c>
      <c r="K561" s="310">
        <f t="shared" si="26"/>
        <v>659.25925925925924</v>
      </c>
    </row>
    <row r="562" spans="1:11" x14ac:dyDescent="0.2">
      <c r="A562" t="s">
        <v>364</v>
      </c>
      <c r="B562" t="s">
        <v>81</v>
      </c>
      <c r="C562" t="s">
        <v>367</v>
      </c>
      <c r="D562" t="s">
        <v>369</v>
      </c>
      <c r="E562" t="s">
        <v>8</v>
      </c>
      <c r="F562" s="331">
        <v>17.16</v>
      </c>
      <c r="G562" s="330">
        <v>15600</v>
      </c>
      <c r="H562" s="310">
        <f t="shared" si="24"/>
        <v>909.09090909090912</v>
      </c>
      <c r="I562" s="311">
        <v>0.4</v>
      </c>
      <c r="J562" s="310">
        <f t="shared" si="25"/>
        <v>9360</v>
      </c>
      <c r="K562" s="310">
        <f t="shared" si="26"/>
        <v>545.4545454545455</v>
      </c>
    </row>
    <row r="563" spans="1:11" x14ac:dyDescent="0.2">
      <c r="A563" t="s">
        <v>364</v>
      </c>
      <c r="B563" t="s">
        <v>81</v>
      </c>
      <c r="C563" t="s">
        <v>367</v>
      </c>
      <c r="D563" t="s">
        <v>369</v>
      </c>
      <c r="E563" t="s">
        <v>8</v>
      </c>
      <c r="F563" s="331">
        <v>18.36</v>
      </c>
      <c r="G563" s="330">
        <v>16800</v>
      </c>
      <c r="H563" s="310">
        <f t="shared" si="24"/>
        <v>915.03267973856214</v>
      </c>
      <c r="I563" s="311">
        <v>0.4</v>
      </c>
      <c r="J563" s="310">
        <f t="shared" si="25"/>
        <v>10080</v>
      </c>
      <c r="K563" s="310">
        <f t="shared" si="26"/>
        <v>549.01960784313724</v>
      </c>
    </row>
    <row r="564" spans="1:11" x14ac:dyDescent="0.2">
      <c r="A564" t="s">
        <v>364</v>
      </c>
      <c r="B564" t="s">
        <v>81</v>
      </c>
      <c r="C564" t="s">
        <v>366</v>
      </c>
      <c r="D564" t="s">
        <v>369</v>
      </c>
      <c r="E564" t="s">
        <v>25</v>
      </c>
      <c r="F564" s="331">
        <v>18.899999999999999</v>
      </c>
      <c r="G564" s="330">
        <v>20600</v>
      </c>
      <c r="H564" s="310">
        <f t="shared" si="24"/>
        <v>1089.94708994709</v>
      </c>
      <c r="I564" s="311">
        <v>0.4</v>
      </c>
      <c r="J564" s="310">
        <f t="shared" si="25"/>
        <v>12360</v>
      </c>
      <c r="K564" s="310">
        <f t="shared" si="26"/>
        <v>653.96825396825398</v>
      </c>
    </row>
    <row r="565" spans="1:11" x14ac:dyDescent="0.2">
      <c r="A565" t="s">
        <v>364</v>
      </c>
      <c r="B565" t="s">
        <v>81</v>
      </c>
      <c r="C565" t="s">
        <v>366</v>
      </c>
      <c r="D565" t="s">
        <v>369</v>
      </c>
      <c r="E565" t="s">
        <v>25</v>
      </c>
      <c r="F565" s="331">
        <v>19.25</v>
      </c>
      <c r="G565" s="330">
        <v>20600</v>
      </c>
      <c r="H565" s="310">
        <f t="shared" si="24"/>
        <v>1070.1298701298701</v>
      </c>
      <c r="I565" s="311">
        <v>0.4</v>
      </c>
      <c r="J565" s="310">
        <f t="shared" si="25"/>
        <v>12360</v>
      </c>
      <c r="K565" s="310">
        <f t="shared" si="26"/>
        <v>642.07792207792204</v>
      </c>
    </row>
    <row r="566" spans="1:11" x14ac:dyDescent="0.2">
      <c r="A566" t="s">
        <v>364</v>
      </c>
      <c r="B566" t="s">
        <v>81</v>
      </c>
      <c r="C566" t="s">
        <v>367</v>
      </c>
      <c r="D566" t="s">
        <v>369</v>
      </c>
      <c r="E566" t="s">
        <v>8</v>
      </c>
      <c r="F566" s="331">
        <v>19.8</v>
      </c>
      <c r="G566" s="330">
        <v>15700</v>
      </c>
      <c r="H566" s="310">
        <f t="shared" si="24"/>
        <v>792.92929292929296</v>
      </c>
      <c r="I566" s="311">
        <v>0.4</v>
      </c>
      <c r="J566" s="310">
        <f t="shared" si="25"/>
        <v>9420</v>
      </c>
      <c r="K566" s="310">
        <f t="shared" si="26"/>
        <v>475.75757575757575</v>
      </c>
    </row>
    <row r="567" spans="1:11" x14ac:dyDescent="0.2">
      <c r="A567" t="s">
        <v>364</v>
      </c>
      <c r="B567" t="s">
        <v>81</v>
      </c>
      <c r="C567" t="s">
        <v>367</v>
      </c>
      <c r="D567" t="s">
        <v>369</v>
      </c>
      <c r="E567" t="s">
        <v>11</v>
      </c>
      <c r="F567" s="330">
        <v>20.7</v>
      </c>
      <c r="G567" s="330">
        <v>18800</v>
      </c>
      <c r="H567" s="310">
        <f t="shared" si="24"/>
        <v>908.21256038647346</v>
      </c>
      <c r="I567" s="311">
        <v>0.4</v>
      </c>
      <c r="J567" s="310">
        <f t="shared" si="25"/>
        <v>11280</v>
      </c>
      <c r="K567" s="310">
        <f t="shared" si="26"/>
        <v>544.92753623188412</v>
      </c>
    </row>
    <row r="568" spans="1:11" x14ac:dyDescent="0.2">
      <c r="A568" t="s">
        <v>364</v>
      </c>
      <c r="B568" t="s">
        <v>81</v>
      </c>
      <c r="C568" t="s">
        <v>367</v>
      </c>
      <c r="D568" t="s">
        <v>369</v>
      </c>
      <c r="E568" t="s">
        <v>11</v>
      </c>
      <c r="F568" s="330">
        <v>28.62</v>
      </c>
      <c r="G568" s="330">
        <v>27000</v>
      </c>
      <c r="H568" s="310">
        <f t="shared" si="24"/>
        <v>943.39622641509436</v>
      </c>
      <c r="I568" s="311">
        <v>0.4</v>
      </c>
      <c r="J568" s="310">
        <f t="shared" si="25"/>
        <v>16200</v>
      </c>
      <c r="K568" s="310">
        <f t="shared" si="26"/>
        <v>566.03773584905662</v>
      </c>
    </row>
    <row r="569" spans="1:11" x14ac:dyDescent="0.2">
      <c r="A569" t="s">
        <v>364</v>
      </c>
      <c r="B569" t="s">
        <v>87</v>
      </c>
      <c r="C569" t="s">
        <v>366</v>
      </c>
      <c r="D569" t="s">
        <v>120</v>
      </c>
      <c r="E569" t="s">
        <v>19</v>
      </c>
      <c r="F569" s="330">
        <v>0.6</v>
      </c>
      <c r="G569" s="330">
        <v>894.58</v>
      </c>
      <c r="H569" s="310">
        <f t="shared" si="24"/>
        <v>1490.9666666666667</v>
      </c>
      <c r="I569" s="311">
        <v>0.1</v>
      </c>
      <c r="J569" s="310">
        <f t="shared" si="25"/>
        <v>805.12200000000007</v>
      </c>
      <c r="K569" s="310">
        <f t="shared" si="26"/>
        <v>1341.8700000000001</v>
      </c>
    </row>
    <row r="570" spans="1:11" x14ac:dyDescent="0.2">
      <c r="A570" t="s">
        <v>364</v>
      </c>
      <c r="B570" t="s">
        <v>87</v>
      </c>
      <c r="C570" t="s">
        <v>366</v>
      </c>
      <c r="D570" t="s">
        <v>120</v>
      </c>
      <c r="E570" t="s">
        <v>19</v>
      </c>
      <c r="F570" s="330">
        <v>0.6</v>
      </c>
      <c r="G570" s="330">
        <v>1000</v>
      </c>
      <c r="H570" s="310">
        <f t="shared" si="24"/>
        <v>1666.6666666666667</v>
      </c>
      <c r="I570" s="311">
        <v>0.1</v>
      </c>
      <c r="J570" s="310">
        <f t="shared" si="25"/>
        <v>900</v>
      </c>
      <c r="K570" s="310">
        <f t="shared" si="26"/>
        <v>1500</v>
      </c>
    </row>
    <row r="571" spans="1:11" x14ac:dyDescent="0.2">
      <c r="A571" t="s">
        <v>364</v>
      </c>
      <c r="B571" t="s">
        <v>87</v>
      </c>
      <c r="C571" t="s">
        <v>366</v>
      </c>
      <c r="D571" t="s">
        <v>120</v>
      </c>
      <c r="E571" t="s">
        <v>20</v>
      </c>
      <c r="F571" s="330">
        <v>0.6</v>
      </c>
      <c r="G571" s="330">
        <v>801.12</v>
      </c>
      <c r="H571" s="310">
        <f t="shared" si="24"/>
        <v>1335.2</v>
      </c>
      <c r="I571" s="311">
        <v>0.1</v>
      </c>
      <c r="J571" s="310">
        <f t="shared" si="25"/>
        <v>721.00800000000004</v>
      </c>
      <c r="K571" s="310">
        <f t="shared" si="26"/>
        <v>1201.68</v>
      </c>
    </row>
    <row r="572" spans="1:11" x14ac:dyDescent="0.2">
      <c r="A572" t="s">
        <v>364</v>
      </c>
      <c r="B572" t="s">
        <v>87</v>
      </c>
      <c r="C572" t="s">
        <v>366</v>
      </c>
      <c r="D572" t="s">
        <v>120</v>
      </c>
      <c r="E572" t="s">
        <v>20</v>
      </c>
      <c r="F572" s="330">
        <v>0.6</v>
      </c>
      <c r="G572" s="330">
        <v>900</v>
      </c>
      <c r="H572" s="310">
        <f t="shared" si="24"/>
        <v>1500</v>
      </c>
      <c r="I572" s="311">
        <v>0.1</v>
      </c>
      <c r="J572" s="310">
        <f t="shared" si="25"/>
        <v>810</v>
      </c>
      <c r="K572" s="310">
        <f t="shared" si="26"/>
        <v>1350</v>
      </c>
    </row>
    <row r="573" spans="1:11" x14ac:dyDescent="0.2">
      <c r="A573" t="s">
        <v>364</v>
      </c>
      <c r="B573" t="s">
        <v>87</v>
      </c>
      <c r="C573" t="s">
        <v>366</v>
      </c>
      <c r="D573" t="s">
        <v>120</v>
      </c>
      <c r="E573" t="s">
        <v>19</v>
      </c>
      <c r="F573" s="330">
        <v>0.78</v>
      </c>
      <c r="G573" s="330">
        <v>988.04</v>
      </c>
      <c r="H573" s="310">
        <f t="shared" si="24"/>
        <v>1266.7179487179487</v>
      </c>
      <c r="I573" s="311">
        <v>0.1</v>
      </c>
      <c r="J573" s="310">
        <f t="shared" si="25"/>
        <v>889.23599999999999</v>
      </c>
      <c r="K573" s="310">
        <f t="shared" si="26"/>
        <v>1140.0461538461539</v>
      </c>
    </row>
    <row r="574" spans="1:11" x14ac:dyDescent="0.2">
      <c r="A574" t="s">
        <v>364</v>
      </c>
      <c r="B574" t="s">
        <v>87</v>
      </c>
      <c r="C574" t="s">
        <v>366</v>
      </c>
      <c r="D574" t="s">
        <v>120</v>
      </c>
      <c r="E574" t="s">
        <v>20</v>
      </c>
      <c r="F574" s="330">
        <v>0.78</v>
      </c>
      <c r="G574" s="330">
        <v>1000</v>
      </c>
      <c r="H574" s="310">
        <f t="shared" si="24"/>
        <v>1282.051282051282</v>
      </c>
      <c r="I574" s="311">
        <v>0.1</v>
      </c>
      <c r="J574" s="310">
        <f t="shared" si="25"/>
        <v>900</v>
      </c>
      <c r="K574" s="310">
        <f t="shared" si="26"/>
        <v>1153.8461538461538</v>
      </c>
    </row>
    <row r="575" spans="1:11" x14ac:dyDescent="0.2">
      <c r="A575" t="s">
        <v>364</v>
      </c>
      <c r="B575" t="s">
        <v>87</v>
      </c>
      <c r="C575" t="s">
        <v>366</v>
      </c>
      <c r="D575" t="s">
        <v>369</v>
      </c>
      <c r="E575" t="s">
        <v>31</v>
      </c>
      <c r="F575" s="330">
        <v>0.99</v>
      </c>
      <c r="G575" s="330">
        <v>1600</v>
      </c>
      <c r="H575" s="310">
        <f t="shared" si="24"/>
        <v>1616.1616161616162</v>
      </c>
      <c r="I575" s="311">
        <v>0.3</v>
      </c>
      <c r="J575" s="310">
        <f t="shared" si="25"/>
        <v>1120</v>
      </c>
      <c r="K575" s="310">
        <f t="shared" si="26"/>
        <v>1131.3131313131314</v>
      </c>
    </row>
    <row r="576" spans="1:11" x14ac:dyDescent="0.2">
      <c r="A576" t="s">
        <v>364</v>
      </c>
      <c r="B576" t="s">
        <v>87</v>
      </c>
      <c r="C576" t="s">
        <v>366</v>
      </c>
      <c r="D576" t="s">
        <v>369</v>
      </c>
      <c r="E576" t="s">
        <v>31</v>
      </c>
      <c r="F576" s="330">
        <v>0.99</v>
      </c>
      <c r="G576" s="330">
        <v>1800</v>
      </c>
      <c r="H576" s="310">
        <f t="shared" si="24"/>
        <v>1818.1818181818182</v>
      </c>
      <c r="I576" s="311">
        <v>0.3</v>
      </c>
      <c r="J576" s="310">
        <f t="shared" si="25"/>
        <v>1260</v>
      </c>
      <c r="K576" s="310">
        <f t="shared" si="26"/>
        <v>1272.7272727272727</v>
      </c>
    </row>
    <row r="577" spans="1:11" x14ac:dyDescent="0.2">
      <c r="A577" t="s">
        <v>364</v>
      </c>
      <c r="B577" t="s">
        <v>87</v>
      </c>
      <c r="C577" t="s">
        <v>366</v>
      </c>
      <c r="D577" t="s">
        <v>369</v>
      </c>
      <c r="E577" t="s">
        <v>31</v>
      </c>
      <c r="F577" s="330">
        <v>1</v>
      </c>
      <c r="G577" s="330">
        <v>1600</v>
      </c>
      <c r="H577" s="310">
        <f t="shared" si="24"/>
        <v>1600</v>
      </c>
      <c r="I577" s="311">
        <v>0.3</v>
      </c>
      <c r="J577" s="310">
        <f t="shared" si="25"/>
        <v>1120</v>
      </c>
      <c r="K577" s="310">
        <f t="shared" si="26"/>
        <v>1120</v>
      </c>
    </row>
    <row r="578" spans="1:11" x14ac:dyDescent="0.2">
      <c r="A578" t="s">
        <v>364</v>
      </c>
      <c r="B578" t="s">
        <v>87</v>
      </c>
      <c r="C578" t="s">
        <v>366</v>
      </c>
      <c r="D578" t="s">
        <v>120</v>
      </c>
      <c r="E578" t="s">
        <v>17</v>
      </c>
      <c r="F578" s="330">
        <v>1.02</v>
      </c>
      <c r="G578" s="330">
        <v>1081.5</v>
      </c>
      <c r="H578" s="310">
        <f t="shared" ref="H578:H641" si="27">G578/F578</f>
        <v>1060.2941176470588</v>
      </c>
      <c r="I578" s="311">
        <v>0.3</v>
      </c>
      <c r="J578" s="310">
        <f t="shared" ref="J578:J641" si="28">G578*(1-I578)</f>
        <v>757.05</v>
      </c>
      <c r="K578" s="310">
        <f t="shared" ref="K578:K641" si="29">J578/F578</f>
        <v>742.2058823529411</v>
      </c>
    </row>
    <row r="579" spans="1:11" x14ac:dyDescent="0.2">
      <c r="A579" t="s">
        <v>364</v>
      </c>
      <c r="B579" t="s">
        <v>87</v>
      </c>
      <c r="C579" t="s">
        <v>366</v>
      </c>
      <c r="D579" t="s">
        <v>120</v>
      </c>
      <c r="E579" t="s">
        <v>17</v>
      </c>
      <c r="F579" s="330">
        <v>1.02</v>
      </c>
      <c r="G579" s="330">
        <v>1200</v>
      </c>
      <c r="H579" s="310">
        <f t="shared" si="27"/>
        <v>1176.4705882352941</v>
      </c>
      <c r="I579" s="311">
        <v>0.3</v>
      </c>
      <c r="J579" s="310">
        <f t="shared" si="28"/>
        <v>840</v>
      </c>
      <c r="K579" s="310">
        <f t="shared" si="29"/>
        <v>823.52941176470586</v>
      </c>
    </row>
    <row r="580" spans="1:11" x14ac:dyDescent="0.2">
      <c r="A580" t="s">
        <v>364</v>
      </c>
      <c r="B580" t="s">
        <v>87</v>
      </c>
      <c r="C580" t="s">
        <v>366</v>
      </c>
      <c r="D580" t="s">
        <v>120</v>
      </c>
      <c r="E580" t="s">
        <v>18</v>
      </c>
      <c r="F580" s="330">
        <v>1.02</v>
      </c>
      <c r="G580" s="330">
        <v>988.04</v>
      </c>
      <c r="H580" s="310">
        <f t="shared" si="27"/>
        <v>968.66666666666663</v>
      </c>
      <c r="I580" s="311">
        <v>0.3</v>
      </c>
      <c r="J580" s="310">
        <f t="shared" si="28"/>
        <v>691.62799999999993</v>
      </c>
      <c r="K580" s="310">
        <f t="shared" si="29"/>
        <v>678.06666666666661</v>
      </c>
    </row>
    <row r="581" spans="1:11" x14ac:dyDescent="0.2">
      <c r="A581" t="s">
        <v>364</v>
      </c>
      <c r="B581" t="s">
        <v>87</v>
      </c>
      <c r="C581" t="s">
        <v>366</v>
      </c>
      <c r="D581" t="s">
        <v>369</v>
      </c>
      <c r="E581" t="s">
        <v>31</v>
      </c>
      <c r="F581" s="330">
        <v>1.44</v>
      </c>
      <c r="G581" s="330">
        <v>2400</v>
      </c>
      <c r="H581" s="310">
        <f t="shared" si="27"/>
        <v>1666.6666666666667</v>
      </c>
      <c r="I581" s="311">
        <v>0.3</v>
      </c>
      <c r="J581" s="310">
        <f t="shared" si="28"/>
        <v>1680</v>
      </c>
      <c r="K581" s="310">
        <f t="shared" si="29"/>
        <v>1166.6666666666667</v>
      </c>
    </row>
    <row r="582" spans="1:11" x14ac:dyDescent="0.2">
      <c r="A582" t="s">
        <v>364</v>
      </c>
      <c r="B582" t="s">
        <v>87</v>
      </c>
      <c r="C582" t="s">
        <v>366</v>
      </c>
      <c r="D582" t="s">
        <v>369</v>
      </c>
      <c r="E582" t="s">
        <v>29</v>
      </c>
      <c r="F582" s="330">
        <v>1.5</v>
      </c>
      <c r="G582" s="330">
        <v>2400</v>
      </c>
      <c r="H582" s="310">
        <f t="shared" si="27"/>
        <v>1600</v>
      </c>
      <c r="I582" s="311">
        <v>0.3</v>
      </c>
      <c r="J582" s="310">
        <f t="shared" si="28"/>
        <v>1680</v>
      </c>
      <c r="K582" s="310">
        <f t="shared" si="29"/>
        <v>1120</v>
      </c>
    </row>
    <row r="583" spans="1:11" x14ac:dyDescent="0.2">
      <c r="A583" t="s">
        <v>364</v>
      </c>
      <c r="B583" t="s">
        <v>87</v>
      </c>
      <c r="C583" t="s">
        <v>366</v>
      </c>
      <c r="D583" t="s">
        <v>369</v>
      </c>
      <c r="E583" t="s">
        <v>29</v>
      </c>
      <c r="F583" s="330">
        <v>1.8</v>
      </c>
      <c r="G583" s="330">
        <v>3100</v>
      </c>
      <c r="H583" s="310">
        <f t="shared" si="27"/>
        <v>1722.2222222222222</v>
      </c>
      <c r="I583" s="311">
        <v>0.3</v>
      </c>
      <c r="J583" s="310">
        <f t="shared" si="28"/>
        <v>2170</v>
      </c>
      <c r="K583" s="310">
        <f t="shared" si="29"/>
        <v>1205.5555555555554</v>
      </c>
    </row>
    <row r="584" spans="1:11" x14ac:dyDescent="0.2">
      <c r="A584" t="s">
        <v>364</v>
      </c>
      <c r="B584" t="s">
        <v>87</v>
      </c>
      <c r="C584" t="s">
        <v>366</v>
      </c>
      <c r="D584" t="s">
        <v>369</v>
      </c>
      <c r="E584" t="s">
        <v>29</v>
      </c>
      <c r="F584" s="330">
        <v>1.8</v>
      </c>
      <c r="G584" s="330">
        <v>3100</v>
      </c>
      <c r="H584" s="310">
        <f t="shared" si="27"/>
        <v>1722.2222222222222</v>
      </c>
      <c r="I584" s="311">
        <v>0.3</v>
      </c>
      <c r="J584" s="310">
        <f t="shared" si="28"/>
        <v>2170</v>
      </c>
      <c r="K584" s="310">
        <f t="shared" si="29"/>
        <v>1205.5555555555554</v>
      </c>
    </row>
    <row r="585" spans="1:11" x14ac:dyDescent="0.2">
      <c r="A585" t="s">
        <v>364</v>
      </c>
      <c r="B585" t="s">
        <v>87</v>
      </c>
      <c r="C585" t="s">
        <v>366</v>
      </c>
      <c r="D585" t="s">
        <v>369</v>
      </c>
      <c r="E585" t="s">
        <v>27</v>
      </c>
      <c r="F585" s="330">
        <v>1.82</v>
      </c>
      <c r="G585" s="330">
        <v>3100</v>
      </c>
      <c r="H585" s="310">
        <f t="shared" si="27"/>
        <v>1703.2967032967033</v>
      </c>
      <c r="I585" s="311">
        <v>0.3</v>
      </c>
      <c r="J585" s="310">
        <f t="shared" si="28"/>
        <v>2170</v>
      </c>
      <c r="K585" s="310">
        <f t="shared" si="29"/>
        <v>1192.3076923076924</v>
      </c>
    </row>
    <row r="586" spans="1:11" x14ac:dyDescent="0.2">
      <c r="A586" t="s">
        <v>364</v>
      </c>
      <c r="B586" t="s">
        <v>87</v>
      </c>
      <c r="C586" t="s">
        <v>366</v>
      </c>
      <c r="D586" t="s">
        <v>369</v>
      </c>
      <c r="E586" t="s">
        <v>29</v>
      </c>
      <c r="F586" s="330">
        <v>1.9</v>
      </c>
      <c r="G586" s="330">
        <v>3100</v>
      </c>
      <c r="H586" s="310">
        <f t="shared" si="27"/>
        <v>1631.578947368421</v>
      </c>
      <c r="I586" s="311">
        <v>0.3</v>
      </c>
      <c r="J586" s="310">
        <f t="shared" si="28"/>
        <v>2170</v>
      </c>
      <c r="K586" s="310">
        <f t="shared" si="29"/>
        <v>1142.1052631578948</v>
      </c>
    </row>
    <row r="587" spans="1:11" x14ac:dyDescent="0.2">
      <c r="A587" t="s">
        <v>364</v>
      </c>
      <c r="B587" t="s">
        <v>87</v>
      </c>
      <c r="C587" t="s">
        <v>366</v>
      </c>
      <c r="D587" t="s">
        <v>369</v>
      </c>
      <c r="E587" t="s">
        <v>29</v>
      </c>
      <c r="F587" s="330">
        <v>1.98</v>
      </c>
      <c r="G587" s="330">
        <v>3100</v>
      </c>
      <c r="H587" s="310">
        <f t="shared" si="27"/>
        <v>1565.6565656565656</v>
      </c>
      <c r="I587" s="311">
        <v>0.3</v>
      </c>
      <c r="J587" s="310">
        <f t="shared" si="28"/>
        <v>2170</v>
      </c>
      <c r="K587" s="310">
        <f t="shared" si="29"/>
        <v>1095.9595959595961</v>
      </c>
    </row>
    <row r="588" spans="1:11" x14ac:dyDescent="0.2">
      <c r="A588" t="s">
        <v>364</v>
      </c>
      <c r="B588" t="s">
        <v>87</v>
      </c>
      <c r="C588" t="s">
        <v>366</v>
      </c>
      <c r="D588" t="s">
        <v>369</v>
      </c>
      <c r="E588" t="s">
        <v>29</v>
      </c>
      <c r="F588" s="330">
        <v>1.98</v>
      </c>
      <c r="G588" s="330">
        <v>3100</v>
      </c>
      <c r="H588" s="310">
        <f t="shared" si="27"/>
        <v>1565.6565656565656</v>
      </c>
      <c r="I588" s="311">
        <v>0.3</v>
      </c>
      <c r="J588" s="310">
        <f t="shared" si="28"/>
        <v>2170</v>
      </c>
      <c r="K588" s="310">
        <f t="shared" si="29"/>
        <v>1095.9595959595961</v>
      </c>
    </row>
    <row r="589" spans="1:11" x14ac:dyDescent="0.2">
      <c r="A589" t="s">
        <v>364</v>
      </c>
      <c r="B589" t="s">
        <v>87</v>
      </c>
      <c r="C589" t="s">
        <v>366</v>
      </c>
      <c r="D589" t="s">
        <v>369</v>
      </c>
      <c r="E589" t="s">
        <v>29</v>
      </c>
      <c r="F589" s="330">
        <v>2</v>
      </c>
      <c r="G589" s="330">
        <v>3100</v>
      </c>
      <c r="H589" s="310">
        <f t="shared" si="27"/>
        <v>1550</v>
      </c>
      <c r="I589" s="311">
        <v>0.3</v>
      </c>
      <c r="J589" s="310">
        <f t="shared" si="28"/>
        <v>2170</v>
      </c>
      <c r="K589" s="310">
        <f t="shared" si="29"/>
        <v>1085</v>
      </c>
    </row>
    <row r="590" spans="1:11" x14ac:dyDescent="0.2">
      <c r="A590" t="s">
        <v>364</v>
      </c>
      <c r="B590" t="s">
        <v>87</v>
      </c>
      <c r="C590" t="s">
        <v>366</v>
      </c>
      <c r="D590" t="s">
        <v>369</v>
      </c>
      <c r="E590" t="s">
        <v>29</v>
      </c>
      <c r="F590" s="330">
        <v>2</v>
      </c>
      <c r="G590" s="330">
        <v>3100</v>
      </c>
      <c r="H590" s="310">
        <f t="shared" si="27"/>
        <v>1550</v>
      </c>
      <c r="I590" s="311">
        <v>0.3</v>
      </c>
      <c r="J590" s="310">
        <f t="shared" si="28"/>
        <v>2170</v>
      </c>
      <c r="K590" s="310">
        <f t="shared" si="29"/>
        <v>1085</v>
      </c>
    </row>
    <row r="591" spans="1:11" x14ac:dyDescent="0.2">
      <c r="A591" t="s">
        <v>364</v>
      </c>
      <c r="B591" t="s">
        <v>87</v>
      </c>
      <c r="C591" t="s">
        <v>366</v>
      </c>
      <c r="D591" t="s">
        <v>369</v>
      </c>
      <c r="E591" t="s">
        <v>29</v>
      </c>
      <c r="F591" s="330">
        <v>2.1</v>
      </c>
      <c r="G591" s="330">
        <v>3300</v>
      </c>
      <c r="H591" s="310">
        <f t="shared" si="27"/>
        <v>1571.4285714285713</v>
      </c>
      <c r="I591" s="311">
        <v>0.3</v>
      </c>
      <c r="J591" s="310">
        <f t="shared" si="28"/>
        <v>2310</v>
      </c>
      <c r="K591" s="310">
        <f t="shared" si="29"/>
        <v>1100</v>
      </c>
    </row>
    <row r="592" spans="1:11" x14ac:dyDescent="0.2">
      <c r="A592" t="s">
        <v>364</v>
      </c>
      <c r="B592" t="s">
        <v>87</v>
      </c>
      <c r="C592" t="s">
        <v>366</v>
      </c>
      <c r="D592" t="s">
        <v>369</v>
      </c>
      <c r="E592" t="s">
        <v>29</v>
      </c>
      <c r="F592" s="330">
        <v>2.16</v>
      </c>
      <c r="G592" s="330">
        <v>3400</v>
      </c>
      <c r="H592" s="310">
        <f t="shared" si="27"/>
        <v>1574.0740740740739</v>
      </c>
      <c r="I592" s="311">
        <v>0.3</v>
      </c>
      <c r="J592" s="310">
        <f t="shared" si="28"/>
        <v>2380</v>
      </c>
      <c r="K592" s="310">
        <f t="shared" si="29"/>
        <v>1101.8518518518517</v>
      </c>
    </row>
    <row r="593" spans="1:11" x14ac:dyDescent="0.2">
      <c r="A593" t="s">
        <v>364</v>
      </c>
      <c r="B593" t="s">
        <v>87</v>
      </c>
      <c r="C593" t="s">
        <v>366</v>
      </c>
      <c r="D593" t="s">
        <v>369</v>
      </c>
      <c r="E593" t="s">
        <v>29</v>
      </c>
      <c r="F593" s="330">
        <v>2.21</v>
      </c>
      <c r="G593" s="330">
        <v>3400</v>
      </c>
      <c r="H593" s="310">
        <f t="shared" si="27"/>
        <v>1538.4615384615386</v>
      </c>
      <c r="I593" s="311">
        <v>0.3</v>
      </c>
      <c r="J593" s="310">
        <f t="shared" si="28"/>
        <v>2380</v>
      </c>
      <c r="K593" s="310">
        <f t="shared" si="29"/>
        <v>1076.9230769230769</v>
      </c>
    </row>
    <row r="594" spans="1:11" x14ac:dyDescent="0.2">
      <c r="A594" t="s">
        <v>364</v>
      </c>
      <c r="B594" t="s">
        <v>87</v>
      </c>
      <c r="C594" t="s">
        <v>366</v>
      </c>
      <c r="D594" t="s">
        <v>369</v>
      </c>
      <c r="E594" t="s">
        <v>29</v>
      </c>
      <c r="F594" s="330">
        <v>2.25</v>
      </c>
      <c r="G594" s="330">
        <v>3400</v>
      </c>
      <c r="H594" s="310">
        <f t="shared" si="27"/>
        <v>1511.1111111111111</v>
      </c>
      <c r="I594" s="311">
        <v>0.3</v>
      </c>
      <c r="J594" s="310">
        <f t="shared" si="28"/>
        <v>2380</v>
      </c>
      <c r="K594" s="310">
        <f t="shared" si="29"/>
        <v>1057.7777777777778</v>
      </c>
    </row>
    <row r="595" spans="1:11" x14ac:dyDescent="0.2">
      <c r="A595" t="s">
        <v>364</v>
      </c>
      <c r="B595" t="s">
        <v>87</v>
      </c>
      <c r="C595" t="s">
        <v>366</v>
      </c>
      <c r="D595" t="s">
        <v>369</v>
      </c>
      <c r="E595" t="s">
        <v>29</v>
      </c>
      <c r="F595" s="330">
        <v>2.34</v>
      </c>
      <c r="G595" s="330">
        <v>3400</v>
      </c>
      <c r="H595" s="310">
        <f t="shared" si="27"/>
        <v>1452.9914529914531</v>
      </c>
      <c r="I595" s="311">
        <v>0.3</v>
      </c>
      <c r="J595" s="310">
        <f t="shared" si="28"/>
        <v>2380</v>
      </c>
      <c r="K595" s="310">
        <f t="shared" si="29"/>
        <v>1017.0940170940172</v>
      </c>
    </row>
    <row r="596" spans="1:11" x14ac:dyDescent="0.2">
      <c r="A596" t="s">
        <v>364</v>
      </c>
      <c r="B596" t="s">
        <v>87</v>
      </c>
      <c r="C596" t="s">
        <v>366</v>
      </c>
      <c r="D596" t="s">
        <v>369</v>
      </c>
      <c r="E596" t="s">
        <v>27</v>
      </c>
      <c r="F596" s="330">
        <v>2.52</v>
      </c>
      <c r="G596" s="330">
        <v>3800</v>
      </c>
      <c r="H596" s="310">
        <f t="shared" si="27"/>
        <v>1507.936507936508</v>
      </c>
      <c r="I596" s="311">
        <v>0.3</v>
      </c>
      <c r="J596" s="310">
        <f t="shared" si="28"/>
        <v>2660</v>
      </c>
      <c r="K596" s="310">
        <f t="shared" si="29"/>
        <v>1055.5555555555557</v>
      </c>
    </row>
    <row r="597" spans="1:11" x14ac:dyDescent="0.2">
      <c r="A597" t="s">
        <v>364</v>
      </c>
      <c r="B597" t="s">
        <v>87</v>
      </c>
      <c r="C597" t="s">
        <v>366</v>
      </c>
      <c r="D597" t="s">
        <v>369</v>
      </c>
      <c r="E597" t="s">
        <v>27</v>
      </c>
      <c r="F597" s="330">
        <v>2.5499999999999998</v>
      </c>
      <c r="G597" s="330">
        <v>3900</v>
      </c>
      <c r="H597" s="310">
        <f t="shared" si="27"/>
        <v>1529.4117647058824</v>
      </c>
      <c r="I597" s="311">
        <v>0.3</v>
      </c>
      <c r="J597" s="310">
        <f t="shared" si="28"/>
        <v>2730</v>
      </c>
      <c r="K597" s="310">
        <f t="shared" si="29"/>
        <v>1070.5882352941178</v>
      </c>
    </row>
    <row r="598" spans="1:11" x14ac:dyDescent="0.2">
      <c r="A598" t="s">
        <v>364</v>
      </c>
      <c r="B598" t="s">
        <v>87</v>
      </c>
      <c r="C598" t="s">
        <v>366</v>
      </c>
      <c r="D598" t="s">
        <v>369</v>
      </c>
      <c r="E598" t="s">
        <v>27</v>
      </c>
      <c r="F598" s="330">
        <v>2.7</v>
      </c>
      <c r="G598" s="330">
        <v>4100</v>
      </c>
      <c r="H598" s="310">
        <f t="shared" si="27"/>
        <v>1518.5185185185185</v>
      </c>
      <c r="I598" s="311">
        <v>0.3</v>
      </c>
      <c r="J598" s="310">
        <f t="shared" si="28"/>
        <v>2870</v>
      </c>
      <c r="K598" s="310">
        <f t="shared" si="29"/>
        <v>1062.9629629629628</v>
      </c>
    </row>
    <row r="599" spans="1:11" x14ac:dyDescent="0.2">
      <c r="A599" t="s">
        <v>364</v>
      </c>
      <c r="B599" t="s">
        <v>87</v>
      </c>
      <c r="C599" t="s">
        <v>366</v>
      </c>
      <c r="D599" t="s">
        <v>369</v>
      </c>
      <c r="E599" t="s">
        <v>27</v>
      </c>
      <c r="F599" s="330">
        <v>2.8</v>
      </c>
      <c r="G599" s="330">
        <v>4200</v>
      </c>
      <c r="H599" s="310">
        <f t="shared" si="27"/>
        <v>1500</v>
      </c>
      <c r="I599" s="311">
        <v>0.3</v>
      </c>
      <c r="J599" s="310">
        <f t="shared" si="28"/>
        <v>2940</v>
      </c>
      <c r="K599" s="310">
        <f t="shared" si="29"/>
        <v>1050</v>
      </c>
    </row>
    <row r="600" spans="1:11" x14ac:dyDescent="0.2">
      <c r="A600" t="s">
        <v>364</v>
      </c>
      <c r="B600" t="s">
        <v>87</v>
      </c>
      <c r="C600" t="s">
        <v>366</v>
      </c>
      <c r="D600" t="s">
        <v>369</v>
      </c>
      <c r="E600" t="s">
        <v>27</v>
      </c>
      <c r="F600" s="330">
        <v>2.88</v>
      </c>
      <c r="G600" s="330">
        <v>4300</v>
      </c>
      <c r="H600" s="310">
        <f t="shared" si="27"/>
        <v>1493.0555555555557</v>
      </c>
      <c r="I600" s="311">
        <v>0.3</v>
      </c>
      <c r="J600" s="310">
        <f t="shared" si="28"/>
        <v>3010</v>
      </c>
      <c r="K600" s="310">
        <f t="shared" si="29"/>
        <v>1045.1388888888889</v>
      </c>
    </row>
    <row r="601" spans="1:11" x14ac:dyDescent="0.2">
      <c r="A601" t="s">
        <v>364</v>
      </c>
      <c r="B601" t="s">
        <v>87</v>
      </c>
      <c r="C601" t="s">
        <v>366</v>
      </c>
      <c r="D601" t="s">
        <v>369</v>
      </c>
      <c r="E601" t="s">
        <v>27</v>
      </c>
      <c r="F601" s="330">
        <v>2.94</v>
      </c>
      <c r="G601" s="330">
        <v>4300</v>
      </c>
      <c r="H601" s="310">
        <f t="shared" si="27"/>
        <v>1462.5850340136055</v>
      </c>
      <c r="I601" s="311">
        <v>0.3</v>
      </c>
      <c r="J601" s="310">
        <f t="shared" si="28"/>
        <v>3010</v>
      </c>
      <c r="K601" s="310">
        <f t="shared" si="29"/>
        <v>1023.8095238095239</v>
      </c>
    </row>
    <row r="602" spans="1:11" x14ac:dyDescent="0.2">
      <c r="A602" t="s">
        <v>364</v>
      </c>
      <c r="B602" t="s">
        <v>87</v>
      </c>
      <c r="C602" t="s">
        <v>366</v>
      </c>
      <c r="D602" t="s">
        <v>369</v>
      </c>
      <c r="E602" t="s">
        <v>27</v>
      </c>
      <c r="F602" s="330">
        <v>2.99</v>
      </c>
      <c r="G602" s="330">
        <v>4300</v>
      </c>
      <c r="H602" s="310">
        <f t="shared" si="27"/>
        <v>1438.1270903010031</v>
      </c>
      <c r="I602" s="311">
        <v>0.3</v>
      </c>
      <c r="J602" s="310">
        <f t="shared" si="28"/>
        <v>3010</v>
      </c>
      <c r="K602" s="310">
        <f t="shared" si="29"/>
        <v>1006.6889632107022</v>
      </c>
    </row>
    <row r="603" spans="1:11" x14ac:dyDescent="0.2">
      <c r="A603" t="s">
        <v>364</v>
      </c>
      <c r="B603" t="s">
        <v>87</v>
      </c>
      <c r="C603" t="s">
        <v>366</v>
      </c>
      <c r="D603" t="s">
        <v>369</v>
      </c>
      <c r="E603" t="s">
        <v>27</v>
      </c>
      <c r="F603" s="330">
        <v>2.99</v>
      </c>
      <c r="G603" s="330">
        <v>4300</v>
      </c>
      <c r="H603" s="310">
        <f t="shared" si="27"/>
        <v>1438.1270903010031</v>
      </c>
      <c r="I603" s="311">
        <v>0.3</v>
      </c>
      <c r="J603" s="310">
        <f t="shared" si="28"/>
        <v>3010</v>
      </c>
      <c r="K603" s="310">
        <f t="shared" si="29"/>
        <v>1006.6889632107022</v>
      </c>
    </row>
    <row r="604" spans="1:11" x14ac:dyDescent="0.2">
      <c r="A604" t="s">
        <v>364</v>
      </c>
      <c r="B604" t="s">
        <v>87</v>
      </c>
      <c r="C604" t="s">
        <v>366</v>
      </c>
      <c r="D604" t="s">
        <v>369</v>
      </c>
      <c r="E604" t="s">
        <v>27</v>
      </c>
      <c r="F604" s="330">
        <v>3</v>
      </c>
      <c r="G604" s="330">
        <v>4300</v>
      </c>
      <c r="H604" s="310">
        <f t="shared" si="27"/>
        <v>1433.3333333333333</v>
      </c>
      <c r="I604" s="311">
        <v>0.3</v>
      </c>
      <c r="J604" s="310">
        <f t="shared" si="28"/>
        <v>3010</v>
      </c>
      <c r="K604" s="310">
        <f t="shared" si="29"/>
        <v>1003.3333333333334</v>
      </c>
    </row>
    <row r="605" spans="1:11" x14ac:dyDescent="0.2">
      <c r="A605" t="s">
        <v>364</v>
      </c>
      <c r="B605" t="s">
        <v>87</v>
      </c>
      <c r="C605" t="s">
        <v>366</v>
      </c>
      <c r="D605" t="s">
        <v>369</v>
      </c>
      <c r="E605" t="s">
        <v>27</v>
      </c>
      <c r="F605" s="330">
        <v>3</v>
      </c>
      <c r="G605" s="330">
        <v>4300</v>
      </c>
      <c r="H605" s="310">
        <f t="shared" si="27"/>
        <v>1433.3333333333333</v>
      </c>
      <c r="I605" s="311">
        <v>0.3</v>
      </c>
      <c r="J605" s="310">
        <f t="shared" si="28"/>
        <v>3010</v>
      </c>
      <c r="K605" s="310">
        <f t="shared" si="29"/>
        <v>1003.3333333333334</v>
      </c>
    </row>
    <row r="606" spans="1:11" x14ac:dyDescent="0.2">
      <c r="A606" t="s">
        <v>364</v>
      </c>
      <c r="B606" t="s">
        <v>87</v>
      </c>
      <c r="C606" t="s">
        <v>366</v>
      </c>
      <c r="D606" t="s">
        <v>369</v>
      </c>
      <c r="E606" t="s">
        <v>27</v>
      </c>
      <c r="F606" s="330">
        <v>3.06</v>
      </c>
      <c r="G606" s="330">
        <v>4400</v>
      </c>
      <c r="H606" s="310">
        <f t="shared" si="27"/>
        <v>1437.9084967320262</v>
      </c>
      <c r="I606" s="311">
        <v>0.3</v>
      </c>
      <c r="J606" s="310">
        <f t="shared" si="28"/>
        <v>3080</v>
      </c>
      <c r="K606" s="310">
        <f t="shared" si="29"/>
        <v>1006.5359477124183</v>
      </c>
    </row>
    <row r="607" spans="1:11" x14ac:dyDescent="0.2">
      <c r="A607" t="s">
        <v>364</v>
      </c>
      <c r="B607" t="s">
        <v>87</v>
      </c>
      <c r="C607" t="s">
        <v>366</v>
      </c>
      <c r="D607" t="s">
        <v>369</v>
      </c>
      <c r="E607" t="s">
        <v>27</v>
      </c>
      <c r="F607" s="330">
        <v>3.06</v>
      </c>
      <c r="G607" s="330">
        <v>4400</v>
      </c>
      <c r="H607" s="310">
        <f t="shared" si="27"/>
        <v>1437.9084967320262</v>
      </c>
      <c r="I607" s="311">
        <v>0.3</v>
      </c>
      <c r="J607" s="310">
        <f t="shared" si="28"/>
        <v>3080</v>
      </c>
      <c r="K607" s="310">
        <f t="shared" si="29"/>
        <v>1006.5359477124183</v>
      </c>
    </row>
    <row r="608" spans="1:11" x14ac:dyDescent="0.2">
      <c r="A608" t="s">
        <v>364</v>
      </c>
      <c r="B608" t="s">
        <v>87</v>
      </c>
      <c r="C608" t="s">
        <v>366</v>
      </c>
      <c r="D608" t="s">
        <v>369</v>
      </c>
      <c r="E608" t="s">
        <v>27</v>
      </c>
      <c r="F608" s="330">
        <v>3.25</v>
      </c>
      <c r="G608" s="330">
        <v>4500</v>
      </c>
      <c r="H608" s="310">
        <f t="shared" si="27"/>
        <v>1384.6153846153845</v>
      </c>
      <c r="I608" s="311">
        <v>0.3</v>
      </c>
      <c r="J608" s="310">
        <f t="shared" si="28"/>
        <v>3150</v>
      </c>
      <c r="K608" s="310">
        <f t="shared" si="29"/>
        <v>969.23076923076928</v>
      </c>
    </row>
    <row r="609" spans="1:11" x14ac:dyDescent="0.2">
      <c r="A609" t="s">
        <v>364</v>
      </c>
      <c r="B609" t="s">
        <v>87</v>
      </c>
      <c r="C609" t="s">
        <v>366</v>
      </c>
      <c r="D609" t="s">
        <v>369</v>
      </c>
      <c r="E609" t="s">
        <v>27</v>
      </c>
      <c r="F609" s="330">
        <v>3.9</v>
      </c>
      <c r="G609" s="330">
        <v>5500</v>
      </c>
      <c r="H609" s="310">
        <f t="shared" si="27"/>
        <v>1410.2564102564104</v>
      </c>
      <c r="I609" s="311">
        <v>0.3</v>
      </c>
      <c r="J609" s="310">
        <f t="shared" si="28"/>
        <v>3849.9999999999995</v>
      </c>
      <c r="K609" s="310">
        <f t="shared" si="29"/>
        <v>987.17948717948707</v>
      </c>
    </row>
    <row r="610" spans="1:11" x14ac:dyDescent="0.2">
      <c r="A610" t="s">
        <v>364</v>
      </c>
      <c r="B610" t="s">
        <v>87</v>
      </c>
      <c r="C610" t="s">
        <v>366</v>
      </c>
      <c r="D610" t="s">
        <v>369</v>
      </c>
      <c r="E610" t="s">
        <v>27</v>
      </c>
      <c r="F610" s="330">
        <v>4</v>
      </c>
      <c r="G610" s="330">
        <v>5500</v>
      </c>
      <c r="H610" s="310">
        <f t="shared" si="27"/>
        <v>1375</v>
      </c>
      <c r="I610" s="311">
        <v>0.3</v>
      </c>
      <c r="J610" s="310">
        <f t="shared" si="28"/>
        <v>3849.9999999999995</v>
      </c>
      <c r="K610" s="310">
        <f t="shared" si="29"/>
        <v>962.49999999999989</v>
      </c>
    </row>
    <row r="611" spans="1:11" x14ac:dyDescent="0.2">
      <c r="A611" t="s">
        <v>364</v>
      </c>
      <c r="B611" t="s">
        <v>87</v>
      </c>
      <c r="C611" t="s">
        <v>366</v>
      </c>
      <c r="D611" t="s">
        <v>369</v>
      </c>
      <c r="E611" t="s">
        <v>27</v>
      </c>
      <c r="F611" s="330">
        <v>4.62</v>
      </c>
      <c r="G611" s="330">
        <v>6000</v>
      </c>
      <c r="H611" s="310">
        <f t="shared" si="27"/>
        <v>1298.7012987012986</v>
      </c>
      <c r="I611" s="311">
        <v>0.3</v>
      </c>
      <c r="J611" s="310">
        <f t="shared" si="28"/>
        <v>4200</v>
      </c>
      <c r="K611" s="310">
        <f t="shared" si="29"/>
        <v>909.09090909090912</v>
      </c>
    </row>
    <row r="612" spans="1:11" x14ac:dyDescent="0.2">
      <c r="A612" t="s">
        <v>364</v>
      </c>
      <c r="B612" t="s">
        <v>87</v>
      </c>
      <c r="C612" t="s">
        <v>366</v>
      </c>
      <c r="D612" t="s">
        <v>369</v>
      </c>
      <c r="E612" t="s">
        <v>27</v>
      </c>
      <c r="F612" s="330">
        <v>4.62</v>
      </c>
      <c r="G612" s="330">
        <v>6000</v>
      </c>
      <c r="H612" s="310">
        <f t="shared" si="27"/>
        <v>1298.7012987012986</v>
      </c>
      <c r="I612" s="311">
        <v>0.3</v>
      </c>
      <c r="J612" s="310">
        <f t="shared" si="28"/>
        <v>4200</v>
      </c>
      <c r="K612" s="310">
        <f t="shared" si="29"/>
        <v>909.09090909090912</v>
      </c>
    </row>
    <row r="613" spans="1:11" x14ac:dyDescent="0.2">
      <c r="A613" t="s">
        <v>364</v>
      </c>
      <c r="B613" t="s">
        <v>87</v>
      </c>
      <c r="C613" t="s">
        <v>366</v>
      </c>
      <c r="D613" t="s">
        <v>369</v>
      </c>
      <c r="E613" t="s">
        <v>27</v>
      </c>
      <c r="F613" s="330">
        <v>4.68</v>
      </c>
      <c r="G613" s="330">
        <v>6200</v>
      </c>
      <c r="H613" s="310">
        <f t="shared" si="27"/>
        <v>1324.7863247863249</v>
      </c>
      <c r="I613" s="311">
        <v>0.3</v>
      </c>
      <c r="J613" s="310">
        <f t="shared" si="28"/>
        <v>4340</v>
      </c>
      <c r="K613" s="310">
        <f t="shared" si="29"/>
        <v>927.35042735042737</v>
      </c>
    </row>
    <row r="614" spans="1:11" x14ac:dyDescent="0.2">
      <c r="A614" t="s">
        <v>364</v>
      </c>
      <c r="B614" t="s">
        <v>87</v>
      </c>
      <c r="C614" t="s">
        <v>366</v>
      </c>
      <c r="D614" t="s">
        <v>369</v>
      </c>
      <c r="E614" t="s">
        <v>27</v>
      </c>
      <c r="F614" s="330">
        <v>4.8</v>
      </c>
      <c r="G614" s="330">
        <v>6400</v>
      </c>
      <c r="H614" s="310">
        <f t="shared" si="27"/>
        <v>1333.3333333333335</v>
      </c>
      <c r="I614" s="311">
        <v>0.3</v>
      </c>
      <c r="J614" s="310">
        <f t="shared" si="28"/>
        <v>4480</v>
      </c>
      <c r="K614" s="310">
        <f t="shared" si="29"/>
        <v>933.33333333333337</v>
      </c>
    </row>
    <row r="615" spans="1:11" x14ac:dyDescent="0.2">
      <c r="A615" t="s">
        <v>364</v>
      </c>
      <c r="B615" t="s">
        <v>87</v>
      </c>
      <c r="C615" t="s">
        <v>366</v>
      </c>
      <c r="D615" t="s">
        <v>369</v>
      </c>
      <c r="E615" t="s">
        <v>27</v>
      </c>
      <c r="F615" s="330">
        <v>4.8</v>
      </c>
      <c r="G615" s="330">
        <v>6400</v>
      </c>
      <c r="H615" s="310">
        <f t="shared" si="27"/>
        <v>1333.3333333333335</v>
      </c>
      <c r="I615" s="311">
        <v>0.3</v>
      </c>
      <c r="J615" s="310">
        <f t="shared" si="28"/>
        <v>4480</v>
      </c>
      <c r="K615" s="310">
        <f t="shared" si="29"/>
        <v>933.33333333333337</v>
      </c>
    </row>
    <row r="616" spans="1:11" x14ac:dyDescent="0.2">
      <c r="A616" t="s">
        <v>364</v>
      </c>
      <c r="B616" t="s">
        <v>87</v>
      </c>
      <c r="C616" t="s">
        <v>366</v>
      </c>
      <c r="D616" t="s">
        <v>369</v>
      </c>
      <c r="E616" t="s">
        <v>27</v>
      </c>
      <c r="F616" s="330">
        <v>4.8</v>
      </c>
      <c r="G616" s="330">
        <v>6400</v>
      </c>
      <c r="H616" s="310">
        <f t="shared" si="27"/>
        <v>1333.3333333333335</v>
      </c>
      <c r="I616" s="311">
        <v>0.3</v>
      </c>
      <c r="J616" s="310">
        <f t="shared" si="28"/>
        <v>4480</v>
      </c>
      <c r="K616" s="310">
        <f t="shared" si="29"/>
        <v>933.33333333333337</v>
      </c>
    </row>
    <row r="617" spans="1:11" x14ac:dyDescent="0.2">
      <c r="A617" t="s">
        <v>364</v>
      </c>
      <c r="B617" t="s">
        <v>87</v>
      </c>
      <c r="C617" t="s">
        <v>366</v>
      </c>
      <c r="D617" t="s">
        <v>369</v>
      </c>
      <c r="E617" t="s">
        <v>26</v>
      </c>
      <c r="F617" s="330">
        <v>5</v>
      </c>
      <c r="G617" s="330">
        <v>6400</v>
      </c>
      <c r="H617" s="310">
        <f t="shared" si="27"/>
        <v>1280</v>
      </c>
      <c r="I617" s="311">
        <v>0.3</v>
      </c>
      <c r="J617" s="310">
        <f t="shared" si="28"/>
        <v>4480</v>
      </c>
      <c r="K617" s="310">
        <f t="shared" si="29"/>
        <v>896</v>
      </c>
    </row>
    <row r="618" spans="1:11" x14ac:dyDescent="0.2">
      <c r="A618" t="s">
        <v>364</v>
      </c>
      <c r="B618" t="s">
        <v>87</v>
      </c>
      <c r="C618" t="s">
        <v>366</v>
      </c>
      <c r="D618" t="s">
        <v>369</v>
      </c>
      <c r="E618" t="s">
        <v>26</v>
      </c>
      <c r="F618" s="330">
        <v>5.0999999999999996</v>
      </c>
      <c r="G618" s="330">
        <v>6600</v>
      </c>
      <c r="H618" s="310">
        <f t="shared" si="27"/>
        <v>1294.1176470588236</v>
      </c>
      <c r="I618" s="311">
        <v>0.3</v>
      </c>
      <c r="J618" s="310">
        <f t="shared" si="28"/>
        <v>4620</v>
      </c>
      <c r="K618" s="310">
        <f t="shared" si="29"/>
        <v>905.88235294117658</v>
      </c>
    </row>
    <row r="619" spans="1:11" x14ac:dyDescent="0.2">
      <c r="A619" t="s">
        <v>364</v>
      </c>
      <c r="B619" t="s">
        <v>87</v>
      </c>
      <c r="C619" t="s">
        <v>366</v>
      </c>
      <c r="D619" t="s">
        <v>369</v>
      </c>
      <c r="E619" t="s">
        <v>26</v>
      </c>
      <c r="F619" s="330">
        <v>5.0999999999999996</v>
      </c>
      <c r="G619" s="330">
        <v>6600</v>
      </c>
      <c r="H619" s="310">
        <f t="shared" si="27"/>
        <v>1294.1176470588236</v>
      </c>
      <c r="I619" s="311">
        <v>0.3</v>
      </c>
      <c r="J619" s="310">
        <f t="shared" si="28"/>
        <v>4620</v>
      </c>
      <c r="K619" s="310">
        <f t="shared" si="29"/>
        <v>905.88235294117658</v>
      </c>
    </row>
    <row r="620" spans="1:11" x14ac:dyDescent="0.2">
      <c r="A620" t="s">
        <v>364</v>
      </c>
      <c r="B620" t="s">
        <v>87</v>
      </c>
      <c r="C620" t="s">
        <v>366</v>
      </c>
      <c r="D620" t="s">
        <v>369</v>
      </c>
      <c r="E620" t="s">
        <v>26</v>
      </c>
      <c r="F620" s="330">
        <v>5.25</v>
      </c>
      <c r="G620" s="330">
        <v>6700</v>
      </c>
      <c r="H620" s="310">
        <f t="shared" si="27"/>
        <v>1276.1904761904761</v>
      </c>
      <c r="I620" s="311">
        <v>0.3</v>
      </c>
      <c r="J620" s="310">
        <f t="shared" si="28"/>
        <v>4690</v>
      </c>
      <c r="K620" s="310">
        <f t="shared" si="29"/>
        <v>893.33333333333337</v>
      </c>
    </row>
    <row r="621" spans="1:11" x14ac:dyDescent="0.2">
      <c r="A621" t="s">
        <v>364</v>
      </c>
      <c r="B621" t="s">
        <v>87</v>
      </c>
      <c r="C621" t="s">
        <v>366</v>
      </c>
      <c r="D621" t="s">
        <v>369</v>
      </c>
      <c r="E621" t="s">
        <v>26</v>
      </c>
      <c r="F621" s="330">
        <v>5.4</v>
      </c>
      <c r="G621" s="330">
        <v>6800</v>
      </c>
      <c r="H621" s="310">
        <f t="shared" si="27"/>
        <v>1259.2592592592591</v>
      </c>
      <c r="I621" s="311">
        <v>0.3</v>
      </c>
      <c r="J621" s="310">
        <f t="shared" si="28"/>
        <v>4760</v>
      </c>
      <c r="K621" s="310">
        <f t="shared" si="29"/>
        <v>881.48148148148141</v>
      </c>
    </row>
    <row r="622" spans="1:11" x14ac:dyDescent="0.2">
      <c r="A622" t="s">
        <v>364</v>
      </c>
      <c r="B622" t="s">
        <v>87</v>
      </c>
      <c r="C622" t="s">
        <v>366</v>
      </c>
      <c r="D622" t="s">
        <v>369</v>
      </c>
      <c r="E622" t="s">
        <v>26</v>
      </c>
      <c r="F622" s="330">
        <v>5.4</v>
      </c>
      <c r="G622" s="330">
        <v>6800</v>
      </c>
      <c r="H622" s="310">
        <f t="shared" si="27"/>
        <v>1259.2592592592591</v>
      </c>
      <c r="I622" s="311">
        <v>0.3</v>
      </c>
      <c r="J622" s="310">
        <f t="shared" si="28"/>
        <v>4760</v>
      </c>
      <c r="K622" s="310">
        <f t="shared" si="29"/>
        <v>881.48148148148141</v>
      </c>
    </row>
    <row r="623" spans="1:11" x14ac:dyDescent="0.2">
      <c r="A623" t="s">
        <v>364</v>
      </c>
      <c r="B623" t="s">
        <v>87</v>
      </c>
      <c r="C623" t="s">
        <v>366</v>
      </c>
      <c r="D623" t="s">
        <v>369</v>
      </c>
      <c r="E623" t="s">
        <v>26</v>
      </c>
      <c r="F623" s="330">
        <v>5.46</v>
      </c>
      <c r="G623" s="330">
        <v>6900</v>
      </c>
      <c r="H623" s="310">
        <f t="shared" si="27"/>
        <v>1263.7362637362637</v>
      </c>
      <c r="I623" s="311">
        <v>0.3</v>
      </c>
      <c r="J623" s="310">
        <f t="shared" si="28"/>
        <v>4830</v>
      </c>
      <c r="K623" s="310">
        <f t="shared" si="29"/>
        <v>884.61538461538464</v>
      </c>
    </row>
    <row r="624" spans="1:11" x14ac:dyDescent="0.2">
      <c r="A624" t="s">
        <v>364</v>
      </c>
      <c r="B624" t="s">
        <v>87</v>
      </c>
      <c r="C624" t="s">
        <v>366</v>
      </c>
      <c r="D624" t="s">
        <v>369</v>
      </c>
      <c r="E624" t="s">
        <v>26</v>
      </c>
      <c r="F624" s="330">
        <v>5.46</v>
      </c>
      <c r="G624" s="330">
        <v>6900</v>
      </c>
      <c r="H624" s="310">
        <f t="shared" si="27"/>
        <v>1263.7362637362637</v>
      </c>
      <c r="I624" s="311">
        <v>0.3</v>
      </c>
      <c r="J624" s="310">
        <f t="shared" si="28"/>
        <v>4830</v>
      </c>
      <c r="K624" s="310">
        <f t="shared" si="29"/>
        <v>884.61538461538464</v>
      </c>
    </row>
    <row r="625" spans="1:11" x14ac:dyDescent="0.2">
      <c r="A625" t="s">
        <v>364</v>
      </c>
      <c r="B625" t="s">
        <v>87</v>
      </c>
      <c r="C625" t="s">
        <v>366</v>
      </c>
      <c r="D625" t="s">
        <v>369</v>
      </c>
      <c r="E625" t="s">
        <v>26</v>
      </c>
      <c r="F625" s="330">
        <v>6</v>
      </c>
      <c r="G625" s="330">
        <v>7200</v>
      </c>
      <c r="H625" s="310">
        <f t="shared" si="27"/>
        <v>1200</v>
      </c>
      <c r="I625" s="311">
        <v>0.3</v>
      </c>
      <c r="J625" s="310">
        <f t="shared" si="28"/>
        <v>5040</v>
      </c>
      <c r="K625" s="310">
        <f t="shared" si="29"/>
        <v>840</v>
      </c>
    </row>
    <row r="626" spans="1:11" x14ac:dyDescent="0.2">
      <c r="A626" t="s">
        <v>364</v>
      </c>
      <c r="B626" t="s">
        <v>87</v>
      </c>
      <c r="C626" t="s">
        <v>366</v>
      </c>
      <c r="D626" t="s">
        <v>369</v>
      </c>
      <c r="E626" t="s">
        <v>26</v>
      </c>
      <c r="F626" s="330">
        <v>7.92</v>
      </c>
      <c r="G626" s="330">
        <v>9600</v>
      </c>
      <c r="H626" s="310">
        <f t="shared" si="27"/>
        <v>1212.1212121212122</v>
      </c>
      <c r="I626" s="311">
        <v>0.3</v>
      </c>
      <c r="J626" s="310">
        <f t="shared" si="28"/>
        <v>6720</v>
      </c>
      <c r="K626" s="310">
        <f t="shared" si="29"/>
        <v>848.4848484848485</v>
      </c>
    </row>
    <row r="627" spans="1:11" x14ac:dyDescent="0.2">
      <c r="A627" t="s">
        <v>364</v>
      </c>
      <c r="B627" t="s">
        <v>87</v>
      </c>
      <c r="C627" t="s">
        <v>366</v>
      </c>
      <c r="D627" t="s">
        <v>369</v>
      </c>
      <c r="E627" t="s">
        <v>26</v>
      </c>
      <c r="F627" s="330">
        <v>8</v>
      </c>
      <c r="G627" s="330">
        <v>9600</v>
      </c>
      <c r="H627" s="310">
        <f t="shared" si="27"/>
        <v>1200</v>
      </c>
      <c r="I627" s="311">
        <v>0.3</v>
      </c>
      <c r="J627" s="310">
        <f t="shared" si="28"/>
        <v>6720</v>
      </c>
      <c r="K627" s="310">
        <f t="shared" si="29"/>
        <v>840</v>
      </c>
    </row>
    <row r="628" spans="1:11" x14ac:dyDescent="0.2">
      <c r="A628" t="s">
        <v>364</v>
      </c>
      <c r="B628" t="s">
        <v>87</v>
      </c>
      <c r="C628" t="s">
        <v>366</v>
      </c>
      <c r="D628" t="s">
        <v>369</v>
      </c>
      <c r="E628" t="s">
        <v>26</v>
      </c>
      <c r="F628" s="330">
        <v>9.7200000000000006</v>
      </c>
      <c r="G628" s="330">
        <v>11500</v>
      </c>
      <c r="H628" s="310">
        <f t="shared" si="27"/>
        <v>1183.1275720164608</v>
      </c>
      <c r="I628" s="311">
        <v>0.3</v>
      </c>
      <c r="J628" s="310">
        <f t="shared" si="28"/>
        <v>8049.9999999999991</v>
      </c>
      <c r="K628" s="310">
        <f t="shared" si="29"/>
        <v>828.18930041152248</v>
      </c>
    </row>
    <row r="629" spans="1:11" x14ac:dyDescent="0.2">
      <c r="A629" t="s">
        <v>364</v>
      </c>
      <c r="B629" t="s">
        <v>87</v>
      </c>
      <c r="C629" t="s">
        <v>366</v>
      </c>
      <c r="D629" t="s">
        <v>369</v>
      </c>
      <c r="E629" t="s">
        <v>26</v>
      </c>
      <c r="F629" s="330">
        <v>10.15</v>
      </c>
      <c r="G629" s="330">
        <v>12000</v>
      </c>
      <c r="H629" s="310">
        <f t="shared" si="27"/>
        <v>1182.2660098522167</v>
      </c>
      <c r="I629" s="311">
        <v>0.15</v>
      </c>
      <c r="J629" s="310">
        <f t="shared" si="28"/>
        <v>10200</v>
      </c>
      <c r="K629" s="310">
        <f t="shared" si="29"/>
        <v>1004.9261083743842</v>
      </c>
    </row>
    <row r="630" spans="1:11" x14ac:dyDescent="0.2">
      <c r="A630" t="s">
        <v>364</v>
      </c>
      <c r="B630" t="s">
        <v>87</v>
      </c>
      <c r="C630" t="s">
        <v>366</v>
      </c>
      <c r="D630" t="s">
        <v>369</v>
      </c>
      <c r="E630" t="s">
        <v>25</v>
      </c>
      <c r="F630" s="330">
        <v>10.199999999999999</v>
      </c>
      <c r="G630" s="330">
        <v>12000</v>
      </c>
      <c r="H630" s="310">
        <f t="shared" si="27"/>
        <v>1176.4705882352941</v>
      </c>
      <c r="I630" s="311">
        <v>0.15</v>
      </c>
      <c r="J630" s="310">
        <f t="shared" si="28"/>
        <v>10200</v>
      </c>
      <c r="K630" s="310">
        <f t="shared" si="29"/>
        <v>1000.0000000000001</v>
      </c>
    </row>
    <row r="631" spans="1:11" x14ac:dyDescent="0.2">
      <c r="A631" t="s">
        <v>364</v>
      </c>
      <c r="B631" t="s">
        <v>87</v>
      </c>
      <c r="C631" t="s">
        <v>366</v>
      </c>
      <c r="D631" t="s">
        <v>369</v>
      </c>
      <c r="E631" t="s">
        <v>25</v>
      </c>
      <c r="F631" s="330">
        <v>10.199999999999999</v>
      </c>
      <c r="G631" s="330">
        <v>12000</v>
      </c>
      <c r="H631" s="310">
        <f t="shared" si="27"/>
        <v>1176.4705882352941</v>
      </c>
      <c r="I631" s="311">
        <v>0.15</v>
      </c>
      <c r="J631" s="310">
        <f t="shared" si="28"/>
        <v>10200</v>
      </c>
      <c r="K631" s="310">
        <f t="shared" si="29"/>
        <v>1000.0000000000001</v>
      </c>
    </row>
    <row r="632" spans="1:11" x14ac:dyDescent="0.2">
      <c r="A632" t="s">
        <v>364</v>
      </c>
      <c r="B632" t="s">
        <v>87</v>
      </c>
      <c r="C632" t="s">
        <v>366</v>
      </c>
      <c r="D632" t="s">
        <v>369</v>
      </c>
      <c r="E632" t="s">
        <v>26</v>
      </c>
      <c r="F632" s="330">
        <v>10.199999999999999</v>
      </c>
      <c r="G632" s="330">
        <v>12000</v>
      </c>
      <c r="H632" s="310">
        <f t="shared" si="27"/>
        <v>1176.4705882352941</v>
      </c>
      <c r="I632" s="311">
        <v>0.15</v>
      </c>
      <c r="J632" s="310">
        <f t="shared" si="28"/>
        <v>10200</v>
      </c>
      <c r="K632" s="310">
        <f t="shared" si="29"/>
        <v>1000.0000000000001</v>
      </c>
    </row>
    <row r="633" spans="1:11" x14ac:dyDescent="0.2">
      <c r="A633" t="s">
        <v>364</v>
      </c>
      <c r="B633" t="s">
        <v>87</v>
      </c>
      <c r="C633" t="s">
        <v>366</v>
      </c>
      <c r="D633" t="s">
        <v>369</v>
      </c>
      <c r="E633" t="s">
        <v>26</v>
      </c>
      <c r="F633" s="330">
        <v>10.36</v>
      </c>
      <c r="G633" s="330">
        <v>12000</v>
      </c>
      <c r="H633" s="310">
        <f t="shared" si="27"/>
        <v>1158.3011583011585</v>
      </c>
      <c r="I633" s="311">
        <v>0.15</v>
      </c>
      <c r="J633" s="310">
        <f t="shared" si="28"/>
        <v>10200</v>
      </c>
      <c r="K633" s="310">
        <f t="shared" si="29"/>
        <v>984.55598455598465</v>
      </c>
    </row>
    <row r="634" spans="1:11" x14ac:dyDescent="0.2">
      <c r="A634" t="s">
        <v>364</v>
      </c>
      <c r="B634" t="s">
        <v>87</v>
      </c>
      <c r="C634" t="s">
        <v>366</v>
      </c>
      <c r="D634" t="s">
        <v>369</v>
      </c>
      <c r="E634" t="s">
        <v>25</v>
      </c>
      <c r="F634" s="330">
        <v>10.75</v>
      </c>
      <c r="G634" s="330">
        <v>12500</v>
      </c>
      <c r="H634" s="310">
        <f t="shared" si="27"/>
        <v>1162.7906976744187</v>
      </c>
      <c r="I634" s="311">
        <v>0.15</v>
      </c>
      <c r="J634" s="310">
        <f t="shared" si="28"/>
        <v>10625</v>
      </c>
      <c r="K634" s="310">
        <f t="shared" si="29"/>
        <v>988.37209302325584</v>
      </c>
    </row>
    <row r="635" spans="1:11" x14ac:dyDescent="0.2">
      <c r="A635" t="s">
        <v>364</v>
      </c>
      <c r="B635" t="s">
        <v>87</v>
      </c>
      <c r="C635" t="s">
        <v>366</v>
      </c>
      <c r="D635" t="s">
        <v>369</v>
      </c>
      <c r="E635" t="s">
        <v>25</v>
      </c>
      <c r="F635" s="330">
        <v>11.16</v>
      </c>
      <c r="G635" s="330">
        <v>12900</v>
      </c>
      <c r="H635" s="310">
        <f t="shared" si="27"/>
        <v>1155.9139784946237</v>
      </c>
      <c r="I635" s="311">
        <v>0.15</v>
      </c>
      <c r="J635" s="310">
        <f t="shared" si="28"/>
        <v>10965</v>
      </c>
      <c r="K635" s="310">
        <f t="shared" si="29"/>
        <v>982.52688172043008</v>
      </c>
    </row>
    <row r="636" spans="1:11" x14ac:dyDescent="0.2">
      <c r="A636" t="s">
        <v>364</v>
      </c>
      <c r="B636" t="s">
        <v>87</v>
      </c>
      <c r="C636" t="s">
        <v>366</v>
      </c>
      <c r="D636" t="s">
        <v>369</v>
      </c>
      <c r="E636" t="s">
        <v>25</v>
      </c>
      <c r="F636" s="330">
        <v>11.61</v>
      </c>
      <c r="G636" s="330">
        <v>13300</v>
      </c>
      <c r="H636" s="310">
        <f t="shared" si="27"/>
        <v>1145.5641688199828</v>
      </c>
      <c r="I636" s="311">
        <v>0.15</v>
      </c>
      <c r="J636" s="310">
        <f t="shared" si="28"/>
        <v>11305</v>
      </c>
      <c r="K636" s="310">
        <f t="shared" si="29"/>
        <v>973.72954349698546</v>
      </c>
    </row>
    <row r="637" spans="1:11" x14ac:dyDescent="0.2">
      <c r="A637" t="s">
        <v>364</v>
      </c>
      <c r="B637" t="s">
        <v>87</v>
      </c>
      <c r="C637" t="s">
        <v>366</v>
      </c>
      <c r="D637" t="s">
        <v>369</v>
      </c>
      <c r="E637" t="s">
        <v>25</v>
      </c>
      <c r="F637" s="330">
        <v>13.6</v>
      </c>
      <c r="G637" s="330">
        <v>15200</v>
      </c>
      <c r="H637" s="310">
        <f t="shared" si="27"/>
        <v>1117.6470588235295</v>
      </c>
      <c r="I637" s="311">
        <v>0.15</v>
      </c>
      <c r="J637" s="310">
        <f t="shared" si="28"/>
        <v>12920</v>
      </c>
      <c r="K637" s="310">
        <f t="shared" si="29"/>
        <v>950</v>
      </c>
    </row>
    <row r="638" spans="1:11" x14ac:dyDescent="0.2">
      <c r="A638" t="s">
        <v>364</v>
      </c>
      <c r="B638" t="s">
        <v>87</v>
      </c>
      <c r="C638" t="s">
        <v>366</v>
      </c>
      <c r="D638" t="s">
        <v>369</v>
      </c>
      <c r="E638" t="s">
        <v>25</v>
      </c>
      <c r="F638" s="330">
        <v>14.06</v>
      </c>
      <c r="G638" s="330">
        <v>15700</v>
      </c>
      <c r="H638" s="310">
        <f t="shared" si="27"/>
        <v>1116.6429587482219</v>
      </c>
      <c r="I638" s="311">
        <v>0.15</v>
      </c>
      <c r="J638" s="310">
        <f t="shared" si="28"/>
        <v>13345</v>
      </c>
      <c r="K638" s="310">
        <f t="shared" si="29"/>
        <v>949.14651493598853</v>
      </c>
    </row>
    <row r="639" spans="1:11" x14ac:dyDescent="0.2">
      <c r="A639" t="s">
        <v>364</v>
      </c>
      <c r="B639" t="s">
        <v>87</v>
      </c>
      <c r="C639" t="s">
        <v>366</v>
      </c>
      <c r="D639" t="s">
        <v>369</v>
      </c>
      <c r="E639" t="s">
        <v>25</v>
      </c>
      <c r="F639" s="330">
        <v>15</v>
      </c>
      <c r="G639" s="330">
        <v>16500</v>
      </c>
      <c r="H639" s="310">
        <f t="shared" si="27"/>
        <v>1100</v>
      </c>
      <c r="I639" s="311">
        <v>0.15</v>
      </c>
      <c r="J639" s="310">
        <f t="shared" si="28"/>
        <v>14025</v>
      </c>
      <c r="K639" s="310">
        <f t="shared" si="29"/>
        <v>935</v>
      </c>
    </row>
    <row r="640" spans="1:11" x14ac:dyDescent="0.2">
      <c r="A640" t="s">
        <v>364</v>
      </c>
      <c r="B640" t="s">
        <v>87</v>
      </c>
      <c r="C640" t="s">
        <v>366</v>
      </c>
      <c r="D640" t="s">
        <v>369</v>
      </c>
      <c r="E640" t="s">
        <v>25</v>
      </c>
      <c r="F640" s="330">
        <v>15.12</v>
      </c>
      <c r="G640" s="330">
        <v>16500</v>
      </c>
      <c r="H640" s="310">
        <f t="shared" si="27"/>
        <v>1091.2698412698414</v>
      </c>
      <c r="I640" s="311">
        <v>0.15</v>
      </c>
      <c r="J640" s="310">
        <f t="shared" si="28"/>
        <v>14025</v>
      </c>
      <c r="K640" s="310">
        <f t="shared" si="29"/>
        <v>927.57936507936518</v>
      </c>
    </row>
    <row r="641" spans="1:11" x14ac:dyDescent="0.2">
      <c r="A641" t="s">
        <v>364</v>
      </c>
      <c r="B641" t="s">
        <v>87</v>
      </c>
      <c r="C641" t="s">
        <v>366</v>
      </c>
      <c r="D641" t="s">
        <v>369</v>
      </c>
      <c r="E641" t="s">
        <v>25</v>
      </c>
      <c r="F641" s="330">
        <v>15.54</v>
      </c>
      <c r="G641" s="330">
        <v>16500</v>
      </c>
      <c r="H641" s="310">
        <f t="shared" si="27"/>
        <v>1061.7760617760619</v>
      </c>
      <c r="I641" s="311">
        <v>0.15</v>
      </c>
      <c r="J641" s="310">
        <f t="shared" si="28"/>
        <v>14025</v>
      </c>
      <c r="K641" s="310">
        <f t="shared" si="29"/>
        <v>902.5096525096526</v>
      </c>
    </row>
    <row r="642" spans="1:11" x14ac:dyDescent="0.2">
      <c r="A642" t="s">
        <v>364</v>
      </c>
      <c r="B642" t="s">
        <v>87</v>
      </c>
      <c r="C642" t="s">
        <v>366</v>
      </c>
      <c r="D642" t="s">
        <v>369</v>
      </c>
      <c r="E642" t="s">
        <v>25</v>
      </c>
      <c r="F642" s="330">
        <v>17.760000000000002</v>
      </c>
      <c r="G642" s="330">
        <v>19900</v>
      </c>
      <c r="H642" s="310">
        <f t="shared" ref="H642:H705" si="30">G642/F642</f>
        <v>1120.4954954954953</v>
      </c>
      <c r="I642" s="311">
        <v>0.15</v>
      </c>
      <c r="J642" s="310">
        <f t="shared" ref="J642:J705" si="31">G642*(1-I642)</f>
        <v>16915</v>
      </c>
      <c r="K642" s="310">
        <f t="shared" ref="K642:K705" si="32">J642/F642</f>
        <v>952.42117117117107</v>
      </c>
    </row>
    <row r="643" spans="1:11" x14ac:dyDescent="0.2">
      <c r="A643" t="s">
        <v>364</v>
      </c>
      <c r="B643" t="s">
        <v>87</v>
      </c>
      <c r="C643" t="s">
        <v>366</v>
      </c>
      <c r="D643" t="s">
        <v>369</v>
      </c>
      <c r="E643" t="s">
        <v>28</v>
      </c>
      <c r="F643" s="330">
        <v>24.96</v>
      </c>
      <c r="G643" s="330">
        <v>22000</v>
      </c>
      <c r="H643" s="310">
        <f t="shared" si="30"/>
        <v>881.41025641025635</v>
      </c>
      <c r="I643" s="311">
        <v>0.15</v>
      </c>
      <c r="J643" s="310">
        <f t="shared" si="31"/>
        <v>18700</v>
      </c>
      <c r="K643" s="310">
        <f t="shared" si="32"/>
        <v>749.1987179487179</v>
      </c>
    </row>
    <row r="644" spans="1:11" x14ac:dyDescent="0.2">
      <c r="A644" t="s">
        <v>364</v>
      </c>
      <c r="B644" t="s">
        <v>87</v>
      </c>
      <c r="C644" t="s">
        <v>366</v>
      </c>
      <c r="D644" t="s">
        <v>369</v>
      </c>
      <c r="E644" t="s">
        <v>28</v>
      </c>
      <c r="F644" s="330">
        <v>25.2</v>
      </c>
      <c r="G644" s="330">
        <v>22000</v>
      </c>
      <c r="H644" s="310">
        <f t="shared" si="30"/>
        <v>873.01587301587301</v>
      </c>
      <c r="I644" s="311">
        <v>0.15</v>
      </c>
      <c r="J644" s="310">
        <f t="shared" si="31"/>
        <v>18700</v>
      </c>
      <c r="K644" s="310">
        <f t="shared" si="32"/>
        <v>742.06349206349205</v>
      </c>
    </row>
    <row r="645" spans="1:11" x14ac:dyDescent="0.2">
      <c r="A645" t="s">
        <v>364</v>
      </c>
      <c r="B645" t="s">
        <v>87</v>
      </c>
      <c r="C645" t="s">
        <v>366</v>
      </c>
      <c r="D645" t="s">
        <v>369</v>
      </c>
      <c r="E645" t="s">
        <v>28</v>
      </c>
      <c r="F645" s="330">
        <v>25.48</v>
      </c>
      <c r="G645" s="330">
        <v>22000</v>
      </c>
      <c r="H645" s="310">
        <f t="shared" si="30"/>
        <v>863.42229199372059</v>
      </c>
      <c r="I645" s="311">
        <v>0.15</v>
      </c>
      <c r="J645" s="310">
        <f t="shared" si="31"/>
        <v>18700</v>
      </c>
      <c r="K645" s="310">
        <f t="shared" si="32"/>
        <v>733.90894819466246</v>
      </c>
    </row>
    <row r="646" spans="1:11" x14ac:dyDescent="0.2">
      <c r="A646" t="s">
        <v>364</v>
      </c>
      <c r="B646" t="s">
        <v>87</v>
      </c>
      <c r="C646" t="s">
        <v>366</v>
      </c>
      <c r="D646" t="s">
        <v>369</v>
      </c>
      <c r="E646" t="s">
        <v>28</v>
      </c>
      <c r="F646" s="330">
        <v>28.62</v>
      </c>
      <c r="G646" s="330">
        <v>24000</v>
      </c>
      <c r="H646" s="310">
        <f t="shared" si="30"/>
        <v>838.57442348008385</v>
      </c>
      <c r="I646" s="311">
        <v>0.15</v>
      </c>
      <c r="J646" s="310">
        <f t="shared" si="31"/>
        <v>20400</v>
      </c>
      <c r="K646" s="310">
        <f t="shared" si="32"/>
        <v>712.78825995807131</v>
      </c>
    </row>
    <row r="647" spans="1:11" x14ac:dyDescent="0.2">
      <c r="A647" t="s">
        <v>364</v>
      </c>
      <c r="B647" t="s">
        <v>87</v>
      </c>
      <c r="C647" t="s">
        <v>366</v>
      </c>
      <c r="D647" t="s">
        <v>369</v>
      </c>
      <c r="E647" t="s">
        <v>28</v>
      </c>
      <c r="F647" s="330">
        <v>29.89</v>
      </c>
      <c r="G647" s="330">
        <v>24000</v>
      </c>
      <c r="H647" s="310">
        <f t="shared" si="30"/>
        <v>802.94412847106059</v>
      </c>
      <c r="I647" s="311">
        <v>0.15</v>
      </c>
      <c r="J647" s="310">
        <f t="shared" si="31"/>
        <v>20400</v>
      </c>
      <c r="K647" s="310">
        <f t="shared" si="32"/>
        <v>682.50250920040151</v>
      </c>
    </row>
    <row r="648" spans="1:11" x14ac:dyDescent="0.2">
      <c r="A648" t="s">
        <v>364</v>
      </c>
      <c r="B648" t="s">
        <v>82</v>
      </c>
      <c r="C648" t="s">
        <v>366</v>
      </c>
      <c r="D648" t="s">
        <v>120</v>
      </c>
      <c r="E648" t="s">
        <v>17</v>
      </c>
      <c r="F648" s="330">
        <v>1</v>
      </c>
      <c r="G648" s="330">
        <v>894.58</v>
      </c>
      <c r="H648" s="310">
        <f t="shared" si="30"/>
        <v>894.58</v>
      </c>
      <c r="I648" s="311">
        <v>0</v>
      </c>
      <c r="J648" s="310">
        <f t="shared" si="31"/>
        <v>894.58</v>
      </c>
      <c r="K648" s="310">
        <f t="shared" si="32"/>
        <v>894.58</v>
      </c>
    </row>
    <row r="649" spans="1:11" x14ac:dyDescent="0.2">
      <c r="A649" t="s">
        <v>364</v>
      </c>
      <c r="B649" t="s">
        <v>82</v>
      </c>
      <c r="C649" t="s">
        <v>366</v>
      </c>
      <c r="D649" t="s">
        <v>120</v>
      </c>
      <c r="E649" t="s">
        <v>18</v>
      </c>
      <c r="F649" s="330">
        <v>1</v>
      </c>
      <c r="G649" s="330">
        <v>801.12</v>
      </c>
      <c r="H649" s="310">
        <f t="shared" si="30"/>
        <v>801.12</v>
      </c>
      <c r="I649" s="311">
        <v>0</v>
      </c>
      <c r="J649" s="310">
        <f t="shared" si="31"/>
        <v>801.12</v>
      </c>
      <c r="K649" s="310">
        <f t="shared" si="32"/>
        <v>801.12</v>
      </c>
    </row>
    <row r="650" spans="1:11" x14ac:dyDescent="0.2">
      <c r="A650" t="s">
        <v>364</v>
      </c>
      <c r="B650" t="s">
        <v>82</v>
      </c>
      <c r="C650" t="s">
        <v>366</v>
      </c>
      <c r="D650" t="s">
        <v>369</v>
      </c>
      <c r="E650" t="s">
        <v>31</v>
      </c>
      <c r="F650" s="330">
        <v>1</v>
      </c>
      <c r="G650" s="330">
        <v>1500</v>
      </c>
      <c r="H650" s="310">
        <f t="shared" si="30"/>
        <v>1500</v>
      </c>
      <c r="I650" s="311">
        <v>0.35</v>
      </c>
      <c r="J650" s="310">
        <f t="shared" si="31"/>
        <v>975</v>
      </c>
      <c r="K650" s="310">
        <f t="shared" si="32"/>
        <v>975</v>
      </c>
    </row>
    <row r="651" spans="1:11" x14ac:dyDescent="0.2">
      <c r="A651" t="s">
        <v>364</v>
      </c>
      <c r="B651" t="s">
        <v>82</v>
      </c>
      <c r="C651" t="s">
        <v>366</v>
      </c>
      <c r="D651" t="s">
        <v>369</v>
      </c>
      <c r="E651" t="s">
        <v>31</v>
      </c>
      <c r="F651" s="330">
        <v>1.1000000000000001</v>
      </c>
      <c r="G651" s="330">
        <v>1500</v>
      </c>
      <c r="H651" s="310">
        <f t="shared" si="30"/>
        <v>1363.6363636363635</v>
      </c>
      <c r="I651" s="311">
        <v>0.35</v>
      </c>
      <c r="J651" s="310">
        <f t="shared" si="31"/>
        <v>975</v>
      </c>
      <c r="K651" s="310">
        <f t="shared" si="32"/>
        <v>886.36363636363626</v>
      </c>
    </row>
    <row r="652" spans="1:11" x14ac:dyDescent="0.2">
      <c r="A652" t="s">
        <v>364</v>
      </c>
      <c r="B652" t="s">
        <v>82</v>
      </c>
      <c r="C652" t="s">
        <v>366</v>
      </c>
      <c r="D652" t="s">
        <v>369</v>
      </c>
      <c r="E652" t="s">
        <v>31</v>
      </c>
      <c r="F652" s="330">
        <v>1.2</v>
      </c>
      <c r="G652" s="330">
        <v>1600</v>
      </c>
      <c r="H652" s="310">
        <f t="shared" si="30"/>
        <v>1333.3333333333335</v>
      </c>
      <c r="I652" s="311">
        <v>0.35</v>
      </c>
      <c r="J652" s="310">
        <f t="shared" si="31"/>
        <v>1040</v>
      </c>
      <c r="K652" s="310">
        <f t="shared" si="32"/>
        <v>866.66666666666674</v>
      </c>
    </row>
    <row r="653" spans="1:11" x14ac:dyDescent="0.2">
      <c r="A653" t="s">
        <v>364</v>
      </c>
      <c r="B653" t="s">
        <v>82</v>
      </c>
      <c r="C653" t="s">
        <v>366</v>
      </c>
      <c r="D653" t="s">
        <v>369</v>
      </c>
      <c r="E653" t="s">
        <v>31</v>
      </c>
      <c r="F653" s="330">
        <v>1.3</v>
      </c>
      <c r="G653" s="330">
        <v>1600</v>
      </c>
      <c r="H653" s="310">
        <f t="shared" si="30"/>
        <v>1230.7692307692307</v>
      </c>
      <c r="I653" s="311">
        <v>0.35</v>
      </c>
      <c r="J653" s="310">
        <f t="shared" si="31"/>
        <v>1040</v>
      </c>
      <c r="K653" s="310">
        <f t="shared" si="32"/>
        <v>800</v>
      </c>
    </row>
    <row r="654" spans="1:11" x14ac:dyDescent="0.2">
      <c r="A654" t="s">
        <v>364</v>
      </c>
      <c r="B654" t="s">
        <v>82</v>
      </c>
      <c r="C654" t="s">
        <v>366</v>
      </c>
      <c r="D654" t="s">
        <v>369</v>
      </c>
      <c r="E654" t="s">
        <v>31</v>
      </c>
      <c r="F654" s="330">
        <v>1.32</v>
      </c>
      <c r="G654" s="330">
        <v>1600</v>
      </c>
      <c r="H654" s="310">
        <f t="shared" si="30"/>
        <v>1212.121212121212</v>
      </c>
      <c r="I654" s="311">
        <v>0.35</v>
      </c>
      <c r="J654" s="310">
        <f t="shared" si="31"/>
        <v>1040</v>
      </c>
      <c r="K654" s="310">
        <f t="shared" si="32"/>
        <v>787.87878787878788</v>
      </c>
    </row>
    <row r="655" spans="1:11" x14ac:dyDescent="0.2">
      <c r="A655" t="s">
        <v>364</v>
      </c>
      <c r="B655" t="s">
        <v>82</v>
      </c>
      <c r="C655" t="s">
        <v>366</v>
      </c>
      <c r="D655" t="s">
        <v>369</v>
      </c>
      <c r="E655" t="s">
        <v>31</v>
      </c>
      <c r="F655" s="330">
        <v>1.4</v>
      </c>
      <c r="G655" s="330">
        <v>2000</v>
      </c>
      <c r="H655" s="310">
        <f t="shared" si="30"/>
        <v>1428.5714285714287</v>
      </c>
      <c r="I655" s="311">
        <v>0.35</v>
      </c>
      <c r="J655" s="310">
        <f t="shared" si="31"/>
        <v>1300</v>
      </c>
      <c r="K655" s="310">
        <f t="shared" si="32"/>
        <v>928.57142857142867</v>
      </c>
    </row>
    <row r="656" spans="1:11" x14ac:dyDescent="0.2">
      <c r="A656" t="s">
        <v>364</v>
      </c>
      <c r="B656" t="s">
        <v>82</v>
      </c>
      <c r="C656" t="s">
        <v>366</v>
      </c>
      <c r="D656" t="s">
        <v>369</v>
      </c>
      <c r="E656" t="s">
        <v>31</v>
      </c>
      <c r="F656" s="330">
        <v>1.44</v>
      </c>
      <c r="G656" s="330">
        <v>2000</v>
      </c>
      <c r="H656" s="310">
        <f t="shared" si="30"/>
        <v>1388.8888888888889</v>
      </c>
      <c r="I656" s="311">
        <v>0.35</v>
      </c>
      <c r="J656" s="310">
        <f t="shared" si="31"/>
        <v>1300</v>
      </c>
      <c r="K656" s="310">
        <f t="shared" si="32"/>
        <v>902.77777777777783</v>
      </c>
    </row>
    <row r="657" spans="1:11" x14ac:dyDescent="0.2">
      <c r="A657" t="s">
        <v>364</v>
      </c>
      <c r="B657" t="s">
        <v>82</v>
      </c>
      <c r="C657" t="s">
        <v>366</v>
      </c>
      <c r="D657" t="s">
        <v>369</v>
      </c>
      <c r="E657" t="s">
        <v>29</v>
      </c>
      <c r="F657" s="330">
        <v>1.56</v>
      </c>
      <c r="G657" s="330">
        <v>2200</v>
      </c>
      <c r="H657" s="310">
        <f t="shared" si="30"/>
        <v>1410.2564102564102</v>
      </c>
      <c r="I657" s="311">
        <v>0.35</v>
      </c>
      <c r="J657" s="310">
        <f t="shared" si="31"/>
        <v>1430</v>
      </c>
      <c r="K657" s="310">
        <f t="shared" si="32"/>
        <v>916.66666666666663</v>
      </c>
    </row>
    <row r="658" spans="1:11" x14ac:dyDescent="0.2">
      <c r="A658" t="s">
        <v>364</v>
      </c>
      <c r="B658" t="s">
        <v>82</v>
      </c>
      <c r="C658" t="s">
        <v>366</v>
      </c>
      <c r="D658" t="s">
        <v>369</v>
      </c>
      <c r="E658" t="s">
        <v>29</v>
      </c>
      <c r="F658" s="330">
        <v>1.6</v>
      </c>
      <c r="G658" s="330">
        <v>2200</v>
      </c>
      <c r="H658" s="310">
        <f t="shared" si="30"/>
        <v>1375</v>
      </c>
      <c r="I658" s="311">
        <v>0.35</v>
      </c>
      <c r="J658" s="310">
        <f t="shared" si="31"/>
        <v>1430</v>
      </c>
      <c r="K658" s="310">
        <f t="shared" si="32"/>
        <v>893.75</v>
      </c>
    </row>
    <row r="659" spans="1:11" x14ac:dyDescent="0.2">
      <c r="A659" t="s">
        <v>364</v>
      </c>
      <c r="B659" t="s">
        <v>82</v>
      </c>
      <c r="C659" t="s">
        <v>366</v>
      </c>
      <c r="D659" t="s">
        <v>369</v>
      </c>
      <c r="E659" t="s">
        <v>29</v>
      </c>
      <c r="F659" s="330">
        <v>1.65</v>
      </c>
      <c r="G659" s="330">
        <v>2200</v>
      </c>
      <c r="H659" s="310">
        <f t="shared" si="30"/>
        <v>1333.3333333333335</v>
      </c>
      <c r="I659" s="311">
        <v>0.35</v>
      </c>
      <c r="J659" s="310">
        <f t="shared" si="31"/>
        <v>1430</v>
      </c>
      <c r="K659" s="310">
        <f t="shared" si="32"/>
        <v>866.66666666666674</v>
      </c>
    </row>
    <row r="660" spans="1:11" x14ac:dyDescent="0.2">
      <c r="A660" t="s">
        <v>364</v>
      </c>
      <c r="B660" t="s">
        <v>82</v>
      </c>
      <c r="C660" t="s">
        <v>366</v>
      </c>
      <c r="D660" t="s">
        <v>369</v>
      </c>
      <c r="E660" t="s">
        <v>29</v>
      </c>
      <c r="F660" s="330">
        <v>1.7</v>
      </c>
      <c r="G660" s="330">
        <v>2200</v>
      </c>
      <c r="H660" s="310">
        <f t="shared" si="30"/>
        <v>1294.1176470588236</v>
      </c>
      <c r="I660" s="311">
        <v>0.35</v>
      </c>
      <c r="J660" s="310">
        <f t="shared" si="31"/>
        <v>1430</v>
      </c>
      <c r="K660" s="310">
        <f t="shared" si="32"/>
        <v>841.17647058823536</v>
      </c>
    </row>
    <row r="661" spans="1:11" x14ac:dyDescent="0.2">
      <c r="A661" t="s">
        <v>364</v>
      </c>
      <c r="B661" t="s">
        <v>82</v>
      </c>
      <c r="C661" t="s">
        <v>366</v>
      </c>
      <c r="D661" t="s">
        <v>369</v>
      </c>
      <c r="E661" t="s">
        <v>29</v>
      </c>
      <c r="F661" s="330">
        <v>1.9</v>
      </c>
      <c r="G661" s="330">
        <v>2600</v>
      </c>
      <c r="H661" s="310">
        <f t="shared" si="30"/>
        <v>1368.421052631579</v>
      </c>
      <c r="I661" s="311">
        <v>0.35</v>
      </c>
      <c r="J661" s="310">
        <f t="shared" si="31"/>
        <v>1690</v>
      </c>
      <c r="K661" s="310">
        <f t="shared" si="32"/>
        <v>889.47368421052636</v>
      </c>
    </row>
    <row r="662" spans="1:11" x14ac:dyDescent="0.2">
      <c r="A662" t="s">
        <v>364</v>
      </c>
      <c r="B662" t="s">
        <v>82</v>
      </c>
      <c r="C662" t="s">
        <v>366</v>
      </c>
      <c r="D662" t="s">
        <v>369</v>
      </c>
      <c r="E662" t="s">
        <v>29</v>
      </c>
      <c r="F662" s="330">
        <v>1.95</v>
      </c>
      <c r="G662" s="330">
        <v>2600</v>
      </c>
      <c r="H662" s="310">
        <f t="shared" si="30"/>
        <v>1333.3333333333333</v>
      </c>
      <c r="I662" s="311">
        <v>0.35</v>
      </c>
      <c r="J662" s="310">
        <f t="shared" si="31"/>
        <v>1690</v>
      </c>
      <c r="K662" s="310">
        <f t="shared" si="32"/>
        <v>866.66666666666674</v>
      </c>
    </row>
    <row r="663" spans="1:11" x14ac:dyDescent="0.2">
      <c r="A663" t="s">
        <v>364</v>
      </c>
      <c r="B663" t="s">
        <v>82</v>
      </c>
      <c r="C663" t="s">
        <v>366</v>
      </c>
      <c r="D663" t="s">
        <v>369</v>
      </c>
      <c r="E663" t="s">
        <v>29</v>
      </c>
      <c r="F663" s="330">
        <v>2</v>
      </c>
      <c r="G663" s="330">
        <v>2600</v>
      </c>
      <c r="H663" s="310">
        <f t="shared" si="30"/>
        <v>1300</v>
      </c>
      <c r="I663" s="311">
        <v>0.35</v>
      </c>
      <c r="J663" s="310">
        <f t="shared" si="31"/>
        <v>1690</v>
      </c>
      <c r="K663" s="310">
        <f t="shared" si="32"/>
        <v>845</v>
      </c>
    </row>
    <row r="664" spans="1:11" x14ac:dyDescent="0.2">
      <c r="A664" t="s">
        <v>364</v>
      </c>
      <c r="B664" t="s">
        <v>82</v>
      </c>
      <c r="C664" t="s">
        <v>366</v>
      </c>
      <c r="D664" t="s">
        <v>369</v>
      </c>
      <c r="E664" t="s">
        <v>29</v>
      </c>
      <c r="F664" s="330">
        <v>2.08</v>
      </c>
      <c r="G664" s="330">
        <v>2600</v>
      </c>
      <c r="H664" s="310">
        <f t="shared" si="30"/>
        <v>1250</v>
      </c>
      <c r="I664" s="311">
        <v>0.35</v>
      </c>
      <c r="J664" s="310">
        <f t="shared" si="31"/>
        <v>1690</v>
      </c>
      <c r="K664" s="310">
        <f t="shared" si="32"/>
        <v>812.5</v>
      </c>
    </row>
    <row r="665" spans="1:11" x14ac:dyDescent="0.2">
      <c r="A665" t="s">
        <v>364</v>
      </c>
      <c r="B665" t="s">
        <v>82</v>
      </c>
      <c r="C665" t="s">
        <v>366</v>
      </c>
      <c r="D665" t="s">
        <v>369</v>
      </c>
      <c r="E665" t="s">
        <v>29</v>
      </c>
      <c r="F665" s="330">
        <v>2.09</v>
      </c>
      <c r="G665" s="330">
        <v>2600</v>
      </c>
      <c r="H665" s="310">
        <f t="shared" si="30"/>
        <v>1244.019138755981</v>
      </c>
      <c r="I665" s="311">
        <v>0.35</v>
      </c>
      <c r="J665" s="310">
        <f t="shared" si="31"/>
        <v>1690</v>
      </c>
      <c r="K665" s="310">
        <f t="shared" si="32"/>
        <v>808.61244019138758</v>
      </c>
    </row>
    <row r="666" spans="1:11" x14ac:dyDescent="0.2">
      <c r="A666" t="s">
        <v>364</v>
      </c>
      <c r="B666" t="s">
        <v>82</v>
      </c>
      <c r="C666" t="s">
        <v>366</v>
      </c>
      <c r="D666" t="s">
        <v>369</v>
      </c>
      <c r="E666" t="s">
        <v>29</v>
      </c>
      <c r="F666" s="330">
        <v>2.1</v>
      </c>
      <c r="G666" s="330">
        <v>2600</v>
      </c>
      <c r="H666" s="310">
        <f t="shared" si="30"/>
        <v>1238.0952380952381</v>
      </c>
      <c r="I666" s="311">
        <v>0.35</v>
      </c>
      <c r="J666" s="310">
        <f t="shared" si="31"/>
        <v>1690</v>
      </c>
      <c r="K666" s="310">
        <f t="shared" si="32"/>
        <v>804.7619047619047</v>
      </c>
    </row>
    <row r="667" spans="1:11" x14ac:dyDescent="0.2">
      <c r="A667" t="s">
        <v>364</v>
      </c>
      <c r="B667" t="s">
        <v>82</v>
      </c>
      <c r="C667" t="s">
        <v>366</v>
      </c>
      <c r="D667" t="s">
        <v>369</v>
      </c>
      <c r="E667" t="s">
        <v>27</v>
      </c>
      <c r="F667" s="330">
        <v>2.9</v>
      </c>
      <c r="G667" s="330">
        <v>3500</v>
      </c>
      <c r="H667" s="310">
        <f t="shared" si="30"/>
        <v>1206.8965517241379</v>
      </c>
      <c r="I667" s="311">
        <v>0.35</v>
      </c>
      <c r="J667" s="310">
        <f t="shared" si="31"/>
        <v>2275</v>
      </c>
      <c r="K667" s="310">
        <f t="shared" si="32"/>
        <v>784.48275862068965</v>
      </c>
    </row>
    <row r="668" spans="1:11" x14ac:dyDescent="0.2">
      <c r="A668" t="s">
        <v>364</v>
      </c>
      <c r="B668" t="s">
        <v>82</v>
      </c>
      <c r="C668" t="s">
        <v>366</v>
      </c>
      <c r="D668" t="s">
        <v>369</v>
      </c>
      <c r="E668" t="s">
        <v>27</v>
      </c>
      <c r="F668" s="330">
        <v>2.99</v>
      </c>
      <c r="G668" s="330">
        <v>3700</v>
      </c>
      <c r="H668" s="310">
        <f t="shared" si="30"/>
        <v>1237.458193979933</v>
      </c>
      <c r="I668" s="311">
        <v>0.35</v>
      </c>
      <c r="J668" s="310">
        <f t="shared" si="31"/>
        <v>2405</v>
      </c>
      <c r="K668" s="310">
        <f t="shared" si="32"/>
        <v>804.3478260869565</v>
      </c>
    </row>
    <row r="669" spans="1:11" x14ac:dyDescent="0.2">
      <c r="A669" t="s">
        <v>364</v>
      </c>
      <c r="B669" t="s">
        <v>82</v>
      </c>
      <c r="C669" t="s">
        <v>366</v>
      </c>
      <c r="D669" t="s">
        <v>369</v>
      </c>
      <c r="E669" t="s">
        <v>27</v>
      </c>
      <c r="F669" s="330">
        <v>3</v>
      </c>
      <c r="G669" s="330">
        <v>3700</v>
      </c>
      <c r="H669" s="310">
        <f t="shared" si="30"/>
        <v>1233.3333333333333</v>
      </c>
      <c r="I669" s="311">
        <v>0.35</v>
      </c>
      <c r="J669" s="310">
        <f t="shared" si="31"/>
        <v>2405</v>
      </c>
      <c r="K669" s="310">
        <f t="shared" si="32"/>
        <v>801.66666666666663</v>
      </c>
    </row>
    <row r="670" spans="1:11" x14ac:dyDescent="0.2">
      <c r="A670" t="s">
        <v>364</v>
      </c>
      <c r="B670" t="s">
        <v>82</v>
      </c>
      <c r="C670" t="s">
        <v>366</v>
      </c>
      <c r="D670" t="s">
        <v>369</v>
      </c>
      <c r="E670" t="s">
        <v>27</v>
      </c>
      <c r="F670" s="330">
        <v>3.15</v>
      </c>
      <c r="G670" s="330">
        <v>3900</v>
      </c>
      <c r="H670" s="310">
        <f t="shared" si="30"/>
        <v>1238.0952380952381</v>
      </c>
      <c r="I670" s="311">
        <v>0.35</v>
      </c>
      <c r="J670" s="310">
        <f t="shared" si="31"/>
        <v>2535</v>
      </c>
      <c r="K670" s="310">
        <f t="shared" si="32"/>
        <v>804.76190476190482</v>
      </c>
    </row>
    <row r="671" spans="1:11" x14ac:dyDescent="0.2">
      <c r="A671" t="s">
        <v>364</v>
      </c>
      <c r="B671" t="s">
        <v>82</v>
      </c>
      <c r="C671" t="s">
        <v>366</v>
      </c>
      <c r="D671" t="s">
        <v>369</v>
      </c>
      <c r="E671" t="s">
        <v>27</v>
      </c>
      <c r="F671" s="330">
        <v>3.3</v>
      </c>
      <c r="G671" s="330">
        <v>4000</v>
      </c>
      <c r="H671" s="310">
        <f t="shared" si="30"/>
        <v>1212.1212121212122</v>
      </c>
      <c r="I671" s="311">
        <v>0.35</v>
      </c>
      <c r="J671" s="310">
        <f t="shared" si="31"/>
        <v>2600</v>
      </c>
      <c r="K671" s="310">
        <f t="shared" si="32"/>
        <v>787.87878787878788</v>
      </c>
    </row>
    <row r="672" spans="1:11" x14ac:dyDescent="0.2">
      <c r="A672" t="s">
        <v>364</v>
      </c>
      <c r="B672" t="s">
        <v>82</v>
      </c>
      <c r="C672" t="s">
        <v>366</v>
      </c>
      <c r="D672" t="s">
        <v>369</v>
      </c>
      <c r="E672" t="s">
        <v>27</v>
      </c>
      <c r="F672" s="330">
        <v>3.45</v>
      </c>
      <c r="G672" s="330">
        <v>4200</v>
      </c>
      <c r="H672" s="310">
        <f t="shared" si="30"/>
        <v>1217.391304347826</v>
      </c>
      <c r="I672" s="311">
        <v>0.35</v>
      </c>
      <c r="J672" s="310">
        <f t="shared" si="31"/>
        <v>2730</v>
      </c>
      <c r="K672" s="310">
        <f t="shared" si="32"/>
        <v>791.30434782608688</v>
      </c>
    </row>
    <row r="673" spans="1:11" x14ac:dyDescent="0.2">
      <c r="A673" t="s">
        <v>364</v>
      </c>
      <c r="B673" t="s">
        <v>82</v>
      </c>
      <c r="C673" t="s">
        <v>366</v>
      </c>
      <c r="D673" t="s">
        <v>369</v>
      </c>
      <c r="E673" t="s">
        <v>27</v>
      </c>
      <c r="F673" s="330">
        <v>3.52</v>
      </c>
      <c r="G673" s="330">
        <v>4200</v>
      </c>
      <c r="H673" s="310">
        <f t="shared" si="30"/>
        <v>1193.1818181818182</v>
      </c>
      <c r="I673" s="311">
        <v>0.35</v>
      </c>
      <c r="J673" s="310">
        <f t="shared" si="31"/>
        <v>2730</v>
      </c>
      <c r="K673" s="310">
        <f t="shared" si="32"/>
        <v>775.56818181818187</v>
      </c>
    </row>
    <row r="674" spans="1:11" x14ac:dyDescent="0.2">
      <c r="A674" t="s">
        <v>364</v>
      </c>
      <c r="B674" t="s">
        <v>82</v>
      </c>
      <c r="C674" t="s">
        <v>366</v>
      </c>
      <c r="D674" t="s">
        <v>369</v>
      </c>
      <c r="E674" t="s">
        <v>27</v>
      </c>
      <c r="F674" s="330">
        <v>3.6</v>
      </c>
      <c r="G674" s="330">
        <v>4500</v>
      </c>
      <c r="H674" s="310">
        <f t="shared" si="30"/>
        <v>1250</v>
      </c>
      <c r="I674" s="311">
        <v>0.35</v>
      </c>
      <c r="J674" s="310">
        <f t="shared" si="31"/>
        <v>2925</v>
      </c>
      <c r="K674" s="310">
        <f t="shared" si="32"/>
        <v>812.5</v>
      </c>
    </row>
    <row r="675" spans="1:11" x14ac:dyDescent="0.2">
      <c r="A675" t="s">
        <v>364</v>
      </c>
      <c r="B675" t="s">
        <v>82</v>
      </c>
      <c r="C675" t="s">
        <v>366</v>
      </c>
      <c r="D675" t="s">
        <v>369</v>
      </c>
      <c r="E675" t="s">
        <v>27</v>
      </c>
      <c r="F675" s="330">
        <v>3.77</v>
      </c>
      <c r="G675" s="330">
        <v>4600</v>
      </c>
      <c r="H675" s="310">
        <f t="shared" si="30"/>
        <v>1220.159151193634</v>
      </c>
      <c r="I675" s="311">
        <v>0.35</v>
      </c>
      <c r="J675" s="310">
        <f t="shared" si="31"/>
        <v>2990</v>
      </c>
      <c r="K675" s="310">
        <f t="shared" si="32"/>
        <v>793.10344827586209</v>
      </c>
    </row>
    <row r="676" spans="1:11" x14ac:dyDescent="0.2">
      <c r="A676" t="s">
        <v>364</v>
      </c>
      <c r="B676" t="s">
        <v>82</v>
      </c>
      <c r="C676" t="s">
        <v>366</v>
      </c>
      <c r="D676" t="s">
        <v>369</v>
      </c>
      <c r="E676" t="s">
        <v>27</v>
      </c>
      <c r="F676" s="330">
        <v>4.03</v>
      </c>
      <c r="G676" s="330">
        <v>4800</v>
      </c>
      <c r="H676" s="310">
        <f t="shared" si="30"/>
        <v>1191.0669975186104</v>
      </c>
      <c r="I676" s="311">
        <v>0.35</v>
      </c>
      <c r="J676" s="310">
        <f t="shared" si="31"/>
        <v>3120</v>
      </c>
      <c r="K676" s="310">
        <f t="shared" si="32"/>
        <v>774.19354838709671</v>
      </c>
    </row>
    <row r="677" spans="1:11" x14ac:dyDescent="0.2">
      <c r="A677" t="s">
        <v>364</v>
      </c>
      <c r="B677" t="s">
        <v>82</v>
      </c>
      <c r="C677" t="s">
        <v>366</v>
      </c>
      <c r="D677" t="s">
        <v>369</v>
      </c>
      <c r="E677" t="s">
        <v>27</v>
      </c>
      <c r="F677" s="330">
        <v>4.0599999999999996</v>
      </c>
      <c r="G677" s="330">
        <v>4800</v>
      </c>
      <c r="H677" s="310">
        <f t="shared" si="30"/>
        <v>1182.2660098522169</v>
      </c>
      <c r="I677" s="311">
        <v>0.35</v>
      </c>
      <c r="J677" s="310">
        <f t="shared" si="31"/>
        <v>3120</v>
      </c>
      <c r="K677" s="310">
        <f t="shared" si="32"/>
        <v>768.47290640394101</v>
      </c>
    </row>
    <row r="678" spans="1:11" x14ac:dyDescent="0.2">
      <c r="A678" t="s">
        <v>364</v>
      </c>
      <c r="B678" t="s">
        <v>82</v>
      </c>
      <c r="C678" t="s">
        <v>366</v>
      </c>
      <c r="D678" t="s">
        <v>369</v>
      </c>
      <c r="E678" t="s">
        <v>27</v>
      </c>
      <c r="F678" s="330">
        <v>4.32</v>
      </c>
      <c r="G678" s="330">
        <v>6000</v>
      </c>
      <c r="H678" s="310">
        <f t="shared" si="30"/>
        <v>1388.8888888888887</v>
      </c>
      <c r="I678" s="311">
        <v>0.35</v>
      </c>
      <c r="J678" s="310">
        <f t="shared" si="31"/>
        <v>3900</v>
      </c>
      <c r="K678" s="310">
        <f t="shared" si="32"/>
        <v>902.77777777777771</v>
      </c>
    </row>
    <row r="679" spans="1:11" x14ac:dyDescent="0.2">
      <c r="A679" t="s">
        <v>364</v>
      </c>
      <c r="B679" t="s">
        <v>82</v>
      </c>
      <c r="C679" t="s">
        <v>366</v>
      </c>
      <c r="D679" t="s">
        <v>369</v>
      </c>
      <c r="E679" t="s">
        <v>27</v>
      </c>
      <c r="F679" s="330">
        <v>4.8</v>
      </c>
      <c r="G679" s="330">
        <v>6200</v>
      </c>
      <c r="H679" s="310">
        <f t="shared" si="30"/>
        <v>1291.6666666666667</v>
      </c>
      <c r="I679" s="311">
        <v>0.35</v>
      </c>
      <c r="J679" s="310">
        <f t="shared" si="31"/>
        <v>4030</v>
      </c>
      <c r="K679" s="310">
        <f t="shared" si="32"/>
        <v>839.58333333333337</v>
      </c>
    </row>
    <row r="680" spans="1:11" x14ac:dyDescent="0.2">
      <c r="A680" t="s">
        <v>364</v>
      </c>
      <c r="B680" t="s">
        <v>82</v>
      </c>
      <c r="C680" t="s">
        <v>366</v>
      </c>
      <c r="D680" t="s">
        <v>369</v>
      </c>
      <c r="E680" t="s">
        <v>27</v>
      </c>
      <c r="F680" s="330">
        <v>4.93</v>
      </c>
      <c r="G680" s="330">
        <v>6200</v>
      </c>
      <c r="H680" s="310">
        <f t="shared" si="30"/>
        <v>1257.606490872211</v>
      </c>
      <c r="I680" s="311">
        <v>0.35</v>
      </c>
      <c r="J680" s="310">
        <f t="shared" si="31"/>
        <v>4030</v>
      </c>
      <c r="K680" s="310">
        <f t="shared" si="32"/>
        <v>817.44421906693719</v>
      </c>
    </row>
    <row r="681" spans="1:11" x14ac:dyDescent="0.2">
      <c r="A681" t="s">
        <v>364</v>
      </c>
      <c r="B681" t="s">
        <v>82</v>
      </c>
      <c r="C681" t="s">
        <v>366</v>
      </c>
      <c r="D681" t="s">
        <v>369</v>
      </c>
      <c r="E681" t="s">
        <v>26</v>
      </c>
      <c r="F681" s="330">
        <v>5.04</v>
      </c>
      <c r="G681" s="330">
        <v>6200</v>
      </c>
      <c r="H681" s="310">
        <f t="shared" si="30"/>
        <v>1230.1587301587301</v>
      </c>
      <c r="I681" s="311">
        <v>0.35</v>
      </c>
      <c r="J681" s="310">
        <f t="shared" si="31"/>
        <v>4030</v>
      </c>
      <c r="K681" s="310">
        <f t="shared" si="32"/>
        <v>799.60317460317458</v>
      </c>
    </row>
    <row r="682" spans="1:11" x14ac:dyDescent="0.2">
      <c r="A682" t="s">
        <v>364</v>
      </c>
      <c r="B682" t="s">
        <v>82</v>
      </c>
      <c r="C682" t="s">
        <v>366</v>
      </c>
      <c r="D682" t="s">
        <v>369</v>
      </c>
      <c r="E682" t="s">
        <v>26</v>
      </c>
      <c r="F682" s="330">
        <v>5.51</v>
      </c>
      <c r="G682" s="330">
        <v>6500</v>
      </c>
      <c r="H682" s="310">
        <f t="shared" si="30"/>
        <v>1179.6733212341198</v>
      </c>
      <c r="I682" s="311">
        <v>0.35</v>
      </c>
      <c r="J682" s="310">
        <f t="shared" si="31"/>
        <v>4225</v>
      </c>
      <c r="K682" s="310">
        <f t="shared" si="32"/>
        <v>766.78765880217793</v>
      </c>
    </row>
    <row r="683" spans="1:11" x14ac:dyDescent="0.2">
      <c r="A683" t="s">
        <v>364</v>
      </c>
      <c r="B683" t="s">
        <v>82</v>
      </c>
      <c r="C683" t="s">
        <v>366</v>
      </c>
      <c r="D683" t="s">
        <v>369</v>
      </c>
      <c r="E683" t="s">
        <v>26</v>
      </c>
      <c r="F683" s="330">
        <v>6.12</v>
      </c>
      <c r="G683" s="330">
        <v>7200</v>
      </c>
      <c r="H683" s="310">
        <f t="shared" si="30"/>
        <v>1176.4705882352941</v>
      </c>
      <c r="I683" s="311">
        <v>0.35</v>
      </c>
      <c r="J683" s="310">
        <f t="shared" si="31"/>
        <v>4680</v>
      </c>
      <c r="K683" s="310">
        <f t="shared" si="32"/>
        <v>764.70588235294122</v>
      </c>
    </row>
    <row r="684" spans="1:11" x14ac:dyDescent="0.2">
      <c r="A684" t="s">
        <v>364</v>
      </c>
      <c r="B684" t="s">
        <v>82</v>
      </c>
      <c r="C684" t="s">
        <v>366</v>
      </c>
      <c r="D684" t="s">
        <v>369</v>
      </c>
      <c r="E684" t="s">
        <v>26</v>
      </c>
      <c r="F684" s="330">
        <v>6.58</v>
      </c>
      <c r="G684" s="330">
        <v>8000</v>
      </c>
      <c r="H684" s="310">
        <f t="shared" si="30"/>
        <v>1215.80547112462</v>
      </c>
      <c r="I684" s="311">
        <v>0.35</v>
      </c>
      <c r="J684" s="310">
        <f t="shared" si="31"/>
        <v>5200</v>
      </c>
      <c r="K684" s="310">
        <f t="shared" si="32"/>
        <v>790.273556231003</v>
      </c>
    </row>
    <row r="685" spans="1:11" x14ac:dyDescent="0.2">
      <c r="A685" t="s">
        <v>364</v>
      </c>
      <c r="B685" t="s">
        <v>82</v>
      </c>
      <c r="C685" t="s">
        <v>366</v>
      </c>
      <c r="D685" t="s">
        <v>369</v>
      </c>
      <c r="E685" t="s">
        <v>26</v>
      </c>
      <c r="F685" s="330">
        <v>7.05</v>
      </c>
      <c r="G685" s="330">
        <v>8300</v>
      </c>
      <c r="H685" s="310">
        <f t="shared" si="30"/>
        <v>1177.3049645390072</v>
      </c>
      <c r="I685" s="311">
        <v>0.35</v>
      </c>
      <c r="J685" s="310">
        <f t="shared" si="31"/>
        <v>5395</v>
      </c>
      <c r="K685" s="310">
        <f t="shared" si="32"/>
        <v>765.24822695035459</v>
      </c>
    </row>
    <row r="686" spans="1:11" x14ac:dyDescent="0.2">
      <c r="A686" t="s">
        <v>364</v>
      </c>
      <c r="B686" t="s">
        <v>82</v>
      </c>
      <c r="C686" t="s">
        <v>366</v>
      </c>
      <c r="D686" t="s">
        <v>369</v>
      </c>
      <c r="E686" t="s">
        <v>26</v>
      </c>
      <c r="F686" s="330">
        <v>7.65</v>
      </c>
      <c r="G686" s="330">
        <v>9100</v>
      </c>
      <c r="H686" s="310">
        <f t="shared" si="30"/>
        <v>1189.5424836601308</v>
      </c>
      <c r="I686" s="311">
        <v>0.35</v>
      </c>
      <c r="J686" s="310">
        <f t="shared" si="31"/>
        <v>5915</v>
      </c>
      <c r="K686" s="310">
        <f t="shared" si="32"/>
        <v>773.20261437908493</v>
      </c>
    </row>
    <row r="687" spans="1:11" x14ac:dyDescent="0.2">
      <c r="A687" t="s">
        <v>364</v>
      </c>
      <c r="B687" t="s">
        <v>82</v>
      </c>
      <c r="C687" t="s">
        <v>366</v>
      </c>
      <c r="D687" t="s">
        <v>369</v>
      </c>
      <c r="E687" t="s">
        <v>26</v>
      </c>
      <c r="F687" s="330">
        <v>7.83</v>
      </c>
      <c r="G687" s="330">
        <v>9400</v>
      </c>
      <c r="H687" s="310">
        <f t="shared" si="30"/>
        <v>1200.5108556832695</v>
      </c>
      <c r="I687" s="311">
        <v>0.35</v>
      </c>
      <c r="J687" s="310">
        <f t="shared" si="31"/>
        <v>6110</v>
      </c>
      <c r="K687" s="310">
        <f t="shared" si="32"/>
        <v>780.33205619412513</v>
      </c>
    </row>
    <row r="688" spans="1:11" x14ac:dyDescent="0.2">
      <c r="A688" t="s">
        <v>364</v>
      </c>
      <c r="B688" t="s">
        <v>82</v>
      </c>
      <c r="C688" t="s">
        <v>366</v>
      </c>
      <c r="D688" t="s">
        <v>369</v>
      </c>
      <c r="E688" t="s">
        <v>26</v>
      </c>
      <c r="F688" s="330">
        <v>7.99</v>
      </c>
      <c r="G688" s="330">
        <v>9900</v>
      </c>
      <c r="H688" s="310">
        <f t="shared" si="30"/>
        <v>1239.0488110137671</v>
      </c>
      <c r="I688" s="311">
        <v>0.35</v>
      </c>
      <c r="J688" s="310">
        <f t="shared" si="31"/>
        <v>6435</v>
      </c>
      <c r="K688" s="310">
        <f t="shared" si="32"/>
        <v>805.38172715894871</v>
      </c>
    </row>
    <row r="689" spans="1:11" x14ac:dyDescent="0.2">
      <c r="A689" t="s">
        <v>364</v>
      </c>
      <c r="B689" t="s">
        <v>82</v>
      </c>
      <c r="C689" t="s">
        <v>366</v>
      </c>
      <c r="D689" t="s">
        <v>369</v>
      </c>
      <c r="E689" t="s">
        <v>26</v>
      </c>
      <c r="F689" s="330">
        <v>8.0500000000000007</v>
      </c>
      <c r="G689" s="330">
        <v>9900</v>
      </c>
      <c r="H689" s="310">
        <f t="shared" si="30"/>
        <v>1229.8136645962732</v>
      </c>
      <c r="I689" s="311">
        <v>0.35</v>
      </c>
      <c r="J689" s="310">
        <f t="shared" si="31"/>
        <v>6435</v>
      </c>
      <c r="K689" s="310">
        <f t="shared" si="32"/>
        <v>799.37888198757753</v>
      </c>
    </row>
    <row r="690" spans="1:11" x14ac:dyDescent="0.2">
      <c r="A690" t="s">
        <v>364</v>
      </c>
      <c r="B690" t="s">
        <v>82</v>
      </c>
      <c r="C690" t="s">
        <v>366</v>
      </c>
      <c r="D690" t="s">
        <v>369</v>
      </c>
      <c r="E690" t="s">
        <v>26</v>
      </c>
      <c r="F690" s="330">
        <v>8.4</v>
      </c>
      <c r="G690" s="330">
        <v>10100</v>
      </c>
      <c r="H690" s="310">
        <f t="shared" si="30"/>
        <v>1202.3809523809523</v>
      </c>
      <c r="I690" s="311">
        <v>0.35</v>
      </c>
      <c r="J690" s="310">
        <f t="shared" si="31"/>
        <v>6565</v>
      </c>
      <c r="K690" s="310">
        <f t="shared" si="32"/>
        <v>781.54761904761904</v>
      </c>
    </row>
    <row r="691" spans="1:11" x14ac:dyDescent="0.2">
      <c r="A691" t="s">
        <v>364</v>
      </c>
      <c r="B691" t="s">
        <v>82</v>
      </c>
      <c r="C691" t="s">
        <v>366</v>
      </c>
      <c r="D691" t="s">
        <v>369</v>
      </c>
      <c r="E691" t="s">
        <v>26</v>
      </c>
      <c r="F691" s="330">
        <v>8.6999999999999993</v>
      </c>
      <c r="G691" s="330">
        <v>10700</v>
      </c>
      <c r="H691" s="310">
        <f t="shared" si="30"/>
        <v>1229.8850574712644</v>
      </c>
      <c r="I691" s="311">
        <v>0.35</v>
      </c>
      <c r="J691" s="310">
        <f t="shared" si="31"/>
        <v>6955</v>
      </c>
      <c r="K691" s="310">
        <f t="shared" si="32"/>
        <v>799.42528735632186</v>
      </c>
    </row>
    <row r="692" spans="1:11" x14ac:dyDescent="0.2">
      <c r="A692" t="s">
        <v>364</v>
      </c>
      <c r="B692" t="s">
        <v>82</v>
      </c>
      <c r="C692" t="s">
        <v>366</v>
      </c>
      <c r="D692" t="s">
        <v>369</v>
      </c>
      <c r="E692" t="s">
        <v>26</v>
      </c>
      <c r="F692" s="330">
        <v>8.99</v>
      </c>
      <c r="G692" s="330">
        <v>11000</v>
      </c>
      <c r="H692" s="310">
        <f t="shared" si="30"/>
        <v>1223.5817575083427</v>
      </c>
      <c r="I692" s="311">
        <v>0.35</v>
      </c>
      <c r="J692" s="310">
        <f t="shared" si="31"/>
        <v>7150</v>
      </c>
      <c r="K692" s="310">
        <f t="shared" si="32"/>
        <v>795.32814238042272</v>
      </c>
    </row>
    <row r="693" spans="1:11" x14ac:dyDescent="0.2">
      <c r="A693" t="s">
        <v>364</v>
      </c>
      <c r="B693" t="s">
        <v>82</v>
      </c>
      <c r="C693" t="s">
        <v>366</v>
      </c>
      <c r="D693" t="s">
        <v>369</v>
      </c>
      <c r="E693" t="s">
        <v>26</v>
      </c>
      <c r="F693" s="330">
        <v>9.4499999999999993</v>
      </c>
      <c r="G693" s="330">
        <v>11600</v>
      </c>
      <c r="H693" s="310">
        <f t="shared" si="30"/>
        <v>1227.5132275132275</v>
      </c>
      <c r="I693" s="311">
        <v>0.35</v>
      </c>
      <c r="J693" s="310">
        <f t="shared" si="31"/>
        <v>7540</v>
      </c>
      <c r="K693" s="310">
        <f t="shared" si="32"/>
        <v>797.88359788359799</v>
      </c>
    </row>
    <row r="694" spans="1:11" x14ac:dyDescent="0.2">
      <c r="A694" t="s">
        <v>364</v>
      </c>
      <c r="B694" t="s">
        <v>82</v>
      </c>
      <c r="C694" t="s">
        <v>366</v>
      </c>
      <c r="D694" t="s">
        <v>369</v>
      </c>
      <c r="E694" t="s">
        <v>26</v>
      </c>
      <c r="F694" s="330">
        <v>9.86</v>
      </c>
      <c r="G694" s="330">
        <v>12800</v>
      </c>
      <c r="H694" s="310">
        <f t="shared" si="30"/>
        <v>1298.1744421906694</v>
      </c>
      <c r="I694" s="311">
        <v>0.35</v>
      </c>
      <c r="J694" s="310">
        <f t="shared" si="31"/>
        <v>8320</v>
      </c>
      <c r="K694" s="310">
        <f t="shared" si="32"/>
        <v>843.81338742393518</v>
      </c>
    </row>
    <row r="695" spans="1:11" x14ac:dyDescent="0.2">
      <c r="A695" t="s">
        <v>364</v>
      </c>
      <c r="B695" t="s">
        <v>82</v>
      </c>
      <c r="C695" t="s">
        <v>366</v>
      </c>
      <c r="D695" t="s">
        <v>369</v>
      </c>
      <c r="E695" t="s">
        <v>25</v>
      </c>
      <c r="F695" s="330">
        <v>11.4</v>
      </c>
      <c r="G695" s="330">
        <v>14500</v>
      </c>
      <c r="H695" s="310">
        <f t="shared" si="30"/>
        <v>1271.9298245614034</v>
      </c>
      <c r="I695" s="311">
        <v>0.35</v>
      </c>
      <c r="J695" s="310">
        <f t="shared" si="31"/>
        <v>9425</v>
      </c>
      <c r="K695" s="310">
        <f t="shared" si="32"/>
        <v>826.75438596491222</v>
      </c>
    </row>
    <row r="696" spans="1:11" x14ac:dyDescent="0.2">
      <c r="A696" t="s">
        <v>364</v>
      </c>
      <c r="B696" t="s">
        <v>82</v>
      </c>
      <c r="C696" t="s">
        <v>366</v>
      </c>
      <c r="D696" t="s">
        <v>369</v>
      </c>
      <c r="E696" t="s">
        <v>25</v>
      </c>
      <c r="F696" s="330">
        <v>12.35</v>
      </c>
      <c r="G696" s="330">
        <v>16400</v>
      </c>
      <c r="H696" s="310">
        <f t="shared" si="30"/>
        <v>1327.9352226720648</v>
      </c>
      <c r="I696" s="311">
        <v>0.35</v>
      </c>
      <c r="J696" s="310">
        <f t="shared" si="31"/>
        <v>10660</v>
      </c>
      <c r="K696" s="310">
        <f t="shared" si="32"/>
        <v>863.15789473684208</v>
      </c>
    </row>
    <row r="697" spans="1:11" x14ac:dyDescent="0.2">
      <c r="A697" t="s">
        <v>364</v>
      </c>
      <c r="B697" t="s">
        <v>82</v>
      </c>
      <c r="C697" t="s">
        <v>366</v>
      </c>
      <c r="D697" t="s">
        <v>369</v>
      </c>
      <c r="E697" t="s">
        <v>25</v>
      </c>
      <c r="F697" s="330">
        <v>12.69</v>
      </c>
      <c r="G697" s="330">
        <v>16400</v>
      </c>
      <c r="H697" s="310">
        <f t="shared" si="30"/>
        <v>1292.3561859732074</v>
      </c>
      <c r="I697" s="311">
        <v>0.35</v>
      </c>
      <c r="J697" s="310">
        <f t="shared" si="31"/>
        <v>10660</v>
      </c>
      <c r="K697" s="310">
        <f t="shared" si="32"/>
        <v>840.0315208825848</v>
      </c>
    </row>
    <row r="698" spans="1:11" x14ac:dyDescent="0.2">
      <c r="A698" t="s">
        <v>364</v>
      </c>
      <c r="B698" t="s">
        <v>82</v>
      </c>
      <c r="C698" t="s">
        <v>366</v>
      </c>
      <c r="D698" t="s">
        <v>369</v>
      </c>
      <c r="E698" t="s">
        <v>25</v>
      </c>
      <c r="F698" s="330">
        <v>12.96</v>
      </c>
      <c r="G698" s="330">
        <v>16400</v>
      </c>
      <c r="H698" s="310">
        <f t="shared" si="30"/>
        <v>1265.4320987654321</v>
      </c>
      <c r="I698" s="311">
        <v>0.35</v>
      </c>
      <c r="J698" s="310">
        <f t="shared" si="31"/>
        <v>10660</v>
      </c>
      <c r="K698" s="310">
        <f t="shared" si="32"/>
        <v>822.53086419753083</v>
      </c>
    </row>
    <row r="699" spans="1:11" x14ac:dyDescent="0.2">
      <c r="A699" t="s">
        <v>364</v>
      </c>
      <c r="B699" t="s">
        <v>82</v>
      </c>
      <c r="C699" t="s">
        <v>366</v>
      </c>
      <c r="D699" t="s">
        <v>369</v>
      </c>
      <c r="E699" t="s">
        <v>25</v>
      </c>
      <c r="F699" s="330">
        <v>16.25</v>
      </c>
      <c r="G699" s="330">
        <v>18500</v>
      </c>
      <c r="H699" s="310">
        <f t="shared" si="30"/>
        <v>1138.4615384615386</v>
      </c>
      <c r="I699" s="311">
        <v>0.35</v>
      </c>
      <c r="J699" s="310">
        <f t="shared" si="31"/>
        <v>12025</v>
      </c>
      <c r="K699" s="310">
        <f t="shared" si="32"/>
        <v>740</v>
      </c>
    </row>
    <row r="700" spans="1:11" x14ac:dyDescent="0.2">
      <c r="A700" t="s">
        <v>364</v>
      </c>
      <c r="B700" t="s">
        <v>82</v>
      </c>
      <c r="C700" t="s">
        <v>366</v>
      </c>
      <c r="D700" t="s">
        <v>369</v>
      </c>
      <c r="E700" t="s">
        <v>25</v>
      </c>
      <c r="F700" s="330">
        <v>17.399999999999999</v>
      </c>
      <c r="G700" s="330">
        <v>21000</v>
      </c>
      <c r="H700" s="310">
        <f t="shared" si="30"/>
        <v>1206.8965517241381</v>
      </c>
      <c r="I700" s="311">
        <v>0.35</v>
      </c>
      <c r="J700" s="310">
        <f t="shared" si="31"/>
        <v>13650</v>
      </c>
      <c r="K700" s="310">
        <f t="shared" si="32"/>
        <v>784.48275862068976</v>
      </c>
    </row>
    <row r="701" spans="1:11" x14ac:dyDescent="0.2">
      <c r="A701" t="s">
        <v>364</v>
      </c>
      <c r="B701" t="s">
        <v>82</v>
      </c>
      <c r="C701" t="s">
        <v>366</v>
      </c>
      <c r="D701" t="s">
        <v>369</v>
      </c>
      <c r="E701" t="s">
        <v>25</v>
      </c>
      <c r="F701" s="330">
        <v>19.2</v>
      </c>
      <c r="G701" s="330">
        <v>23500</v>
      </c>
      <c r="H701" s="310">
        <f t="shared" si="30"/>
        <v>1223.9583333333335</v>
      </c>
      <c r="I701" s="311">
        <v>0.35</v>
      </c>
      <c r="J701" s="310">
        <f t="shared" si="31"/>
        <v>15275</v>
      </c>
      <c r="K701" s="310">
        <f t="shared" si="32"/>
        <v>795.57291666666674</v>
      </c>
    </row>
    <row r="702" spans="1:11" x14ac:dyDescent="0.2">
      <c r="A702" t="s">
        <v>364</v>
      </c>
      <c r="B702" t="s">
        <v>82</v>
      </c>
      <c r="C702" t="s">
        <v>366</v>
      </c>
      <c r="D702" t="s">
        <v>369</v>
      </c>
      <c r="E702" t="s">
        <v>28</v>
      </c>
      <c r="F702" s="330">
        <v>20.149999999999999</v>
      </c>
      <c r="G702" s="330">
        <v>23500</v>
      </c>
      <c r="H702" s="310">
        <f t="shared" si="30"/>
        <v>1166.2531017369729</v>
      </c>
      <c r="I702" s="311">
        <v>0.35</v>
      </c>
      <c r="J702" s="310">
        <f t="shared" si="31"/>
        <v>15275</v>
      </c>
      <c r="K702" s="310">
        <f t="shared" si="32"/>
        <v>758.06451612903231</v>
      </c>
    </row>
    <row r="703" spans="1:11" x14ac:dyDescent="0.2">
      <c r="A703" t="s">
        <v>364</v>
      </c>
      <c r="B703" t="s">
        <v>82</v>
      </c>
      <c r="C703" t="s">
        <v>366</v>
      </c>
      <c r="D703" t="s">
        <v>369</v>
      </c>
      <c r="E703" t="s">
        <v>28</v>
      </c>
      <c r="F703" s="330">
        <v>20.48</v>
      </c>
      <c r="G703" s="330">
        <v>23500</v>
      </c>
      <c r="H703" s="310">
        <f t="shared" si="30"/>
        <v>1147.4609375</v>
      </c>
      <c r="I703" s="311">
        <v>0.35</v>
      </c>
      <c r="J703" s="310">
        <f t="shared" si="31"/>
        <v>15275</v>
      </c>
      <c r="K703" s="310">
        <f t="shared" si="32"/>
        <v>745.849609375</v>
      </c>
    </row>
    <row r="704" spans="1:11" x14ac:dyDescent="0.2">
      <c r="A704" t="s">
        <v>364</v>
      </c>
      <c r="B704" t="s">
        <v>82</v>
      </c>
      <c r="C704" t="s">
        <v>366</v>
      </c>
      <c r="D704" t="s">
        <v>369</v>
      </c>
      <c r="E704" t="s">
        <v>28</v>
      </c>
      <c r="F704" s="330">
        <v>20.8</v>
      </c>
      <c r="G704" s="330">
        <v>23500</v>
      </c>
      <c r="H704" s="310">
        <f t="shared" si="30"/>
        <v>1129.8076923076924</v>
      </c>
      <c r="I704" s="311">
        <v>0.35</v>
      </c>
      <c r="J704" s="310">
        <f t="shared" si="31"/>
        <v>15275</v>
      </c>
      <c r="K704" s="310">
        <f t="shared" si="32"/>
        <v>734.375</v>
      </c>
    </row>
    <row r="705" spans="1:11" x14ac:dyDescent="0.2">
      <c r="A705" t="s">
        <v>364</v>
      </c>
      <c r="B705" t="s">
        <v>82</v>
      </c>
      <c r="C705" t="s">
        <v>366</v>
      </c>
      <c r="D705" t="s">
        <v>369</v>
      </c>
      <c r="E705" t="s">
        <v>28</v>
      </c>
      <c r="F705" s="330">
        <v>22.95</v>
      </c>
      <c r="G705" s="330">
        <v>26600</v>
      </c>
      <c r="H705" s="310">
        <f t="shared" si="30"/>
        <v>1159.041394335512</v>
      </c>
      <c r="I705" s="311">
        <v>0.35</v>
      </c>
      <c r="J705" s="310">
        <f t="shared" si="31"/>
        <v>17290</v>
      </c>
      <c r="K705" s="310">
        <f t="shared" si="32"/>
        <v>753.37690631808277</v>
      </c>
    </row>
    <row r="706" spans="1:11" x14ac:dyDescent="0.2">
      <c r="A706" t="s">
        <v>364</v>
      </c>
      <c r="B706" t="s">
        <v>82</v>
      </c>
      <c r="C706" t="s">
        <v>366</v>
      </c>
      <c r="D706" t="s">
        <v>369</v>
      </c>
      <c r="E706" t="s">
        <v>28</v>
      </c>
      <c r="F706" s="330">
        <v>26</v>
      </c>
      <c r="G706" s="330">
        <v>28800</v>
      </c>
      <c r="H706" s="310">
        <f t="shared" ref="H706:H769" si="33">G706/F706</f>
        <v>1107.6923076923076</v>
      </c>
      <c r="I706" s="311">
        <v>0.35</v>
      </c>
      <c r="J706" s="310">
        <f t="shared" ref="J706:J769" si="34">G706*(1-I706)</f>
        <v>18720</v>
      </c>
      <c r="K706" s="310">
        <f t="shared" ref="K706:K769" si="35">J706/F706</f>
        <v>720</v>
      </c>
    </row>
    <row r="707" spans="1:11" x14ac:dyDescent="0.2">
      <c r="A707" t="s">
        <v>364</v>
      </c>
      <c r="B707" t="s">
        <v>82</v>
      </c>
      <c r="C707" t="s">
        <v>366</v>
      </c>
      <c r="D707" t="s">
        <v>369</v>
      </c>
      <c r="E707" t="s">
        <v>30</v>
      </c>
      <c r="F707" s="330">
        <v>33.6</v>
      </c>
      <c r="G707" s="330">
        <v>36500</v>
      </c>
      <c r="H707" s="310">
        <f t="shared" si="33"/>
        <v>1086.3095238095239</v>
      </c>
      <c r="I707" s="311">
        <v>0.35</v>
      </c>
      <c r="J707" s="310">
        <f t="shared" si="34"/>
        <v>23725</v>
      </c>
      <c r="K707" s="310">
        <f t="shared" si="35"/>
        <v>706.10119047619048</v>
      </c>
    </row>
    <row r="708" spans="1:11" x14ac:dyDescent="0.2">
      <c r="A708" t="s">
        <v>364</v>
      </c>
      <c r="B708" t="s">
        <v>82</v>
      </c>
      <c r="C708" t="s">
        <v>366</v>
      </c>
      <c r="D708" t="s">
        <v>369</v>
      </c>
      <c r="E708" t="s">
        <v>30</v>
      </c>
      <c r="F708" s="330">
        <v>34</v>
      </c>
      <c r="G708" s="330">
        <v>36500</v>
      </c>
      <c r="H708" s="310">
        <f t="shared" si="33"/>
        <v>1073.5294117647059</v>
      </c>
      <c r="I708" s="311">
        <v>0.35</v>
      </c>
      <c r="J708" s="310">
        <f t="shared" si="34"/>
        <v>23725</v>
      </c>
      <c r="K708" s="310">
        <f t="shared" si="35"/>
        <v>697.79411764705878</v>
      </c>
    </row>
    <row r="709" spans="1:11" x14ac:dyDescent="0.2">
      <c r="A709" t="s">
        <v>364</v>
      </c>
      <c r="B709" t="s">
        <v>82</v>
      </c>
      <c r="C709" t="s">
        <v>366</v>
      </c>
      <c r="D709" t="s">
        <v>369</v>
      </c>
      <c r="E709" t="s">
        <v>30</v>
      </c>
      <c r="F709" s="330">
        <v>36.4</v>
      </c>
      <c r="G709" s="330">
        <v>38500</v>
      </c>
      <c r="H709" s="310">
        <f t="shared" si="33"/>
        <v>1057.6923076923076</v>
      </c>
      <c r="I709" s="311">
        <v>0.35</v>
      </c>
      <c r="J709" s="310">
        <f t="shared" si="34"/>
        <v>25025</v>
      </c>
      <c r="K709" s="310">
        <f t="shared" si="35"/>
        <v>687.5</v>
      </c>
    </row>
    <row r="710" spans="1:11" x14ac:dyDescent="0.2">
      <c r="A710" t="s">
        <v>364</v>
      </c>
      <c r="B710" t="s">
        <v>82</v>
      </c>
      <c r="C710" t="s">
        <v>366</v>
      </c>
      <c r="D710" t="s">
        <v>369</v>
      </c>
      <c r="E710" t="s">
        <v>30</v>
      </c>
      <c r="F710" s="330">
        <v>51</v>
      </c>
      <c r="G710" s="330">
        <v>55000</v>
      </c>
      <c r="H710" s="310">
        <f t="shared" si="33"/>
        <v>1078.4313725490197</v>
      </c>
      <c r="I710" s="311">
        <v>0.35</v>
      </c>
      <c r="J710" s="310">
        <f t="shared" si="34"/>
        <v>35750</v>
      </c>
      <c r="K710" s="310">
        <f t="shared" si="35"/>
        <v>700.98039215686276</v>
      </c>
    </row>
    <row r="711" spans="1:11" x14ac:dyDescent="0.2">
      <c r="A711" t="s">
        <v>364</v>
      </c>
      <c r="B711" t="s">
        <v>80</v>
      </c>
      <c r="C711" t="s">
        <v>366</v>
      </c>
      <c r="D711" t="s">
        <v>120</v>
      </c>
      <c r="E711" t="s">
        <v>19</v>
      </c>
      <c r="F711" s="330">
        <v>0.6</v>
      </c>
      <c r="G711" s="330">
        <v>988.04</v>
      </c>
      <c r="H711" s="310">
        <f t="shared" si="33"/>
        <v>1646.7333333333333</v>
      </c>
      <c r="I711" s="311">
        <v>0</v>
      </c>
      <c r="J711" s="310">
        <f t="shared" si="34"/>
        <v>988.04</v>
      </c>
      <c r="K711" s="310">
        <f t="shared" si="35"/>
        <v>1646.7333333333333</v>
      </c>
    </row>
    <row r="712" spans="1:11" x14ac:dyDescent="0.2">
      <c r="A712" t="s">
        <v>364</v>
      </c>
      <c r="B712" t="s">
        <v>80</v>
      </c>
      <c r="C712" t="s">
        <v>366</v>
      </c>
      <c r="D712" t="s">
        <v>120</v>
      </c>
      <c r="E712" t="s">
        <v>20</v>
      </c>
      <c r="F712" s="330">
        <v>0.6</v>
      </c>
      <c r="G712" s="330">
        <v>614.21</v>
      </c>
      <c r="H712" s="310">
        <f t="shared" si="33"/>
        <v>1023.6833333333334</v>
      </c>
      <c r="I712" s="311">
        <v>0</v>
      </c>
      <c r="J712" s="310">
        <f t="shared" si="34"/>
        <v>614.21</v>
      </c>
      <c r="K712" s="310">
        <f t="shared" si="35"/>
        <v>1023.6833333333334</v>
      </c>
    </row>
    <row r="713" spans="1:11" x14ac:dyDescent="0.2">
      <c r="A713" t="s">
        <v>364</v>
      </c>
      <c r="B713" t="s">
        <v>80</v>
      </c>
      <c r="C713" t="s">
        <v>366</v>
      </c>
      <c r="D713" t="s">
        <v>120</v>
      </c>
      <c r="E713" t="s">
        <v>20</v>
      </c>
      <c r="F713" s="330">
        <v>0.6</v>
      </c>
      <c r="G713" s="330">
        <v>847.85</v>
      </c>
      <c r="H713" s="310">
        <f t="shared" si="33"/>
        <v>1413.0833333333335</v>
      </c>
      <c r="I713" s="311">
        <v>0</v>
      </c>
      <c r="J713" s="310">
        <f t="shared" si="34"/>
        <v>847.85</v>
      </c>
      <c r="K713" s="310">
        <f t="shared" si="35"/>
        <v>1413.0833333333335</v>
      </c>
    </row>
    <row r="714" spans="1:11" x14ac:dyDescent="0.2">
      <c r="A714" t="s">
        <v>364</v>
      </c>
      <c r="B714" t="s">
        <v>80</v>
      </c>
      <c r="C714" t="s">
        <v>366</v>
      </c>
      <c r="D714" t="s">
        <v>369</v>
      </c>
      <c r="E714" t="s">
        <v>23</v>
      </c>
      <c r="F714" s="330">
        <v>0.8</v>
      </c>
      <c r="G714" s="330">
        <v>1500</v>
      </c>
      <c r="H714" s="310">
        <f t="shared" si="33"/>
        <v>1875</v>
      </c>
      <c r="I714" s="311">
        <v>0.35</v>
      </c>
      <c r="J714" s="310">
        <f t="shared" si="34"/>
        <v>975</v>
      </c>
      <c r="K714" s="310">
        <f t="shared" si="35"/>
        <v>1218.75</v>
      </c>
    </row>
    <row r="715" spans="1:11" x14ac:dyDescent="0.2">
      <c r="A715" t="s">
        <v>364</v>
      </c>
      <c r="B715" t="s">
        <v>80</v>
      </c>
      <c r="C715" t="s">
        <v>366</v>
      </c>
      <c r="D715" t="s">
        <v>369</v>
      </c>
      <c r="E715" t="s">
        <v>23</v>
      </c>
      <c r="F715" s="330">
        <v>0.9</v>
      </c>
      <c r="G715" s="330">
        <v>1500</v>
      </c>
      <c r="H715" s="310">
        <f t="shared" si="33"/>
        <v>1666.6666666666665</v>
      </c>
      <c r="I715" s="311">
        <v>0.35</v>
      </c>
      <c r="J715" s="310">
        <f t="shared" si="34"/>
        <v>975</v>
      </c>
      <c r="K715" s="310">
        <f t="shared" si="35"/>
        <v>1083.3333333333333</v>
      </c>
    </row>
    <row r="716" spans="1:11" x14ac:dyDescent="0.2">
      <c r="A716" t="s">
        <v>364</v>
      </c>
      <c r="B716" t="s">
        <v>80</v>
      </c>
      <c r="C716" t="s">
        <v>366</v>
      </c>
      <c r="D716" t="s">
        <v>120</v>
      </c>
      <c r="E716" t="s">
        <v>17</v>
      </c>
      <c r="F716" s="330">
        <v>1</v>
      </c>
      <c r="G716" s="330">
        <v>988.04</v>
      </c>
      <c r="H716" s="310">
        <f t="shared" si="33"/>
        <v>988.04</v>
      </c>
      <c r="I716" s="311">
        <v>0</v>
      </c>
      <c r="J716" s="310">
        <f t="shared" si="34"/>
        <v>988.04</v>
      </c>
      <c r="K716" s="310">
        <f t="shared" si="35"/>
        <v>988.04</v>
      </c>
    </row>
    <row r="717" spans="1:11" x14ac:dyDescent="0.2">
      <c r="A717" t="s">
        <v>364</v>
      </c>
      <c r="B717" t="s">
        <v>80</v>
      </c>
      <c r="C717" t="s">
        <v>366</v>
      </c>
      <c r="D717" t="s">
        <v>120</v>
      </c>
      <c r="E717" t="s">
        <v>18</v>
      </c>
      <c r="F717" s="330">
        <v>1</v>
      </c>
      <c r="G717" s="330">
        <v>847.85</v>
      </c>
      <c r="H717" s="310">
        <f t="shared" si="33"/>
        <v>847.85</v>
      </c>
      <c r="I717" s="311">
        <v>0</v>
      </c>
      <c r="J717" s="310">
        <f t="shared" si="34"/>
        <v>847.85</v>
      </c>
      <c r="K717" s="310">
        <f t="shared" si="35"/>
        <v>847.85</v>
      </c>
    </row>
    <row r="718" spans="1:11" x14ac:dyDescent="0.2">
      <c r="A718" t="s">
        <v>364</v>
      </c>
      <c r="B718" t="s">
        <v>80</v>
      </c>
      <c r="C718" t="s">
        <v>366</v>
      </c>
      <c r="D718" t="s">
        <v>369</v>
      </c>
      <c r="E718" t="s">
        <v>23</v>
      </c>
      <c r="F718" s="330">
        <v>1</v>
      </c>
      <c r="G718" s="330">
        <v>1550</v>
      </c>
      <c r="H718" s="310">
        <f t="shared" si="33"/>
        <v>1550</v>
      </c>
      <c r="I718" s="311">
        <v>0.35</v>
      </c>
      <c r="J718" s="310">
        <f t="shared" si="34"/>
        <v>1007.5</v>
      </c>
      <c r="K718" s="310">
        <f t="shared" si="35"/>
        <v>1007.5</v>
      </c>
    </row>
    <row r="719" spans="1:11" x14ac:dyDescent="0.2">
      <c r="A719" t="s">
        <v>364</v>
      </c>
      <c r="B719" t="s">
        <v>80</v>
      </c>
      <c r="C719" t="s">
        <v>366</v>
      </c>
      <c r="D719" t="s">
        <v>369</v>
      </c>
      <c r="E719" t="s">
        <v>23</v>
      </c>
      <c r="F719" s="330">
        <v>1.1000000000000001</v>
      </c>
      <c r="G719" s="330">
        <v>1550</v>
      </c>
      <c r="H719" s="310">
        <f t="shared" si="33"/>
        <v>1409.090909090909</v>
      </c>
      <c r="I719" s="311">
        <v>0.35</v>
      </c>
      <c r="J719" s="310">
        <f t="shared" si="34"/>
        <v>1007.5</v>
      </c>
      <c r="K719" s="310">
        <f t="shared" si="35"/>
        <v>915.90909090909088</v>
      </c>
    </row>
    <row r="720" spans="1:11" x14ac:dyDescent="0.2">
      <c r="A720" t="s">
        <v>364</v>
      </c>
      <c r="B720" t="s">
        <v>80</v>
      </c>
      <c r="C720" t="s">
        <v>366</v>
      </c>
      <c r="D720" t="s">
        <v>369</v>
      </c>
      <c r="E720" t="s">
        <v>23</v>
      </c>
      <c r="F720" s="330">
        <v>1.1000000000000001</v>
      </c>
      <c r="G720" s="330">
        <v>1550</v>
      </c>
      <c r="H720" s="310">
        <f t="shared" si="33"/>
        <v>1409.090909090909</v>
      </c>
      <c r="I720" s="311">
        <v>0.35</v>
      </c>
      <c r="J720" s="310">
        <f t="shared" si="34"/>
        <v>1007.5</v>
      </c>
      <c r="K720" s="310">
        <f t="shared" si="35"/>
        <v>915.90909090909088</v>
      </c>
    </row>
    <row r="721" spans="1:11" x14ac:dyDescent="0.2">
      <c r="A721" t="s">
        <v>364</v>
      </c>
      <c r="B721" t="s">
        <v>80</v>
      </c>
      <c r="C721" t="s">
        <v>366</v>
      </c>
      <c r="D721" t="s">
        <v>369</v>
      </c>
      <c r="E721" t="s">
        <v>23</v>
      </c>
      <c r="F721" s="330">
        <v>1.2</v>
      </c>
      <c r="G721" s="330">
        <v>1600</v>
      </c>
      <c r="H721" s="310">
        <f t="shared" si="33"/>
        <v>1333.3333333333335</v>
      </c>
      <c r="I721" s="311">
        <v>0.35</v>
      </c>
      <c r="J721" s="310">
        <f t="shared" si="34"/>
        <v>1040</v>
      </c>
      <c r="K721" s="310">
        <f t="shared" si="35"/>
        <v>866.66666666666674</v>
      </c>
    </row>
    <row r="722" spans="1:11" x14ac:dyDescent="0.2">
      <c r="A722" t="s">
        <v>364</v>
      </c>
      <c r="B722" t="s">
        <v>80</v>
      </c>
      <c r="C722" t="s">
        <v>366</v>
      </c>
      <c r="D722" t="s">
        <v>369</v>
      </c>
      <c r="E722" t="s">
        <v>23</v>
      </c>
      <c r="F722" s="330">
        <v>1.26</v>
      </c>
      <c r="G722" s="330">
        <v>1700</v>
      </c>
      <c r="H722" s="310">
        <f t="shared" si="33"/>
        <v>1349.2063492063492</v>
      </c>
      <c r="I722" s="311">
        <v>0.35</v>
      </c>
      <c r="J722" s="310">
        <f t="shared" si="34"/>
        <v>1105</v>
      </c>
      <c r="K722" s="310">
        <f t="shared" si="35"/>
        <v>876.98412698412699</v>
      </c>
    </row>
    <row r="723" spans="1:11" x14ac:dyDescent="0.2">
      <c r="A723" t="s">
        <v>364</v>
      </c>
      <c r="B723" t="s">
        <v>80</v>
      </c>
      <c r="C723" t="s">
        <v>366</v>
      </c>
      <c r="D723" t="s">
        <v>369</v>
      </c>
      <c r="E723" t="s">
        <v>23</v>
      </c>
      <c r="F723" s="330">
        <v>1.35</v>
      </c>
      <c r="G723" s="330">
        <v>1800</v>
      </c>
      <c r="H723" s="310">
        <f t="shared" si="33"/>
        <v>1333.3333333333333</v>
      </c>
      <c r="I723" s="311">
        <v>0.35</v>
      </c>
      <c r="J723" s="310">
        <f t="shared" si="34"/>
        <v>1170</v>
      </c>
      <c r="K723" s="310">
        <f t="shared" si="35"/>
        <v>866.66666666666663</v>
      </c>
    </row>
    <row r="724" spans="1:11" x14ac:dyDescent="0.2">
      <c r="A724" t="s">
        <v>364</v>
      </c>
      <c r="B724" t="s">
        <v>80</v>
      </c>
      <c r="C724" t="s">
        <v>366</v>
      </c>
      <c r="D724" t="s">
        <v>369</v>
      </c>
      <c r="E724" t="s">
        <v>23</v>
      </c>
      <c r="F724" s="330">
        <v>1.4</v>
      </c>
      <c r="G724" s="330">
        <v>1800</v>
      </c>
      <c r="H724" s="310">
        <f t="shared" si="33"/>
        <v>1285.7142857142858</v>
      </c>
      <c r="I724" s="311">
        <v>0.35</v>
      </c>
      <c r="J724" s="310">
        <f t="shared" si="34"/>
        <v>1170</v>
      </c>
      <c r="K724" s="310">
        <f t="shared" si="35"/>
        <v>835.71428571428578</v>
      </c>
    </row>
    <row r="725" spans="1:11" x14ac:dyDescent="0.2">
      <c r="A725" t="s">
        <v>364</v>
      </c>
      <c r="B725" t="s">
        <v>80</v>
      </c>
      <c r="C725" t="s">
        <v>366</v>
      </c>
      <c r="D725" t="s">
        <v>369</v>
      </c>
      <c r="E725" t="s">
        <v>23</v>
      </c>
      <c r="F725" s="330">
        <v>1.4</v>
      </c>
      <c r="G725" s="330">
        <v>1800</v>
      </c>
      <c r="H725" s="310">
        <f t="shared" si="33"/>
        <v>1285.7142857142858</v>
      </c>
      <c r="I725" s="311">
        <v>0.35</v>
      </c>
      <c r="J725" s="310">
        <f t="shared" si="34"/>
        <v>1170</v>
      </c>
      <c r="K725" s="310">
        <f t="shared" si="35"/>
        <v>835.71428571428578</v>
      </c>
    </row>
    <row r="726" spans="1:11" x14ac:dyDescent="0.2">
      <c r="A726" t="s">
        <v>364</v>
      </c>
      <c r="B726" t="s">
        <v>80</v>
      </c>
      <c r="C726" t="s">
        <v>366</v>
      </c>
      <c r="D726" t="s">
        <v>369</v>
      </c>
      <c r="E726" t="s">
        <v>31</v>
      </c>
      <c r="F726" s="330">
        <v>1.44</v>
      </c>
      <c r="G726" s="330">
        <v>2000</v>
      </c>
      <c r="H726" s="310">
        <f t="shared" si="33"/>
        <v>1388.8888888888889</v>
      </c>
      <c r="I726" s="311">
        <v>0.25</v>
      </c>
      <c r="J726" s="310">
        <f t="shared" si="34"/>
        <v>1500</v>
      </c>
      <c r="K726" s="310">
        <f t="shared" si="35"/>
        <v>1041.6666666666667</v>
      </c>
    </row>
    <row r="727" spans="1:11" x14ac:dyDescent="0.2">
      <c r="A727" t="s">
        <v>364</v>
      </c>
      <c r="B727" t="s">
        <v>80</v>
      </c>
      <c r="C727" t="s">
        <v>366</v>
      </c>
      <c r="D727" t="s">
        <v>369</v>
      </c>
      <c r="E727" t="s">
        <v>31</v>
      </c>
      <c r="F727" s="330">
        <v>1.44</v>
      </c>
      <c r="G727" s="330">
        <v>2100</v>
      </c>
      <c r="H727" s="310">
        <f t="shared" si="33"/>
        <v>1458.3333333333335</v>
      </c>
      <c r="I727" s="311">
        <v>0.25</v>
      </c>
      <c r="J727" s="310">
        <f t="shared" si="34"/>
        <v>1575</v>
      </c>
      <c r="K727" s="310">
        <f t="shared" si="35"/>
        <v>1093.75</v>
      </c>
    </row>
    <row r="728" spans="1:11" x14ac:dyDescent="0.2">
      <c r="A728" t="s">
        <v>364</v>
      </c>
      <c r="B728" t="s">
        <v>80</v>
      </c>
      <c r="C728" t="s">
        <v>366</v>
      </c>
      <c r="D728" t="s">
        <v>369</v>
      </c>
      <c r="E728" t="s">
        <v>22</v>
      </c>
      <c r="F728" s="330">
        <v>1.5</v>
      </c>
      <c r="G728" s="330">
        <v>1800</v>
      </c>
      <c r="H728" s="310">
        <f t="shared" si="33"/>
        <v>1200</v>
      </c>
      <c r="I728" s="311">
        <v>0.35</v>
      </c>
      <c r="J728" s="310">
        <f t="shared" si="34"/>
        <v>1170</v>
      </c>
      <c r="K728" s="310">
        <f t="shared" si="35"/>
        <v>780</v>
      </c>
    </row>
    <row r="729" spans="1:11" x14ac:dyDescent="0.2">
      <c r="A729" t="s">
        <v>364</v>
      </c>
      <c r="B729" t="s">
        <v>80</v>
      </c>
      <c r="C729" t="s">
        <v>366</v>
      </c>
      <c r="D729" t="s">
        <v>369</v>
      </c>
      <c r="E729" t="s">
        <v>22</v>
      </c>
      <c r="F729" s="330">
        <v>1.5</v>
      </c>
      <c r="G729" s="330">
        <v>1800</v>
      </c>
      <c r="H729" s="310">
        <f t="shared" si="33"/>
        <v>1200</v>
      </c>
      <c r="I729" s="311">
        <v>0.35</v>
      </c>
      <c r="J729" s="310">
        <f t="shared" si="34"/>
        <v>1170</v>
      </c>
      <c r="K729" s="310">
        <f t="shared" si="35"/>
        <v>780</v>
      </c>
    </row>
    <row r="730" spans="1:11" x14ac:dyDescent="0.2">
      <c r="A730" t="s">
        <v>364</v>
      </c>
      <c r="B730" t="s">
        <v>80</v>
      </c>
      <c r="C730" t="s">
        <v>366</v>
      </c>
      <c r="D730" t="s">
        <v>369</v>
      </c>
      <c r="E730" t="s">
        <v>29</v>
      </c>
      <c r="F730" s="330">
        <v>1.5</v>
      </c>
      <c r="G730" s="330">
        <v>2100</v>
      </c>
      <c r="H730" s="310">
        <f t="shared" si="33"/>
        <v>1400</v>
      </c>
      <c r="I730" s="311">
        <v>0.25</v>
      </c>
      <c r="J730" s="310">
        <f t="shared" si="34"/>
        <v>1575</v>
      </c>
      <c r="K730" s="310">
        <f t="shared" si="35"/>
        <v>1050</v>
      </c>
    </row>
    <row r="731" spans="1:11" x14ac:dyDescent="0.2">
      <c r="A731" t="s">
        <v>364</v>
      </c>
      <c r="B731" t="s">
        <v>80</v>
      </c>
      <c r="C731" t="s">
        <v>366</v>
      </c>
      <c r="D731" t="s">
        <v>369</v>
      </c>
      <c r="E731" t="s">
        <v>22</v>
      </c>
      <c r="F731" s="330">
        <v>1.54</v>
      </c>
      <c r="G731" s="330">
        <v>1800</v>
      </c>
      <c r="H731" s="310">
        <f t="shared" si="33"/>
        <v>1168.8311688311687</v>
      </c>
      <c r="I731" s="311">
        <v>0.35</v>
      </c>
      <c r="J731" s="310">
        <f t="shared" si="34"/>
        <v>1170</v>
      </c>
      <c r="K731" s="310">
        <f t="shared" si="35"/>
        <v>759.74025974025972</v>
      </c>
    </row>
    <row r="732" spans="1:11" x14ac:dyDescent="0.2">
      <c r="A732" t="s">
        <v>364</v>
      </c>
      <c r="B732" t="s">
        <v>80</v>
      </c>
      <c r="C732" t="s">
        <v>366</v>
      </c>
      <c r="D732" t="s">
        <v>369</v>
      </c>
      <c r="E732" t="s">
        <v>29</v>
      </c>
      <c r="F732" s="330">
        <v>1.56</v>
      </c>
      <c r="G732" s="330">
        <v>2200</v>
      </c>
      <c r="H732" s="310">
        <f t="shared" si="33"/>
        <v>1410.2564102564102</v>
      </c>
      <c r="I732" s="311">
        <v>0.25</v>
      </c>
      <c r="J732" s="310">
        <f t="shared" si="34"/>
        <v>1650</v>
      </c>
      <c r="K732" s="310">
        <f t="shared" si="35"/>
        <v>1057.6923076923076</v>
      </c>
    </row>
    <row r="733" spans="1:11" x14ac:dyDescent="0.2">
      <c r="A733" t="s">
        <v>364</v>
      </c>
      <c r="B733" t="s">
        <v>80</v>
      </c>
      <c r="C733" t="s">
        <v>366</v>
      </c>
      <c r="D733" t="s">
        <v>369</v>
      </c>
      <c r="E733" t="s">
        <v>22</v>
      </c>
      <c r="F733" s="330">
        <v>1.6</v>
      </c>
      <c r="G733" s="330">
        <v>1900</v>
      </c>
      <c r="H733" s="310">
        <f t="shared" si="33"/>
        <v>1187.5</v>
      </c>
      <c r="I733" s="311">
        <v>0.35</v>
      </c>
      <c r="J733" s="310">
        <f t="shared" si="34"/>
        <v>1235</v>
      </c>
      <c r="K733" s="310">
        <f t="shared" si="35"/>
        <v>771.875</v>
      </c>
    </row>
    <row r="734" spans="1:11" x14ac:dyDescent="0.2">
      <c r="A734" t="s">
        <v>364</v>
      </c>
      <c r="B734" t="s">
        <v>80</v>
      </c>
      <c r="C734" t="s">
        <v>366</v>
      </c>
      <c r="D734" t="s">
        <v>369</v>
      </c>
      <c r="E734" t="s">
        <v>29</v>
      </c>
      <c r="F734" s="330">
        <v>1.6</v>
      </c>
      <c r="G734" s="330">
        <v>2200</v>
      </c>
      <c r="H734" s="310">
        <f t="shared" si="33"/>
        <v>1375</v>
      </c>
      <c r="I734" s="311">
        <v>0.25</v>
      </c>
      <c r="J734" s="310">
        <f t="shared" si="34"/>
        <v>1650</v>
      </c>
      <c r="K734" s="310">
        <f t="shared" si="35"/>
        <v>1031.25</v>
      </c>
    </row>
    <row r="735" spans="1:11" x14ac:dyDescent="0.2">
      <c r="A735" t="s">
        <v>364</v>
      </c>
      <c r="B735" t="s">
        <v>80</v>
      </c>
      <c r="C735" t="s">
        <v>366</v>
      </c>
      <c r="D735" t="s">
        <v>369</v>
      </c>
      <c r="E735" t="s">
        <v>22</v>
      </c>
      <c r="F735" s="330">
        <v>1.65</v>
      </c>
      <c r="G735" s="330">
        <v>1950</v>
      </c>
      <c r="H735" s="310">
        <f t="shared" si="33"/>
        <v>1181.818181818182</v>
      </c>
      <c r="I735" s="311">
        <v>0.35</v>
      </c>
      <c r="J735" s="310">
        <f t="shared" si="34"/>
        <v>1267.5</v>
      </c>
      <c r="K735" s="310">
        <f t="shared" si="35"/>
        <v>768.18181818181824</v>
      </c>
    </row>
    <row r="736" spans="1:11" x14ac:dyDescent="0.2">
      <c r="A736" t="s">
        <v>364</v>
      </c>
      <c r="B736" t="s">
        <v>80</v>
      </c>
      <c r="C736" t="s">
        <v>366</v>
      </c>
      <c r="D736" t="s">
        <v>369</v>
      </c>
      <c r="E736" t="s">
        <v>22</v>
      </c>
      <c r="F736" s="330">
        <v>1.7</v>
      </c>
      <c r="G736" s="330">
        <v>1950</v>
      </c>
      <c r="H736" s="310">
        <f t="shared" si="33"/>
        <v>1147.0588235294117</v>
      </c>
      <c r="I736" s="311">
        <v>0.35</v>
      </c>
      <c r="J736" s="310">
        <f t="shared" si="34"/>
        <v>1267.5</v>
      </c>
      <c r="K736" s="310">
        <f t="shared" si="35"/>
        <v>745.58823529411768</v>
      </c>
    </row>
    <row r="737" spans="1:11" x14ac:dyDescent="0.2">
      <c r="A737" t="s">
        <v>364</v>
      </c>
      <c r="B737" t="s">
        <v>80</v>
      </c>
      <c r="C737" t="s">
        <v>366</v>
      </c>
      <c r="D737" t="s">
        <v>369</v>
      </c>
      <c r="E737" t="s">
        <v>22</v>
      </c>
      <c r="F737" s="330">
        <v>1.76</v>
      </c>
      <c r="G737" s="330">
        <v>2000</v>
      </c>
      <c r="H737" s="310">
        <f t="shared" si="33"/>
        <v>1136.3636363636363</v>
      </c>
      <c r="I737" s="311">
        <v>0.35</v>
      </c>
      <c r="J737" s="310">
        <f t="shared" si="34"/>
        <v>1300</v>
      </c>
      <c r="K737" s="310">
        <f t="shared" si="35"/>
        <v>738.63636363636363</v>
      </c>
    </row>
    <row r="738" spans="1:11" x14ac:dyDescent="0.2">
      <c r="A738" t="s">
        <v>364</v>
      </c>
      <c r="B738" t="s">
        <v>80</v>
      </c>
      <c r="C738" t="s">
        <v>366</v>
      </c>
      <c r="D738" t="s">
        <v>369</v>
      </c>
      <c r="E738" t="s">
        <v>22</v>
      </c>
      <c r="F738" s="330">
        <v>1.8</v>
      </c>
      <c r="G738" s="330">
        <v>2000</v>
      </c>
      <c r="H738" s="310">
        <f t="shared" si="33"/>
        <v>1111.1111111111111</v>
      </c>
      <c r="I738" s="311">
        <v>0.35</v>
      </c>
      <c r="J738" s="310">
        <f t="shared" si="34"/>
        <v>1300</v>
      </c>
      <c r="K738" s="310">
        <f t="shared" si="35"/>
        <v>722.22222222222217</v>
      </c>
    </row>
    <row r="739" spans="1:11" x14ac:dyDescent="0.2">
      <c r="A739" t="s">
        <v>364</v>
      </c>
      <c r="B739" t="s">
        <v>80</v>
      </c>
      <c r="C739" t="s">
        <v>366</v>
      </c>
      <c r="D739" t="s">
        <v>369</v>
      </c>
      <c r="E739" t="s">
        <v>22</v>
      </c>
      <c r="F739" s="330">
        <v>1.8</v>
      </c>
      <c r="G739" s="330">
        <v>2300</v>
      </c>
      <c r="H739" s="310">
        <f t="shared" si="33"/>
        <v>1277.7777777777778</v>
      </c>
      <c r="I739" s="311">
        <v>0.35</v>
      </c>
      <c r="J739" s="310">
        <f t="shared" si="34"/>
        <v>1495</v>
      </c>
      <c r="K739" s="310">
        <f t="shared" si="35"/>
        <v>830.55555555555554</v>
      </c>
    </row>
    <row r="740" spans="1:11" x14ac:dyDescent="0.2">
      <c r="A740" t="s">
        <v>364</v>
      </c>
      <c r="B740" t="s">
        <v>80</v>
      </c>
      <c r="C740" t="s">
        <v>366</v>
      </c>
      <c r="D740" t="s">
        <v>369</v>
      </c>
      <c r="E740" t="s">
        <v>22</v>
      </c>
      <c r="F740" s="330">
        <v>1.8</v>
      </c>
      <c r="G740" s="330">
        <v>2000</v>
      </c>
      <c r="H740" s="310">
        <f t="shared" si="33"/>
        <v>1111.1111111111111</v>
      </c>
      <c r="I740" s="311">
        <v>0.35</v>
      </c>
      <c r="J740" s="310">
        <f t="shared" si="34"/>
        <v>1300</v>
      </c>
      <c r="K740" s="310">
        <f t="shared" si="35"/>
        <v>722.22222222222217</v>
      </c>
    </row>
    <row r="741" spans="1:11" x14ac:dyDescent="0.2">
      <c r="A741" t="s">
        <v>364</v>
      </c>
      <c r="B741" t="s">
        <v>80</v>
      </c>
      <c r="C741" t="s">
        <v>366</v>
      </c>
      <c r="D741" t="s">
        <v>369</v>
      </c>
      <c r="E741" t="s">
        <v>29</v>
      </c>
      <c r="F741" s="330">
        <v>1.8</v>
      </c>
      <c r="G741" s="330">
        <v>2300</v>
      </c>
      <c r="H741" s="310">
        <f t="shared" si="33"/>
        <v>1277.7777777777778</v>
      </c>
      <c r="I741" s="311">
        <v>0.25</v>
      </c>
      <c r="J741" s="310">
        <f t="shared" si="34"/>
        <v>1725</v>
      </c>
      <c r="K741" s="310">
        <f t="shared" si="35"/>
        <v>958.33333333333326</v>
      </c>
    </row>
    <row r="742" spans="1:11" x14ac:dyDescent="0.2">
      <c r="A742" t="s">
        <v>364</v>
      </c>
      <c r="B742" t="s">
        <v>80</v>
      </c>
      <c r="C742" t="s">
        <v>366</v>
      </c>
      <c r="D742" t="s">
        <v>369</v>
      </c>
      <c r="E742" t="s">
        <v>22</v>
      </c>
      <c r="F742" s="330">
        <v>1.9</v>
      </c>
      <c r="G742" s="330">
        <v>2000</v>
      </c>
      <c r="H742" s="310">
        <f t="shared" si="33"/>
        <v>1052.6315789473686</v>
      </c>
      <c r="I742" s="311">
        <v>0.35</v>
      </c>
      <c r="J742" s="310">
        <f t="shared" si="34"/>
        <v>1300</v>
      </c>
      <c r="K742" s="310">
        <f t="shared" si="35"/>
        <v>684.21052631578948</v>
      </c>
    </row>
    <row r="743" spans="1:11" x14ac:dyDescent="0.2">
      <c r="A743" t="s">
        <v>364</v>
      </c>
      <c r="B743" t="s">
        <v>80</v>
      </c>
      <c r="C743" t="s">
        <v>366</v>
      </c>
      <c r="D743" t="s">
        <v>369</v>
      </c>
      <c r="E743" t="s">
        <v>22</v>
      </c>
      <c r="F743" s="330">
        <v>1.92</v>
      </c>
      <c r="G743" s="330">
        <v>2000</v>
      </c>
      <c r="H743" s="310">
        <f t="shared" si="33"/>
        <v>1041.6666666666667</v>
      </c>
      <c r="I743" s="311">
        <v>0.35</v>
      </c>
      <c r="J743" s="310">
        <f t="shared" si="34"/>
        <v>1300</v>
      </c>
      <c r="K743" s="310">
        <f t="shared" si="35"/>
        <v>677.08333333333337</v>
      </c>
    </row>
    <row r="744" spans="1:11" x14ac:dyDescent="0.2">
      <c r="A744" t="s">
        <v>364</v>
      </c>
      <c r="B744" t="s">
        <v>80</v>
      </c>
      <c r="C744" t="s">
        <v>366</v>
      </c>
      <c r="D744" t="s">
        <v>369</v>
      </c>
      <c r="E744" t="s">
        <v>29</v>
      </c>
      <c r="F744" s="330">
        <v>1.92</v>
      </c>
      <c r="G744" s="330">
        <v>2300</v>
      </c>
      <c r="H744" s="310">
        <f t="shared" si="33"/>
        <v>1197.9166666666667</v>
      </c>
      <c r="I744" s="311">
        <v>0.25</v>
      </c>
      <c r="J744" s="310">
        <f t="shared" si="34"/>
        <v>1725</v>
      </c>
      <c r="K744" s="310">
        <f t="shared" si="35"/>
        <v>898.4375</v>
      </c>
    </row>
    <row r="745" spans="1:11" x14ac:dyDescent="0.2">
      <c r="A745" t="s">
        <v>364</v>
      </c>
      <c r="B745" t="s">
        <v>80</v>
      </c>
      <c r="C745" t="s">
        <v>366</v>
      </c>
      <c r="D745" t="s">
        <v>369</v>
      </c>
      <c r="E745" t="s">
        <v>22</v>
      </c>
      <c r="F745" s="330">
        <v>2</v>
      </c>
      <c r="G745" s="330">
        <v>2400</v>
      </c>
      <c r="H745" s="310">
        <f t="shared" si="33"/>
        <v>1200</v>
      </c>
      <c r="I745" s="311">
        <v>0.35</v>
      </c>
      <c r="J745" s="310">
        <f t="shared" si="34"/>
        <v>1560</v>
      </c>
      <c r="K745" s="310">
        <f t="shared" si="35"/>
        <v>780</v>
      </c>
    </row>
    <row r="746" spans="1:11" x14ac:dyDescent="0.2">
      <c r="A746" t="s">
        <v>364</v>
      </c>
      <c r="B746" t="s">
        <v>80</v>
      </c>
      <c r="C746" t="s">
        <v>366</v>
      </c>
      <c r="D746" t="s">
        <v>369</v>
      </c>
      <c r="E746" t="s">
        <v>22</v>
      </c>
      <c r="F746" s="330">
        <v>2.0699999999999998</v>
      </c>
      <c r="G746" s="330">
        <v>2800</v>
      </c>
      <c r="H746" s="310">
        <f t="shared" si="33"/>
        <v>1352.6570048309179</v>
      </c>
      <c r="I746" s="311">
        <v>0.35</v>
      </c>
      <c r="J746" s="310">
        <f t="shared" si="34"/>
        <v>1820</v>
      </c>
      <c r="K746" s="310">
        <f t="shared" si="35"/>
        <v>879.2270531400967</v>
      </c>
    </row>
    <row r="747" spans="1:11" x14ac:dyDescent="0.2">
      <c r="A747" t="s">
        <v>364</v>
      </c>
      <c r="B747" t="s">
        <v>80</v>
      </c>
      <c r="C747" t="s">
        <v>366</v>
      </c>
      <c r="D747" t="s">
        <v>369</v>
      </c>
      <c r="E747" t="s">
        <v>22</v>
      </c>
      <c r="F747" s="330">
        <v>2.1</v>
      </c>
      <c r="G747" s="330">
        <v>2800</v>
      </c>
      <c r="H747" s="310">
        <f t="shared" si="33"/>
        <v>1333.3333333333333</v>
      </c>
      <c r="I747" s="311">
        <v>0.35</v>
      </c>
      <c r="J747" s="310">
        <f t="shared" si="34"/>
        <v>1820</v>
      </c>
      <c r="K747" s="310">
        <f t="shared" si="35"/>
        <v>866.66666666666663</v>
      </c>
    </row>
    <row r="748" spans="1:11" x14ac:dyDescent="0.2">
      <c r="A748" t="s">
        <v>364</v>
      </c>
      <c r="B748" t="s">
        <v>80</v>
      </c>
      <c r="C748" t="s">
        <v>366</v>
      </c>
      <c r="D748" t="s">
        <v>369</v>
      </c>
      <c r="E748" t="s">
        <v>22</v>
      </c>
      <c r="F748" s="330">
        <v>2.2400000000000002</v>
      </c>
      <c r="G748" s="330">
        <v>2800</v>
      </c>
      <c r="H748" s="310">
        <f t="shared" si="33"/>
        <v>1249.9999999999998</v>
      </c>
      <c r="I748" s="311">
        <v>0.35</v>
      </c>
      <c r="J748" s="310">
        <f t="shared" si="34"/>
        <v>1820</v>
      </c>
      <c r="K748" s="310">
        <f t="shared" si="35"/>
        <v>812.49999999999989</v>
      </c>
    </row>
    <row r="749" spans="1:11" x14ac:dyDescent="0.2">
      <c r="A749" t="s">
        <v>364</v>
      </c>
      <c r="B749" t="s">
        <v>80</v>
      </c>
      <c r="C749" t="s">
        <v>366</v>
      </c>
      <c r="D749" t="s">
        <v>369</v>
      </c>
      <c r="E749" t="s">
        <v>29</v>
      </c>
      <c r="F749" s="330">
        <v>2.25</v>
      </c>
      <c r="G749" s="330">
        <v>3000</v>
      </c>
      <c r="H749" s="310">
        <f t="shared" si="33"/>
        <v>1333.3333333333333</v>
      </c>
      <c r="I749" s="311">
        <v>0.25</v>
      </c>
      <c r="J749" s="310">
        <f t="shared" si="34"/>
        <v>2250</v>
      </c>
      <c r="K749" s="310">
        <f t="shared" si="35"/>
        <v>1000</v>
      </c>
    </row>
    <row r="750" spans="1:11" x14ac:dyDescent="0.2">
      <c r="A750" t="s">
        <v>364</v>
      </c>
      <c r="B750" t="s">
        <v>80</v>
      </c>
      <c r="C750" t="s">
        <v>366</v>
      </c>
      <c r="D750" t="s">
        <v>369</v>
      </c>
      <c r="E750" t="s">
        <v>22</v>
      </c>
      <c r="F750" s="330">
        <v>2.2999999999999998</v>
      </c>
      <c r="G750" s="330">
        <v>2800</v>
      </c>
      <c r="H750" s="310">
        <f t="shared" si="33"/>
        <v>1217.3913043478262</v>
      </c>
      <c r="I750" s="311">
        <v>0.35</v>
      </c>
      <c r="J750" s="310">
        <f t="shared" si="34"/>
        <v>1820</v>
      </c>
      <c r="K750" s="310">
        <f t="shared" si="35"/>
        <v>791.304347826087</v>
      </c>
    </row>
    <row r="751" spans="1:11" x14ac:dyDescent="0.2">
      <c r="A751" t="s">
        <v>364</v>
      </c>
      <c r="B751" t="s">
        <v>80</v>
      </c>
      <c r="C751" t="s">
        <v>366</v>
      </c>
      <c r="D751" t="s">
        <v>369</v>
      </c>
      <c r="E751" t="s">
        <v>29</v>
      </c>
      <c r="F751" s="330">
        <v>2.34</v>
      </c>
      <c r="G751" s="330">
        <v>3000</v>
      </c>
      <c r="H751" s="310">
        <f t="shared" si="33"/>
        <v>1282.0512820512822</v>
      </c>
      <c r="I751" s="311">
        <v>0.25</v>
      </c>
      <c r="J751" s="310">
        <f t="shared" si="34"/>
        <v>2250</v>
      </c>
      <c r="K751" s="310">
        <f t="shared" si="35"/>
        <v>961.53846153846155</v>
      </c>
    </row>
    <row r="752" spans="1:11" x14ac:dyDescent="0.2">
      <c r="A752" t="s">
        <v>364</v>
      </c>
      <c r="B752" t="s">
        <v>80</v>
      </c>
      <c r="C752" t="s">
        <v>366</v>
      </c>
      <c r="D752" t="s">
        <v>369</v>
      </c>
      <c r="E752" t="s">
        <v>29</v>
      </c>
      <c r="F752" s="330">
        <v>2.4</v>
      </c>
      <c r="G752" s="330">
        <v>3000</v>
      </c>
      <c r="H752" s="310">
        <f t="shared" si="33"/>
        <v>1250</v>
      </c>
      <c r="I752" s="311">
        <v>0.25</v>
      </c>
      <c r="J752" s="310">
        <f t="shared" si="34"/>
        <v>2250</v>
      </c>
      <c r="K752" s="310">
        <f t="shared" si="35"/>
        <v>937.5</v>
      </c>
    </row>
    <row r="753" spans="1:11" x14ac:dyDescent="0.2">
      <c r="A753" t="s">
        <v>364</v>
      </c>
      <c r="B753" t="s">
        <v>80</v>
      </c>
      <c r="C753" t="s">
        <v>366</v>
      </c>
      <c r="D753" t="s">
        <v>369</v>
      </c>
      <c r="E753" t="s">
        <v>29</v>
      </c>
      <c r="F753" s="330">
        <v>2.4</v>
      </c>
      <c r="G753" s="330">
        <v>3000</v>
      </c>
      <c r="H753" s="310">
        <f t="shared" si="33"/>
        <v>1250</v>
      </c>
      <c r="I753" s="311">
        <v>0.25</v>
      </c>
      <c r="J753" s="310">
        <f t="shared" si="34"/>
        <v>2250</v>
      </c>
      <c r="K753" s="310">
        <f t="shared" si="35"/>
        <v>937.5</v>
      </c>
    </row>
    <row r="754" spans="1:11" x14ac:dyDescent="0.2">
      <c r="A754" t="s">
        <v>364</v>
      </c>
      <c r="B754" t="s">
        <v>80</v>
      </c>
      <c r="C754" t="s">
        <v>366</v>
      </c>
      <c r="D754" t="s">
        <v>369</v>
      </c>
      <c r="E754" t="s">
        <v>27</v>
      </c>
      <c r="F754" s="330">
        <v>2.56</v>
      </c>
      <c r="G754" s="330">
        <v>3500</v>
      </c>
      <c r="H754" s="310">
        <f t="shared" si="33"/>
        <v>1367.1875</v>
      </c>
      <c r="I754" s="311">
        <v>0.25</v>
      </c>
      <c r="J754" s="310">
        <f t="shared" si="34"/>
        <v>2625</v>
      </c>
      <c r="K754" s="310">
        <f t="shared" si="35"/>
        <v>1025.390625</v>
      </c>
    </row>
    <row r="755" spans="1:11" x14ac:dyDescent="0.2">
      <c r="A755" t="s">
        <v>364</v>
      </c>
      <c r="B755" t="s">
        <v>80</v>
      </c>
      <c r="C755" t="s">
        <v>366</v>
      </c>
      <c r="D755" t="s">
        <v>369</v>
      </c>
      <c r="E755" t="s">
        <v>27</v>
      </c>
      <c r="F755" s="330">
        <v>2.72</v>
      </c>
      <c r="G755" s="330">
        <v>3500</v>
      </c>
      <c r="H755" s="310">
        <f t="shared" si="33"/>
        <v>1286.7647058823529</v>
      </c>
      <c r="I755" s="311">
        <v>0.25</v>
      </c>
      <c r="J755" s="310">
        <f t="shared" si="34"/>
        <v>2625</v>
      </c>
      <c r="K755" s="310">
        <f t="shared" si="35"/>
        <v>965.07352941176464</v>
      </c>
    </row>
    <row r="756" spans="1:11" x14ac:dyDescent="0.2">
      <c r="A756" t="s">
        <v>364</v>
      </c>
      <c r="B756" t="s">
        <v>80</v>
      </c>
      <c r="C756" t="s">
        <v>366</v>
      </c>
      <c r="D756" t="s">
        <v>369</v>
      </c>
      <c r="E756" t="s">
        <v>27</v>
      </c>
      <c r="F756" s="330">
        <v>2.73</v>
      </c>
      <c r="G756" s="330">
        <v>3500</v>
      </c>
      <c r="H756" s="310">
        <f t="shared" si="33"/>
        <v>1282.051282051282</v>
      </c>
      <c r="I756" s="311">
        <v>0.25</v>
      </c>
      <c r="J756" s="310">
        <f t="shared" si="34"/>
        <v>2625</v>
      </c>
      <c r="K756" s="310">
        <f t="shared" si="35"/>
        <v>961.53846153846155</v>
      </c>
    </row>
    <row r="757" spans="1:11" x14ac:dyDescent="0.2">
      <c r="A757" t="s">
        <v>364</v>
      </c>
      <c r="B757" t="s">
        <v>80</v>
      </c>
      <c r="C757" t="s">
        <v>366</v>
      </c>
      <c r="D757" t="s">
        <v>369</v>
      </c>
      <c r="E757" t="s">
        <v>21</v>
      </c>
      <c r="F757" s="330">
        <v>2.75</v>
      </c>
      <c r="G757" s="330">
        <v>3100</v>
      </c>
      <c r="H757" s="310">
        <f t="shared" si="33"/>
        <v>1127.2727272727273</v>
      </c>
      <c r="I757" s="311">
        <v>0.35</v>
      </c>
      <c r="J757" s="310">
        <f t="shared" si="34"/>
        <v>2015</v>
      </c>
      <c r="K757" s="310">
        <f t="shared" si="35"/>
        <v>732.72727272727275</v>
      </c>
    </row>
    <row r="758" spans="1:11" x14ac:dyDescent="0.2">
      <c r="A758" t="s">
        <v>364</v>
      </c>
      <c r="B758" t="s">
        <v>80</v>
      </c>
      <c r="C758" t="s">
        <v>366</v>
      </c>
      <c r="D758" t="s">
        <v>369</v>
      </c>
      <c r="E758" t="s">
        <v>27</v>
      </c>
      <c r="F758" s="330">
        <v>2.76</v>
      </c>
      <c r="G758" s="330">
        <v>3500</v>
      </c>
      <c r="H758" s="310">
        <f t="shared" si="33"/>
        <v>1268.1159420289855</v>
      </c>
      <c r="I758" s="311">
        <v>0.25</v>
      </c>
      <c r="J758" s="310">
        <f t="shared" si="34"/>
        <v>2625</v>
      </c>
      <c r="K758" s="310">
        <f t="shared" si="35"/>
        <v>951.08695652173924</v>
      </c>
    </row>
    <row r="759" spans="1:11" x14ac:dyDescent="0.2">
      <c r="A759" t="s">
        <v>364</v>
      </c>
      <c r="B759" t="s">
        <v>80</v>
      </c>
      <c r="C759" t="s">
        <v>366</v>
      </c>
      <c r="D759" t="s">
        <v>369</v>
      </c>
      <c r="E759" t="s">
        <v>27</v>
      </c>
      <c r="F759" s="330">
        <v>2.85</v>
      </c>
      <c r="G759" s="330">
        <v>3800</v>
      </c>
      <c r="H759" s="310">
        <f t="shared" si="33"/>
        <v>1333.3333333333333</v>
      </c>
      <c r="I759" s="311">
        <v>0.25</v>
      </c>
      <c r="J759" s="310">
        <f t="shared" si="34"/>
        <v>2850</v>
      </c>
      <c r="K759" s="310">
        <f t="shared" si="35"/>
        <v>1000</v>
      </c>
    </row>
    <row r="760" spans="1:11" x14ac:dyDescent="0.2">
      <c r="A760" t="s">
        <v>364</v>
      </c>
      <c r="B760" t="s">
        <v>80</v>
      </c>
      <c r="C760" t="s">
        <v>366</v>
      </c>
      <c r="D760" t="s">
        <v>369</v>
      </c>
      <c r="E760" t="s">
        <v>27</v>
      </c>
      <c r="F760" s="330">
        <v>2.88</v>
      </c>
      <c r="G760" s="330">
        <v>3800</v>
      </c>
      <c r="H760" s="310">
        <f t="shared" si="33"/>
        <v>1319.4444444444446</v>
      </c>
      <c r="I760" s="311">
        <v>0.25</v>
      </c>
      <c r="J760" s="310">
        <f t="shared" si="34"/>
        <v>2850</v>
      </c>
      <c r="K760" s="310">
        <f t="shared" si="35"/>
        <v>989.58333333333337</v>
      </c>
    </row>
    <row r="761" spans="1:11" x14ac:dyDescent="0.2">
      <c r="A761" t="s">
        <v>364</v>
      </c>
      <c r="B761" t="s">
        <v>80</v>
      </c>
      <c r="C761" t="s">
        <v>366</v>
      </c>
      <c r="D761" t="s">
        <v>369</v>
      </c>
      <c r="E761" t="s">
        <v>21</v>
      </c>
      <c r="F761" s="330">
        <v>3</v>
      </c>
      <c r="G761" s="330">
        <v>3400</v>
      </c>
      <c r="H761" s="310">
        <f t="shared" si="33"/>
        <v>1133.3333333333333</v>
      </c>
      <c r="I761" s="311">
        <v>0.35</v>
      </c>
      <c r="J761" s="310">
        <f t="shared" si="34"/>
        <v>2210</v>
      </c>
      <c r="K761" s="310">
        <f t="shared" si="35"/>
        <v>736.66666666666663</v>
      </c>
    </row>
    <row r="762" spans="1:11" x14ac:dyDescent="0.2">
      <c r="A762" t="s">
        <v>364</v>
      </c>
      <c r="B762" t="s">
        <v>80</v>
      </c>
      <c r="C762" t="s">
        <v>366</v>
      </c>
      <c r="D762" t="s">
        <v>369</v>
      </c>
      <c r="E762" t="s">
        <v>27</v>
      </c>
      <c r="F762" s="330">
        <v>3</v>
      </c>
      <c r="G762" s="330">
        <v>3800</v>
      </c>
      <c r="H762" s="310">
        <f t="shared" si="33"/>
        <v>1266.6666666666667</v>
      </c>
      <c r="I762" s="311">
        <v>0.25</v>
      </c>
      <c r="J762" s="310">
        <f t="shared" si="34"/>
        <v>2850</v>
      </c>
      <c r="K762" s="310">
        <f t="shared" si="35"/>
        <v>950</v>
      </c>
    </row>
    <row r="763" spans="1:11" x14ac:dyDescent="0.2">
      <c r="A763" t="s">
        <v>364</v>
      </c>
      <c r="B763" t="s">
        <v>80</v>
      </c>
      <c r="C763" t="s">
        <v>366</v>
      </c>
      <c r="D763" t="s">
        <v>369</v>
      </c>
      <c r="E763" t="s">
        <v>27</v>
      </c>
      <c r="F763" s="330">
        <v>3.04</v>
      </c>
      <c r="G763" s="330">
        <v>3800</v>
      </c>
      <c r="H763" s="310">
        <f t="shared" si="33"/>
        <v>1250</v>
      </c>
      <c r="I763" s="311">
        <v>0.25</v>
      </c>
      <c r="J763" s="310">
        <f t="shared" si="34"/>
        <v>2850</v>
      </c>
      <c r="K763" s="310">
        <f t="shared" si="35"/>
        <v>937.5</v>
      </c>
    </row>
    <row r="764" spans="1:11" x14ac:dyDescent="0.2">
      <c r="A764" t="s">
        <v>364</v>
      </c>
      <c r="B764" t="s">
        <v>80</v>
      </c>
      <c r="C764" t="s">
        <v>366</v>
      </c>
      <c r="D764" t="s">
        <v>369</v>
      </c>
      <c r="E764" t="s">
        <v>27</v>
      </c>
      <c r="F764" s="330">
        <v>3.06</v>
      </c>
      <c r="G764" s="330">
        <v>3800</v>
      </c>
      <c r="H764" s="310">
        <f t="shared" si="33"/>
        <v>1241.8300653594772</v>
      </c>
      <c r="I764" s="311">
        <v>0.25</v>
      </c>
      <c r="J764" s="310">
        <f t="shared" si="34"/>
        <v>2850</v>
      </c>
      <c r="K764" s="310">
        <f t="shared" si="35"/>
        <v>931.37254901960785</v>
      </c>
    </row>
    <row r="765" spans="1:11" x14ac:dyDescent="0.2">
      <c r="A765" t="s">
        <v>364</v>
      </c>
      <c r="B765" t="s">
        <v>80</v>
      </c>
      <c r="C765" t="s">
        <v>366</v>
      </c>
      <c r="D765" t="s">
        <v>369</v>
      </c>
      <c r="E765" t="s">
        <v>21</v>
      </c>
      <c r="F765" s="330">
        <v>3.15</v>
      </c>
      <c r="G765" s="330">
        <v>3400</v>
      </c>
      <c r="H765" s="310">
        <f t="shared" si="33"/>
        <v>1079.3650793650793</v>
      </c>
      <c r="I765" s="311">
        <v>0.35</v>
      </c>
      <c r="J765" s="310">
        <f t="shared" si="34"/>
        <v>2210</v>
      </c>
      <c r="K765" s="310">
        <f t="shared" si="35"/>
        <v>701.58730158730157</v>
      </c>
    </row>
    <row r="766" spans="1:11" x14ac:dyDescent="0.2">
      <c r="A766" t="s">
        <v>364</v>
      </c>
      <c r="B766" t="s">
        <v>80</v>
      </c>
      <c r="C766" t="s">
        <v>366</v>
      </c>
      <c r="D766" t="s">
        <v>369</v>
      </c>
      <c r="E766" t="s">
        <v>27</v>
      </c>
      <c r="F766" s="330">
        <v>3.3</v>
      </c>
      <c r="G766" s="330">
        <v>3800</v>
      </c>
      <c r="H766" s="310">
        <f t="shared" si="33"/>
        <v>1151.5151515151515</v>
      </c>
      <c r="I766" s="311">
        <v>0.25</v>
      </c>
      <c r="J766" s="310">
        <f t="shared" si="34"/>
        <v>2850</v>
      </c>
      <c r="K766" s="310">
        <f t="shared" si="35"/>
        <v>863.63636363636363</v>
      </c>
    </row>
    <row r="767" spans="1:11" x14ac:dyDescent="0.2">
      <c r="A767" t="s">
        <v>364</v>
      </c>
      <c r="B767" t="s">
        <v>80</v>
      </c>
      <c r="C767" t="s">
        <v>366</v>
      </c>
      <c r="D767" t="s">
        <v>369</v>
      </c>
      <c r="E767" t="s">
        <v>27</v>
      </c>
      <c r="F767" s="330">
        <v>3.45</v>
      </c>
      <c r="G767" s="330">
        <v>4000</v>
      </c>
      <c r="H767" s="310">
        <f t="shared" si="33"/>
        <v>1159.4202898550725</v>
      </c>
      <c r="I767" s="311">
        <v>0.25</v>
      </c>
      <c r="J767" s="310">
        <f t="shared" si="34"/>
        <v>3000</v>
      </c>
      <c r="K767" s="310">
        <f t="shared" si="35"/>
        <v>869.56521739130426</v>
      </c>
    </row>
    <row r="768" spans="1:11" x14ac:dyDescent="0.2">
      <c r="A768" t="s">
        <v>364</v>
      </c>
      <c r="B768" t="s">
        <v>80</v>
      </c>
      <c r="C768" t="s">
        <v>366</v>
      </c>
      <c r="D768" t="s">
        <v>369</v>
      </c>
      <c r="E768" t="s">
        <v>27</v>
      </c>
      <c r="F768" s="330">
        <v>3.5</v>
      </c>
      <c r="G768" s="330">
        <v>4000</v>
      </c>
      <c r="H768" s="310">
        <f t="shared" si="33"/>
        <v>1142.8571428571429</v>
      </c>
      <c r="I768" s="311">
        <v>0.25</v>
      </c>
      <c r="J768" s="310">
        <f t="shared" si="34"/>
        <v>3000</v>
      </c>
      <c r="K768" s="310">
        <f t="shared" si="35"/>
        <v>857.14285714285711</v>
      </c>
    </row>
    <row r="769" spans="1:11" x14ac:dyDescent="0.2">
      <c r="A769" t="s">
        <v>364</v>
      </c>
      <c r="B769" t="s">
        <v>80</v>
      </c>
      <c r="C769" t="s">
        <v>366</v>
      </c>
      <c r="D769" t="s">
        <v>369</v>
      </c>
      <c r="E769" t="s">
        <v>27</v>
      </c>
      <c r="F769" s="330">
        <v>3.51</v>
      </c>
      <c r="G769" s="330">
        <v>4000</v>
      </c>
      <c r="H769" s="310">
        <f t="shared" si="33"/>
        <v>1139.6011396011397</v>
      </c>
      <c r="I769" s="311">
        <v>0.25</v>
      </c>
      <c r="J769" s="310">
        <f t="shared" si="34"/>
        <v>3000</v>
      </c>
      <c r="K769" s="310">
        <f t="shared" si="35"/>
        <v>854.70085470085473</v>
      </c>
    </row>
    <row r="770" spans="1:11" x14ac:dyDescent="0.2">
      <c r="A770" t="s">
        <v>364</v>
      </c>
      <c r="B770" t="s">
        <v>80</v>
      </c>
      <c r="C770" t="s">
        <v>366</v>
      </c>
      <c r="D770" t="s">
        <v>369</v>
      </c>
      <c r="E770" t="s">
        <v>27</v>
      </c>
      <c r="F770" s="330">
        <v>3.52</v>
      </c>
      <c r="G770" s="330">
        <v>4000</v>
      </c>
      <c r="H770" s="310">
        <f t="shared" ref="H770:H833" si="36">G770/F770</f>
        <v>1136.3636363636363</v>
      </c>
      <c r="I770" s="311">
        <v>0.25</v>
      </c>
      <c r="J770" s="310">
        <f t="shared" ref="J770:J833" si="37">G770*(1-I770)</f>
        <v>3000</v>
      </c>
      <c r="K770" s="310">
        <f t="shared" ref="K770:K833" si="38">J770/F770</f>
        <v>852.27272727272725</v>
      </c>
    </row>
    <row r="771" spans="1:11" x14ac:dyDescent="0.2">
      <c r="A771" t="s">
        <v>364</v>
      </c>
      <c r="B771" t="s">
        <v>80</v>
      </c>
      <c r="C771" t="s">
        <v>366</v>
      </c>
      <c r="D771" t="s">
        <v>369</v>
      </c>
      <c r="E771" t="s">
        <v>27</v>
      </c>
      <c r="F771" s="330">
        <v>3.57</v>
      </c>
      <c r="G771" s="330">
        <v>4000</v>
      </c>
      <c r="H771" s="310">
        <f t="shared" si="36"/>
        <v>1120.4481792717088</v>
      </c>
      <c r="I771" s="311">
        <v>0.25</v>
      </c>
      <c r="J771" s="310">
        <f t="shared" si="37"/>
        <v>3000</v>
      </c>
      <c r="K771" s="310">
        <f t="shared" si="38"/>
        <v>840.3361344537816</v>
      </c>
    </row>
    <row r="772" spans="1:11" x14ac:dyDescent="0.2">
      <c r="A772" t="s">
        <v>364</v>
      </c>
      <c r="B772" t="s">
        <v>80</v>
      </c>
      <c r="C772" t="s">
        <v>366</v>
      </c>
      <c r="D772" t="s">
        <v>369</v>
      </c>
      <c r="E772" t="s">
        <v>27</v>
      </c>
      <c r="F772" s="330">
        <v>3.74</v>
      </c>
      <c r="G772" s="330">
        <v>4500</v>
      </c>
      <c r="H772" s="310">
        <f t="shared" si="36"/>
        <v>1203.2085561497327</v>
      </c>
      <c r="I772" s="311">
        <v>0.25</v>
      </c>
      <c r="J772" s="310">
        <f t="shared" si="37"/>
        <v>3375</v>
      </c>
      <c r="K772" s="310">
        <f t="shared" si="38"/>
        <v>902.40641711229944</v>
      </c>
    </row>
    <row r="773" spans="1:11" x14ac:dyDescent="0.2">
      <c r="A773" t="s">
        <v>364</v>
      </c>
      <c r="B773" t="s">
        <v>80</v>
      </c>
      <c r="C773" t="s">
        <v>366</v>
      </c>
      <c r="D773" t="s">
        <v>369</v>
      </c>
      <c r="E773" t="s">
        <v>27</v>
      </c>
      <c r="F773" s="330">
        <v>3.78</v>
      </c>
      <c r="G773" s="330">
        <v>4500</v>
      </c>
      <c r="H773" s="310">
        <f t="shared" si="36"/>
        <v>1190.4761904761906</v>
      </c>
      <c r="I773" s="311">
        <v>0.25</v>
      </c>
      <c r="J773" s="310">
        <f t="shared" si="37"/>
        <v>3375</v>
      </c>
      <c r="K773" s="310">
        <f t="shared" si="38"/>
        <v>892.85714285714289</v>
      </c>
    </row>
    <row r="774" spans="1:11" x14ac:dyDescent="0.2">
      <c r="A774" t="s">
        <v>364</v>
      </c>
      <c r="B774" t="s">
        <v>80</v>
      </c>
      <c r="C774" t="s">
        <v>366</v>
      </c>
      <c r="D774" t="s">
        <v>369</v>
      </c>
      <c r="E774" t="s">
        <v>27</v>
      </c>
      <c r="F774" s="330">
        <v>4.32</v>
      </c>
      <c r="G774" s="330">
        <v>6000</v>
      </c>
      <c r="H774" s="310">
        <f t="shared" si="36"/>
        <v>1388.8888888888887</v>
      </c>
      <c r="I774" s="311">
        <v>0.25</v>
      </c>
      <c r="J774" s="310">
        <f t="shared" si="37"/>
        <v>4500</v>
      </c>
      <c r="K774" s="310">
        <f t="shared" si="38"/>
        <v>1041.6666666666665</v>
      </c>
    </row>
    <row r="775" spans="1:11" x14ac:dyDescent="0.2">
      <c r="A775" t="s">
        <v>364</v>
      </c>
      <c r="B775" t="s">
        <v>80</v>
      </c>
      <c r="C775" t="s">
        <v>366</v>
      </c>
      <c r="D775" t="s">
        <v>369</v>
      </c>
      <c r="E775" t="s">
        <v>27</v>
      </c>
      <c r="F775" s="330">
        <v>4.4000000000000004</v>
      </c>
      <c r="G775" s="330">
        <v>6000</v>
      </c>
      <c r="H775" s="310">
        <f t="shared" si="36"/>
        <v>1363.6363636363635</v>
      </c>
      <c r="I775" s="311">
        <v>0.25</v>
      </c>
      <c r="J775" s="310">
        <f t="shared" si="37"/>
        <v>4500</v>
      </c>
      <c r="K775" s="310">
        <f t="shared" si="38"/>
        <v>1022.7272727272726</v>
      </c>
    </row>
    <row r="776" spans="1:11" x14ac:dyDescent="0.2">
      <c r="A776" t="s">
        <v>364</v>
      </c>
      <c r="B776" t="s">
        <v>80</v>
      </c>
      <c r="C776" t="s">
        <v>366</v>
      </c>
      <c r="D776" t="s">
        <v>369</v>
      </c>
      <c r="E776" t="s">
        <v>27</v>
      </c>
      <c r="F776" s="330">
        <v>4.5999999999999996</v>
      </c>
      <c r="G776" s="330">
        <v>6100</v>
      </c>
      <c r="H776" s="310">
        <f t="shared" si="36"/>
        <v>1326.0869565217392</v>
      </c>
      <c r="I776" s="311">
        <v>0.25</v>
      </c>
      <c r="J776" s="310">
        <f t="shared" si="37"/>
        <v>4575</v>
      </c>
      <c r="K776" s="310">
        <f t="shared" si="38"/>
        <v>994.56521739130437</v>
      </c>
    </row>
    <row r="777" spans="1:11" x14ac:dyDescent="0.2">
      <c r="A777" t="s">
        <v>364</v>
      </c>
      <c r="B777" t="s">
        <v>80</v>
      </c>
      <c r="C777" t="s">
        <v>366</v>
      </c>
      <c r="D777" t="s">
        <v>369</v>
      </c>
      <c r="E777" t="s">
        <v>27</v>
      </c>
      <c r="F777" s="330">
        <v>4.68</v>
      </c>
      <c r="G777" s="330">
        <v>6200</v>
      </c>
      <c r="H777" s="310">
        <f t="shared" si="36"/>
        <v>1324.7863247863249</v>
      </c>
      <c r="I777" s="311">
        <v>0.25</v>
      </c>
      <c r="J777" s="310">
        <f t="shared" si="37"/>
        <v>4650</v>
      </c>
      <c r="K777" s="310">
        <f t="shared" si="38"/>
        <v>993.58974358974365</v>
      </c>
    </row>
    <row r="778" spans="1:11" x14ac:dyDescent="0.2">
      <c r="A778" t="s">
        <v>364</v>
      </c>
      <c r="B778" t="s">
        <v>80</v>
      </c>
      <c r="C778" t="s">
        <v>366</v>
      </c>
      <c r="D778" t="s">
        <v>369</v>
      </c>
      <c r="E778" t="s">
        <v>27</v>
      </c>
      <c r="F778" s="330">
        <v>4.8</v>
      </c>
      <c r="G778" s="330">
        <v>6200</v>
      </c>
      <c r="H778" s="310">
        <f t="shared" si="36"/>
        <v>1291.6666666666667</v>
      </c>
      <c r="I778" s="311">
        <v>0.25</v>
      </c>
      <c r="J778" s="310">
        <f t="shared" si="37"/>
        <v>4650</v>
      </c>
      <c r="K778" s="310">
        <f t="shared" si="38"/>
        <v>968.75</v>
      </c>
    </row>
    <row r="779" spans="1:11" x14ac:dyDescent="0.2">
      <c r="A779" t="s">
        <v>364</v>
      </c>
      <c r="B779" t="s">
        <v>80</v>
      </c>
      <c r="C779" t="s">
        <v>366</v>
      </c>
      <c r="D779" t="s">
        <v>369</v>
      </c>
      <c r="E779" t="s">
        <v>26</v>
      </c>
      <c r="F779" s="330">
        <v>5.04</v>
      </c>
      <c r="G779" s="330">
        <v>6300</v>
      </c>
      <c r="H779" s="310">
        <f t="shared" si="36"/>
        <v>1250</v>
      </c>
      <c r="I779" s="311">
        <v>0.3</v>
      </c>
      <c r="J779" s="310">
        <f t="shared" si="37"/>
        <v>4410</v>
      </c>
      <c r="K779" s="310">
        <f t="shared" si="38"/>
        <v>875</v>
      </c>
    </row>
    <row r="780" spans="1:11" x14ac:dyDescent="0.2">
      <c r="A780" t="s">
        <v>364</v>
      </c>
      <c r="B780" t="s">
        <v>80</v>
      </c>
      <c r="C780" t="s">
        <v>366</v>
      </c>
      <c r="D780" t="s">
        <v>369</v>
      </c>
      <c r="E780" t="s">
        <v>26</v>
      </c>
      <c r="F780" s="330">
        <v>5.25</v>
      </c>
      <c r="G780" s="330">
        <v>6800</v>
      </c>
      <c r="H780" s="310">
        <f t="shared" si="36"/>
        <v>1295.2380952380952</v>
      </c>
      <c r="I780" s="311">
        <v>0.3</v>
      </c>
      <c r="J780" s="310">
        <f t="shared" si="37"/>
        <v>4760</v>
      </c>
      <c r="K780" s="310">
        <f t="shared" si="38"/>
        <v>906.66666666666663</v>
      </c>
    </row>
    <row r="781" spans="1:11" x14ac:dyDescent="0.2">
      <c r="A781" t="s">
        <v>364</v>
      </c>
      <c r="B781" t="s">
        <v>80</v>
      </c>
      <c r="C781" t="s">
        <v>366</v>
      </c>
      <c r="D781" t="s">
        <v>369</v>
      </c>
      <c r="E781" t="s">
        <v>26</v>
      </c>
      <c r="F781" s="330">
        <v>5.25</v>
      </c>
      <c r="G781" s="330">
        <v>6800</v>
      </c>
      <c r="H781" s="310">
        <f t="shared" si="36"/>
        <v>1295.2380952380952</v>
      </c>
      <c r="I781" s="311">
        <v>0.3</v>
      </c>
      <c r="J781" s="310">
        <f t="shared" si="37"/>
        <v>4760</v>
      </c>
      <c r="K781" s="310">
        <f t="shared" si="38"/>
        <v>906.66666666666663</v>
      </c>
    </row>
    <row r="782" spans="1:11" x14ac:dyDescent="0.2">
      <c r="A782" t="s">
        <v>364</v>
      </c>
      <c r="B782" t="s">
        <v>80</v>
      </c>
      <c r="C782" t="s">
        <v>366</v>
      </c>
      <c r="D782" t="s">
        <v>369</v>
      </c>
      <c r="E782" t="s">
        <v>26</v>
      </c>
      <c r="F782" s="330">
        <v>5.29</v>
      </c>
      <c r="G782" s="330">
        <v>6800</v>
      </c>
      <c r="H782" s="310">
        <f t="shared" si="36"/>
        <v>1285.4442344045369</v>
      </c>
      <c r="I782" s="311">
        <v>0.3</v>
      </c>
      <c r="J782" s="310">
        <f t="shared" si="37"/>
        <v>4760</v>
      </c>
      <c r="K782" s="310">
        <f t="shared" si="38"/>
        <v>899.8109640831758</v>
      </c>
    </row>
    <row r="783" spans="1:11" x14ac:dyDescent="0.2">
      <c r="A783" t="s">
        <v>364</v>
      </c>
      <c r="B783" t="s">
        <v>80</v>
      </c>
      <c r="C783" t="s">
        <v>366</v>
      </c>
      <c r="D783" t="s">
        <v>369</v>
      </c>
      <c r="E783" t="s">
        <v>26</v>
      </c>
      <c r="F783" s="330">
        <v>5.52</v>
      </c>
      <c r="G783" s="330">
        <v>6900</v>
      </c>
      <c r="H783" s="310">
        <f t="shared" si="36"/>
        <v>1250</v>
      </c>
      <c r="I783" s="311">
        <v>0.3</v>
      </c>
      <c r="J783" s="310">
        <f t="shared" si="37"/>
        <v>4830</v>
      </c>
      <c r="K783" s="310">
        <f t="shared" si="38"/>
        <v>875.00000000000011</v>
      </c>
    </row>
    <row r="784" spans="1:11" x14ac:dyDescent="0.2">
      <c r="A784" t="s">
        <v>364</v>
      </c>
      <c r="B784" t="s">
        <v>80</v>
      </c>
      <c r="C784" t="s">
        <v>366</v>
      </c>
      <c r="D784" t="s">
        <v>369</v>
      </c>
      <c r="E784" t="s">
        <v>26</v>
      </c>
      <c r="F784" s="330">
        <v>5.78</v>
      </c>
      <c r="G784" s="330">
        <v>6900</v>
      </c>
      <c r="H784" s="310">
        <f t="shared" si="36"/>
        <v>1193.7716262975778</v>
      </c>
      <c r="I784" s="311">
        <v>0.3</v>
      </c>
      <c r="J784" s="310">
        <f t="shared" si="37"/>
        <v>4830</v>
      </c>
      <c r="K784" s="310">
        <f t="shared" si="38"/>
        <v>835.64013840830444</v>
      </c>
    </row>
    <row r="785" spans="1:11" x14ac:dyDescent="0.2">
      <c r="A785" t="s">
        <v>364</v>
      </c>
      <c r="B785" t="s">
        <v>80</v>
      </c>
      <c r="C785" t="s">
        <v>366</v>
      </c>
      <c r="D785" t="s">
        <v>369</v>
      </c>
      <c r="E785" t="s">
        <v>26</v>
      </c>
      <c r="F785" s="330">
        <v>6.12</v>
      </c>
      <c r="G785" s="330">
        <v>7200</v>
      </c>
      <c r="H785" s="310">
        <f t="shared" si="36"/>
        <v>1176.4705882352941</v>
      </c>
      <c r="I785" s="311">
        <v>0.3</v>
      </c>
      <c r="J785" s="310">
        <f t="shared" si="37"/>
        <v>5040</v>
      </c>
      <c r="K785" s="310">
        <f t="shared" si="38"/>
        <v>823.52941176470586</v>
      </c>
    </row>
    <row r="786" spans="1:11" x14ac:dyDescent="0.2">
      <c r="A786" t="s">
        <v>364</v>
      </c>
      <c r="B786" t="s">
        <v>80</v>
      </c>
      <c r="C786" t="s">
        <v>366</v>
      </c>
      <c r="D786" t="s">
        <v>369</v>
      </c>
      <c r="E786" t="s">
        <v>26</v>
      </c>
      <c r="F786" s="330">
        <v>6.21</v>
      </c>
      <c r="G786" s="330">
        <v>7200</v>
      </c>
      <c r="H786" s="310">
        <f t="shared" si="36"/>
        <v>1159.4202898550725</v>
      </c>
      <c r="I786" s="311">
        <v>0.3</v>
      </c>
      <c r="J786" s="310">
        <f t="shared" si="37"/>
        <v>5040</v>
      </c>
      <c r="K786" s="310">
        <f t="shared" si="38"/>
        <v>811.59420289855075</v>
      </c>
    </row>
    <row r="787" spans="1:11" x14ac:dyDescent="0.2">
      <c r="A787" t="s">
        <v>364</v>
      </c>
      <c r="B787" t="s">
        <v>80</v>
      </c>
      <c r="C787" t="s">
        <v>366</v>
      </c>
      <c r="D787" t="s">
        <v>369</v>
      </c>
      <c r="E787" t="s">
        <v>26</v>
      </c>
      <c r="F787" s="330">
        <v>6.24</v>
      </c>
      <c r="G787" s="330">
        <v>7200</v>
      </c>
      <c r="H787" s="310">
        <f t="shared" si="36"/>
        <v>1153.8461538461538</v>
      </c>
      <c r="I787" s="311">
        <v>0.3</v>
      </c>
      <c r="J787" s="310">
        <f t="shared" si="37"/>
        <v>5040</v>
      </c>
      <c r="K787" s="310">
        <f t="shared" si="38"/>
        <v>807.69230769230762</v>
      </c>
    </row>
    <row r="788" spans="1:11" x14ac:dyDescent="0.2">
      <c r="A788" t="s">
        <v>364</v>
      </c>
      <c r="B788" t="s">
        <v>80</v>
      </c>
      <c r="C788" t="s">
        <v>366</v>
      </c>
      <c r="D788" t="s">
        <v>369</v>
      </c>
      <c r="E788" t="s">
        <v>26</v>
      </c>
      <c r="F788" s="330">
        <v>6.4</v>
      </c>
      <c r="G788" s="330">
        <v>7800</v>
      </c>
      <c r="H788" s="310">
        <f t="shared" si="36"/>
        <v>1218.75</v>
      </c>
      <c r="I788" s="311">
        <v>0.3</v>
      </c>
      <c r="J788" s="310">
        <f t="shared" si="37"/>
        <v>5460</v>
      </c>
      <c r="K788" s="310">
        <f t="shared" si="38"/>
        <v>853.125</v>
      </c>
    </row>
    <row r="789" spans="1:11" x14ac:dyDescent="0.2">
      <c r="A789" t="s">
        <v>364</v>
      </c>
      <c r="B789" t="s">
        <v>80</v>
      </c>
      <c r="C789" t="s">
        <v>366</v>
      </c>
      <c r="D789" t="s">
        <v>369</v>
      </c>
      <c r="E789" t="s">
        <v>26</v>
      </c>
      <c r="F789" s="330">
        <v>6.5</v>
      </c>
      <c r="G789" s="330">
        <v>7800</v>
      </c>
      <c r="H789" s="310">
        <f t="shared" si="36"/>
        <v>1200</v>
      </c>
      <c r="I789" s="311">
        <v>0.3</v>
      </c>
      <c r="J789" s="310">
        <f t="shared" si="37"/>
        <v>5460</v>
      </c>
      <c r="K789" s="310">
        <f t="shared" si="38"/>
        <v>840</v>
      </c>
    </row>
    <row r="790" spans="1:11" x14ac:dyDescent="0.2">
      <c r="A790" t="s">
        <v>364</v>
      </c>
      <c r="B790" t="s">
        <v>80</v>
      </c>
      <c r="C790" t="s">
        <v>366</v>
      </c>
      <c r="D790" t="s">
        <v>369</v>
      </c>
      <c r="E790" t="s">
        <v>26</v>
      </c>
      <c r="F790" s="330">
        <v>6.51</v>
      </c>
      <c r="G790" s="330">
        <v>7800</v>
      </c>
      <c r="H790" s="310">
        <f t="shared" si="36"/>
        <v>1198.1566820276498</v>
      </c>
      <c r="I790" s="311">
        <v>0.3</v>
      </c>
      <c r="J790" s="310">
        <f t="shared" si="37"/>
        <v>5460</v>
      </c>
      <c r="K790" s="310">
        <f t="shared" si="38"/>
        <v>838.70967741935488</v>
      </c>
    </row>
    <row r="791" spans="1:11" x14ac:dyDescent="0.2">
      <c r="A791" t="s">
        <v>364</v>
      </c>
      <c r="B791" t="s">
        <v>80</v>
      </c>
      <c r="C791" t="s">
        <v>366</v>
      </c>
      <c r="D791" t="s">
        <v>369</v>
      </c>
      <c r="E791" t="s">
        <v>26</v>
      </c>
      <c r="F791" s="330">
        <v>6.72</v>
      </c>
      <c r="G791" s="330">
        <v>8000</v>
      </c>
      <c r="H791" s="310">
        <f t="shared" si="36"/>
        <v>1190.4761904761906</v>
      </c>
      <c r="I791" s="311">
        <v>0.3</v>
      </c>
      <c r="J791" s="310">
        <f t="shared" si="37"/>
        <v>5600</v>
      </c>
      <c r="K791" s="310">
        <f t="shared" si="38"/>
        <v>833.33333333333337</v>
      </c>
    </row>
    <row r="792" spans="1:11" x14ac:dyDescent="0.2">
      <c r="A792" t="s">
        <v>364</v>
      </c>
      <c r="B792" t="s">
        <v>80</v>
      </c>
      <c r="C792" t="s">
        <v>366</v>
      </c>
      <c r="D792" t="s">
        <v>369</v>
      </c>
      <c r="E792" t="s">
        <v>26</v>
      </c>
      <c r="F792" s="330">
        <v>7.2</v>
      </c>
      <c r="G792" s="330">
        <v>8300</v>
      </c>
      <c r="H792" s="310">
        <f t="shared" si="36"/>
        <v>1152.7777777777778</v>
      </c>
      <c r="I792" s="311">
        <v>0.3</v>
      </c>
      <c r="J792" s="310">
        <f t="shared" si="37"/>
        <v>5810</v>
      </c>
      <c r="K792" s="310">
        <f t="shared" si="38"/>
        <v>806.94444444444446</v>
      </c>
    </row>
    <row r="793" spans="1:11" x14ac:dyDescent="0.2">
      <c r="A793" t="s">
        <v>364</v>
      </c>
      <c r="B793" t="s">
        <v>80</v>
      </c>
      <c r="C793" t="s">
        <v>366</v>
      </c>
      <c r="D793" t="s">
        <v>369</v>
      </c>
      <c r="E793" t="s">
        <v>26</v>
      </c>
      <c r="F793" s="330">
        <v>9.1999999999999993</v>
      </c>
      <c r="G793" s="330">
        <v>12000</v>
      </c>
      <c r="H793" s="310">
        <f t="shared" si="36"/>
        <v>1304.3478260869567</v>
      </c>
      <c r="I793" s="311">
        <v>0.3</v>
      </c>
      <c r="J793" s="310">
        <f t="shared" si="37"/>
        <v>8400</v>
      </c>
      <c r="K793" s="310">
        <f t="shared" si="38"/>
        <v>913.04347826086962</v>
      </c>
    </row>
    <row r="794" spans="1:11" x14ac:dyDescent="0.2">
      <c r="A794" t="s">
        <v>364</v>
      </c>
      <c r="B794" t="s">
        <v>80</v>
      </c>
      <c r="C794" t="s">
        <v>366</v>
      </c>
      <c r="D794" t="s">
        <v>369</v>
      </c>
      <c r="E794" t="s">
        <v>26</v>
      </c>
      <c r="F794" s="330">
        <v>9.24</v>
      </c>
      <c r="G794" s="330">
        <v>12000</v>
      </c>
      <c r="H794" s="310">
        <f t="shared" si="36"/>
        <v>1298.7012987012986</v>
      </c>
      <c r="I794" s="311">
        <v>0.3</v>
      </c>
      <c r="J794" s="310">
        <f t="shared" si="37"/>
        <v>8400</v>
      </c>
      <c r="K794" s="310">
        <f t="shared" si="38"/>
        <v>909.09090909090912</v>
      </c>
    </row>
    <row r="795" spans="1:11" x14ac:dyDescent="0.2">
      <c r="A795" t="s">
        <v>364</v>
      </c>
      <c r="B795" t="s">
        <v>80</v>
      </c>
      <c r="C795" t="s">
        <v>366</v>
      </c>
      <c r="D795" t="s">
        <v>369</v>
      </c>
      <c r="E795" t="s">
        <v>26</v>
      </c>
      <c r="F795" s="330">
        <v>9.68</v>
      </c>
      <c r="G795" s="330">
        <v>12700</v>
      </c>
      <c r="H795" s="310">
        <f t="shared" si="36"/>
        <v>1311.9834710743803</v>
      </c>
      <c r="I795" s="311">
        <v>0.3</v>
      </c>
      <c r="J795" s="310">
        <f t="shared" si="37"/>
        <v>8890</v>
      </c>
      <c r="K795" s="310">
        <f t="shared" si="38"/>
        <v>918.38842975206614</v>
      </c>
    </row>
    <row r="796" spans="1:11" x14ac:dyDescent="0.2">
      <c r="A796" t="s">
        <v>364</v>
      </c>
      <c r="B796" t="s">
        <v>80</v>
      </c>
      <c r="C796" t="s">
        <v>366</v>
      </c>
      <c r="D796" t="s">
        <v>369</v>
      </c>
      <c r="E796" t="s">
        <v>26</v>
      </c>
      <c r="F796" s="330">
        <v>10.4</v>
      </c>
      <c r="G796" s="330">
        <v>14600</v>
      </c>
      <c r="H796" s="310">
        <f t="shared" si="36"/>
        <v>1403.8461538461538</v>
      </c>
      <c r="I796" s="311">
        <v>0.3</v>
      </c>
      <c r="J796" s="310">
        <f t="shared" si="37"/>
        <v>10220</v>
      </c>
      <c r="K796" s="310">
        <f t="shared" si="38"/>
        <v>982.69230769230762</v>
      </c>
    </row>
    <row r="797" spans="1:11" x14ac:dyDescent="0.2">
      <c r="A797" t="s">
        <v>364</v>
      </c>
      <c r="B797" t="s">
        <v>80</v>
      </c>
      <c r="C797" t="s">
        <v>366</v>
      </c>
      <c r="D797" t="s">
        <v>369</v>
      </c>
      <c r="E797" t="s">
        <v>26</v>
      </c>
      <c r="F797" s="330">
        <v>10.78</v>
      </c>
      <c r="G797" s="330">
        <v>13600</v>
      </c>
      <c r="H797" s="310">
        <f t="shared" si="36"/>
        <v>1261.5955473098331</v>
      </c>
      <c r="I797" s="311">
        <v>0.3</v>
      </c>
      <c r="J797" s="310">
        <f t="shared" si="37"/>
        <v>9520</v>
      </c>
      <c r="K797" s="310">
        <f t="shared" si="38"/>
        <v>883.11688311688317</v>
      </c>
    </row>
    <row r="798" spans="1:11" x14ac:dyDescent="0.2">
      <c r="A798" t="s">
        <v>364</v>
      </c>
      <c r="B798" t="s">
        <v>80</v>
      </c>
      <c r="C798" t="s">
        <v>366</v>
      </c>
      <c r="D798" t="s">
        <v>369</v>
      </c>
      <c r="E798" t="s">
        <v>25</v>
      </c>
      <c r="F798" s="330">
        <v>11.04</v>
      </c>
      <c r="G798" s="330">
        <v>13900</v>
      </c>
      <c r="H798" s="310">
        <f t="shared" si="36"/>
        <v>1259.0579710144928</v>
      </c>
      <c r="I798" s="311">
        <v>0.3</v>
      </c>
      <c r="J798" s="310">
        <f t="shared" si="37"/>
        <v>9730</v>
      </c>
      <c r="K798" s="310">
        <f t="shared" si="38"/>
        <v>881.34057971014499</v>
      </c>
    </row>
    <row r="799" spans="1:11" x14ac:dyDescent="0.2">
      <c r="A799" t="s">
        <v>364</v>
      </c>
      <c r="B799" t="s">
        <v>80</v>
      </c>
      <c r="C799" t="s">
        <v>366</v>
      </c>
      <c r="D799" t="s">
        <v>369</v>
      </c>
      <c r="E799" t="s">
        <v>25</v>
      </c>
      <c r="F799" s="330">
        <v>11.22</v>
      </c>
      <c r="G799" s="330">
        <v>13900</v>
      </c>
      <c r="H799" s="310">
        <f t="shared" si="36"/>
        <v>1238.8591800356505</v>
      </c>
      <c r="I799" s="311">
        <v>0.3</v>
      </c>
      <c r="J799" s="310">
        <f t="shared" si="37"/>
        <v>9730</v>
      </c>
      <c r="K799" s="310">
        <f t="shared" si="38"/>
        <v>867.20142602495537</v>
      </c>
    </row>
    <row r="800" spans="1:11" x14ac:dyDescent="0.2">
      <c r="A800" t="s">
        <v>364</v>
      </c>
      <c r="B800" t="s">
        <v>80</v>
      </c>
      <c r="C800" t="s">
        <v>366</v>
      </c>
      <c r="D800" t="s">
        <v>369</v>
      </c>
      <c r="E800" t="s">
        <v>25</v>
      </c>
      <c r="F800" s="330">
        <v>11.4</v>
      </c>
      <c r="G800" s="330">
        <v>14200</v>
      </c>
      <c r="H800" s="310">
        <f t="shared" si="36"/>
        <v>1245.6140350877192</v>
      </c>
      <c r="I800" s="311">
        <v>0.3</v>
      </c>
      <c r="J800" s="310">
        <f t="shared" si="37"/>
        <v>9940</v>
      </c>
      <c r="K800" s="310">
        <f t="shared" si="38"/>
        <v>871.92982456140351</v>
      </c>
    </row>
    <row r="801" spans="1:11" x14ac:dyDescent="0.2">
      <c r="A801" t="s">
        <v>364</v>
      </c>
      <c r="B801" t="s">
        <v>80</v>
      </c>
      <c r="C801" t="s">
        <v>366</v>
      </c>
      <c r="D801" t="s">
        <v>369</v>
      </c>
      <c r="E801" t="s">
        <v>25</v>
      </c>
      <c r="F801" s="330">
        <v>11.48</v>
      </c>
      <c r="G801" s="330">
        <v>14200</v>
      </c>
      <c r="H801" s="310">
        <f t="shared" si="36"/>
        <v>1236.9337979094075</v>
      </c>
      <c r="I801" s="311">
        <v>0.3</v>
      </c>
      <c r="J801" s="310">
        <f t="shared" si="37"/>
        <v>9940</v>
      </c>
      <c r="K801" s="310">
        <f t="shared" si="38"/>
        <v>865.85365853658539</v>
      </c>
    </row>
    <row r="802" spans="1:11" x14ac:dyDescent="0.2">
      <c r="A802" t="s">
        <v>364</v>
      </c>
      <c r="B802" t="s">
        <v>80</v>
      </c>
      <c r="C802" t="s">
        <v>366</v>
      </c>
      <c r="D802" t="s">
        <v>369</v>
      </c>
      <c r="E802" t="s">
        <v>25</v>
      </c>
      <c r="F802" s="330">
        <v>11.52</v>
      </c>
      <c r="G802" s="330">
        <v>14200</v>
      </c>
      <c r="H802" s="310">
        <f t="shared" si="36"/>
        <v>1232.6388888888889</v>
      </c>
      <c r="I802" s="311">
        <v>0.3</v>
      </c>
      <c r="J802" s="310">
        <f t="shared" si="37"/>
        <v>9940</v>
      </c>
      <c r="K802" s="310">
        <f t="shared" si="38"/>
        <v>862.84722222222229</v>
      </c>
    </row>
    <row r="803" spans="1:11" x14ac:dyDescent="0.2">
      <c r="A803" t="s">
        <v>364</v>
      </c>
      <c r="B803" t="s">
        <v>80</v>
      </c>
      <c r="C803" t="s">
        <v>366</v>
      </c>
      <c r="D803" t="s">
        <v>369</v>
      </c>
      <c r="E803" t="s">
        <v>25</v>
      </c>
      <c r="F803" s="330">
        <v>11.76</v>
      </c>
      <c r="G803" s="330">
        <v>14500</v>
      </c>
      <c r="H803" s="310">
        <f t="shared" si="36"/>
        <v>1232.9931972789116</v>
      </c>
      <c r="I803" s="311">
        <v>0.3</v>
      </c>
      <c r="J803" s="310">
        <f t="shared" si="37"/>
        <v>10150</v>
      </c>
      <c r="K803" s="310">
        <f t="shared" si="38"/>
        <v>863.09523809523807</v>
      </c>
    </row>
    <row r="804" spans="1:11" x14ac:dyDescent="0.2">
      <c r="A804" t="s">
        <v>364</v>
      </c>
      <c r="B804" t="s">
        <v>80</v>
      </c>
      <c r="C804" t="s">
        <v>366</v>
      </c>
      <c r="D804" t="s">
        <v>369</v>
      </c>
      <c r="E804" t="s">
        <v>25</v>
      </c>
      <c r="F804" s="330">
        <v>11.76</v>
      </c>
      <c r="G804" s="330">
        <v>15000</v>
      </c>
      <c r="H804" s="310">
        <f t="shared" si="36"/>
        <v>1275.5102040816328</v>
      </c>
      <c r="I804" s="311">
        <v>0.3</v>
      </c>
      <c r="J804" s="310">
        <f t="shared" si="37"/>
        <v>10500</v>
      </c>
      <c r="K804" s="310">
        <f t="shared" si="38"/>
        <v>892.85714285714289</v>
      </c>
    </row>
    <row r="805" spans="1:11" x14ac:dyDescent="0.2">
      <c r="A805" t="s">
        <v>364</v>
      </c>
      <c r="B805" t="s">
        <v>80</v>
      </c>
      <c r="C805" t="s">
        <v>366</v>
      </c>
      <c r="D805" t="s">
        <v>369</v>
      </c>
      <c r="E805" t="s">
        <v>25</v>
      </c>
      <c r="F805" s="330">
        <v>12.88</v>
      </c>
      <c r="G805" s="330">
        <v>17300</v>
      </c>
      <c r="H805" s="310">
        <f t="shared" si="36"/>
        <v>1343.1677018633541</v>
      </c>
      <c r="I805" s="311">
        <v>0.3</v>
      </c>
      <c r="J805" s="310">
        <f t="shared" si="37"/>
        <v>12110</v>
      </c>
      <c r="K805" s="310">
        <f t="shared" si="38"/>
        <v>940.21739130434776</v>
      </c>
    </row>
    <row r="806" spans="1:11" x14ac:dyDescent="0.2">
      <c r="A806" t="s">
        <v>364</v>
      </c>
      <c r="B806" t="s">
        <v>80</v>
      </c>
      <c r="C806" t="s">
        <v>366</v>
      </c>
      <c r="D806" t="s">
        <v>369</v>
      </c>
      <c r="E806" t="s">
        <v>25</v>
      </c>
      <c r="F806" s="330">
        <v>12.9</v>
      </c>
      <c r="G806" s="330">
        <v>14900</v>
      </c>
      <c r="H806" s="310">
        <f t="shared" si="36"/>
        <v>1155.0387596899225</v>
      </c>
      <c r="I806" s="311">
        <v>0.3</v>
      </c>
      <c r="J806" s="310">
        <f t="shared" si="37"/>
        <v>10430</v>
      </c>
      <c r="K806" s="310">
        <f t="shared" si="38"/>
        <v>808.52713178294573</v>
      </c>
    </row>
    <row r="807" spans="1:11" x14ac:dyDescent="0.2">
      <c r="A807" t="s">
        <v>364</v>
      </c>
      <c r="B807" t="s">
        <v>80</v>
      </c>
      <c r="C807" t="s">
        <v>366</v>
      </c>
      <c r="D807" t="s">
        <v>369</v>
      </c>
      <c r="E807" t="s">
        <v>25</v>
      </c>
      <c r="F807" s="330">
        <v>13.16</v>
      </c>
      <c r="G807" s="330">
        <v>17700</v>
      </c>
      <c r="H807" s="310">
        <f t="shared" si="36"/>
        <v>1344.9848024316109</v>
      </c>
      <c r="I807" s="311">
        <v>0.3</v>
      </c>
      <c r="J807" s="310">
        <f t="shared" si="37"/>
        <v>12390</v>
      </c>
      <c r="K807" s="310">
        <f t="shared" si="38"/>
        <v>941.48936170212767</v>
      </c>
    </row>
    <row r="808" spans="1:11" x14ac:dyDescent="0.2">
      <c r="A808" t="s">
        <v>364</v>
      </c>
      <c r="B808" t="s">
        <v>80</v>
      </c>
      <c r="C808" t="s">
        <v>366</v>
      </c>
      <c r="D808" t="s">
        <v>369</v>
      </c>
      <c r="E808" t="s">
        <v>25</v>
      </c>
      <c r="F808" s="330">
        <v>13.44</v>
      </c>
      <c r="G808" s="330">
        <v>16400</v>
      </c>
      <c r="H808" s="310">
        <f t="shared" si="36"/>
        <v>1220.2380952380952</v>
      </c>
      <c r="I808" s="311">
        <v>0.3</v>
      </c>
      <c r="J808" s="310">
        <f t="shared" si="37"/>
        <v>11480</v>
      </c>
      <c r="K808" s="310">
        <f t="shared" si="38"/>
        <v>854.16666666666674</v>
      </c>
    </row>
    <row r="809" spans="1:11" x14ac:dyDescent="0.2">
      <c r="A809" t="s">
        <v>364</v>
      </c>
      <c r="B809" t="s">
        <v>80</v>
      </c>
      <c r="C809" t="s">
        <v>366</v>
      </c>
      <c r="D809" t="s">
        <v>369</v>
      </c>
      <c r="E809" t="s">
        <v>25</v>
      </c>
      <c r="F809" s="330">
        <v>14</v>
      </c>
      <c r="G809" s="330">
        <v>17000</v>
      </c>
      <c r="H809" s="310">
        <f t="shared" si="36"/>
        <v>1214.2857142857142</v>
      </c>
      <c r="I809" s="311">
        <v>0.3</v>
      </c>
      <c r="J809" s="310">
        <f t="shared" si="37"/>
        <v>11900</v>
      </c>
      <c r="K809" s="310">
        <f t="shared" si="38"/>
        <v>850</v>
      </c>
    </row>
    <row r="810" spans="1:11" x14ac:dyDescent="0.2">
      <c r="A810" t="s">
        <v>364</v>
      </c>
      <c r="B810" t="s">
        <v>80</v>
      </c>
      <c r="C810" t="s">
        <v>366</v>
      </c>
      <c r="D810" t="s">
        <v>369</v>
      </c>
      <c r="E810" t="s">
        <v>25</v>
      </c>
      <c r="F810" s="330">
        <v>14.28</v>
      </c>
      <c r="G810" s="330">
        <v>17500</v>
      </c>
      <c r="H810" s="310">
        <f t="shared" si="36"/>
        <v>1225.4901960784314</v>
      </c>
      <c r="I810" s="311">
        <v>0.3</v>
      </c>
      <c r="J810" s="310">
        <f t="shared" si="37"/>
        <v>12250</v>
      </c>
      <c r="K810" s="310">
        <f t="shared" si="38"/>
        <v>857.84313725490199</v>
      </c>
    </row>
    <row r="811" spans="1:11" x14ac:dyDescent="0.2">
      <c r="A811" t="s">
        <v>364</v>
      </c>
      <c r="B811" t="s">
        <v>80</v>
      </c>
      <c r="C811" t="s">
        <v>366</v>
      </c>
      <c r="D811" t="s">
        <v>369</v>
      </c>
      <c r="E811" t="s">
        <v>25</v>
      </c>
      <c r="F811" s="330">
        <v>14.4</v>
      </c>
      <c r="G811" s="330">
        <v>17500</v>
      </c>
      <c r="H811" s="310">
        <f t="shared" si="36"/>
        <v>1215.2777777777778</v>
      </c>
      <c r="I811" s="311">
        <v>0.3</v>
      </c>
      <c r="J811" s="310">
        <f t="shared" si="37"/>
        <v>12250</v>
      </c>
      <c r="K811" s="310">
        <f t="shared" si="38"/>
        <v>850.69444444444446</v>
      </c>
    </row>
    <row r="812" spans="1:11" x14ac:dyDescent="0.2">
      <c r="A812" t="s">
        <v>364</v>
      </c>
      <c r="B812" t="s">
        <v>80</v>
      </c>
      <c r="C812" t="s">
        <v>366</v>
      </c>
      <c r="D812" t="s">
        <v>369</v>
      </c>
      <c r="E812" t="s">
        <v>25</v>
      </c>
      <c r="F812" s="330">
        <v>15.3</v>
      </c>
      <c r="G812" s="330">
        <v>18500</v>
      </c>
      <c r="H812" s="310">
        <f t="shared" si="36"/>
        <v>1209.1503267973856</v>
      </c>
      <c r="I812" s="311">
        <v>0.3</v>
      </c>
      <c r="J812" s="310">
        <f t="shared" si="37"/>
        <v>12950</v>
      </c>
      <c r="K812" s="310">
        <f t="shared" si="38"/>
        <v>846.40522875816987</v>
      </c>
    </row>
    <row r="813" spans="1:11" x14ac:dyDescent="0.2">
      <c r="A813" t="s">
        <v>364</v>
      </c>
      <c r="B813" t="s">
        <v>80</v>
      </c>
      <c r="C813" t="s">
        <v>366</v>
      </c>
      <c r="D813" t="s">
        <v>369</v>
      </c>
      <c r="E813" t="s">
        <v>25</v>
      </c>
      <c r="F813" s="330">
        <v>16.8</v>
      </c>
      <c r="G813" s="330">
        <v>20300</v>
      </c>
      <c r="H813" s="310">
        <f t="shared" si="36"/>
        <v>1208.3333333333333</v>
      </c>
      <c r="I813" s="311">
        <v>0.3</v>
      </c>
      <c r="J813" s="310">
        <f t="shared" si="37"/>
        <v>14210</v>
      </c>
      <c r="K813" s="310">
        <f t="shared" si="38"/>
        <v>845.83333333333326</v>
      </c>
    </row>
    <row r="814" spans="1:11" x14ac:dyDescent="0.2">
      <c r="A814" t="s">
        <v>364</v>
      </c>
      <c r="B814" t="s">
        <v>80</v>
      </c>
      <c r="C814" t="s">
        <v>366</v>
      </c>
      <c r="D814" t="s">
        <v>369</v>
      </c>
      <c r="E814" t="s">
        <v>25</v>
      </c>
      <c r="F814" s="330">
        <v>18.29</v>
      </c>
      <c r="G814" s="330">
        <v>20900</v>
      </c>
      <c r="H814" s="310">
        <f t="shared" si="36"/>
        <v>1142.7009294696556</v>
      </c>
      <c r="I814" s="311">
        <v>0.3</v>
      </c>
      <c r="J814" s="310">
        <f t="shared" si="37"/>
        <v>14629.999999999998</v>
      </c>
      <c r="K814" s="310">
        <f t="shared" si="38"/>
        <v>799.89065062875886</v>
      </c>
    </row>
    <row r="815" spans="1:11" x14ac:dyDescent="0.2">
      <c r="A815" t="s">
        <v>364</v>
      </c>
      <c r="B815" t="s">
        <v>80</v>
      </c>
      <c r="C815" t="s">
        <v>366</v>
      </c>
      <c r="D815" t="s">
        <v>369</v>
      </c>
      <c r="E815" t="s">
        <v>25</v>
      </c>
      <c r="F815" s="330">
        <v>18.48</v>
      </c>
      <c r="G815" s="330">
        <v>20900</v>
      </c>
      <c r="H815" s="310">
        <f t="shared" si="36"/>
        <v>1130.952380952381</v>
      </c>
      <c r="I815" s="311">
        <v>0.3</v>
      </c>
      <c r="J815" s="310">
        <f t="shared" si="37"/>
        <v>14629.999999999998</v>
      </c>
      <c r="K815" s="310">
        <f t="shared" si="38"/>
        <v>791.66666666666652</v>
      </c>
    </row>
    <row r="816" spans="1:11" x14ac:dyDescent="0.2">
      <c r="A816" t="s">
        <v>364</v>
      </c>
      <c r="B816" t="s">
        <v>80</v>
      </c>
      <c r="C816" t="s">
        <v>366</v>
      </c>
      <c r="D816" t="s">
        <v>369</v>
      </c>
      <c r="E816" t="s">
        <v>25</v>
      </c>
      <c r="F816" s="330">
        <v>18.760000000000002</v>
      </c>
      <c r="G816" s="330">
        <v>20900</v>
      </c>
      <c r="H816" s="310">
        <f t="shared" si="36"/>
        <v>1114.0724946695095</v>
      </c>
      <c r="I816" s="311">
        <v>0.3</v>
      </c>
      <c r="J816" s="310">
        <f t="shared" si="37"/>
        <v>14629.999999999998</v>
      </c>
      <c r="K816" s="310">
        <f t="shared" si="38"/>
        <v>779.85074626865651</v>
      </c>
    </row>
    <row r="817" spans="1:11" x14ac:dyDescent="0.2">
      <c r="A817" t="s">
        <v>364</v>
      </c>
      <c r="B817" t="s">
        <v>80</v>
      </c>
      <c r="C817" t="s">
        <v>366</v>
      </c>
      <c r="D817" t="s">
        <v>369</v>
      </c>
      <c r="E817" t="s">
        <v>25</v>
      </c>
      <c r="F817" s="330">
        <v>18.88</v>
      </c>
      <c r="G817" s="330">
        <v>20900</v>
      </c>
      <c r="H817" s="310">
        <f t="shared" si="36"/>
        <v>1106.9915254237289</v>
      </c>
      <c r="I817" s="311">
        <v>0.3</v>
      </c>
      <c r="J817" s="310">
        <f t="shared" si="37"/>
        <v>14629.999999999998</v>
      </c>
      <c r="K817" s="310">
        <f t="shared" si="38"/>
        <v>774.8940677966101</v>
      </c>
    </row>
    <row r="818" spans="1:11" x14ac:dyDescent="0.2">
      <c r="A818" t="s">
        <v>364</v>
      </c>
      <c r="B818" t="s">
        <v>80</v>
      </c>
      <c r="C818" t="s">
        <v>366</v>
      </c>
      <c r="D818" t="s">
        <v>369</v>
      </c>
      <c r="E818" t="s">
        <v>25</v>
      </c>
      <c r="F818" s="330">
        <v>19.04</v>
      </c>
      <c r="G818" s="330">
        <v>22000</v>
      </c>
      <c r="H818" s="310">
        <f t="shared" si="36"/>
        <v>1155.4621848739496</v>
      </c>
      <c r="I818" s="311">
        <v>0.3</v>
      </c>
      <c r="J818" s="310">
        <f t="shared" si="37"/>
        <v>15399.999999999998</v>
      </c>
      <c r="K818" s="310">
        <f t="shared" si="38"/>
        <v>808.82352941176464</v>
      </c>
    </row>
    <row r="819" spans="1:11" x14ac:dyDescent="0.2">
      <c r="A819" t="s">
        <v>364</v>
      </c>
      <c r="B819" t="s">
        <v>80</v>
      </c>
      <c r="C819" t="s">
        <v>366</v>
      </c>
      <c r="D819" t="s">
        <v>369</v>
      </c>
      <c r="E819" t="s">
        <v>28</v>
      </c>
      <c r="F819" s="330">
        <v>20.68</v>
      </c>
      <c r="G819" s="330">
        <v>23700</v>
      </c>
      <c r="H819" s="310">
        <f t="shared" si="36"/>
        <v>1146.0348162475823</v>
      </c>
      <c r="I819" s="311">
        <v>0.3</v>
      </c>
      <c r="J819" s="310">
        <f t="shared" si="37"/>
        <v>16590</v>
      </c>
      <c r="K819" s="310">
        <f t="shared" si="38"/>
        <v>802.22437137330758</v>
      </c>
    </row>
    <row r="820" spans="1:11" x14ac:dyDescent="0.2">
      <c r="A820" t="s">
        <v>364</v>
      </c>
      <c r="B820" t="s">
        <v>80</v>
      </c>
      <c r="C820" t="s">
        <v>366</v>
      </c>
      <c r="D820" t="s">
        <v>369</v>
      </c>
      <c r="E820" t="s">
        <v>28</v>
      </c>
      <c r="F820" s="330">
        <v>22.4</v>
      </c>
      <c r="G820" s="330">
        <v>25600</v>
      </c>
      <c r="H820" s="310">
        <f t="shared" si="36"/>
        <v>1142.8571428571429</v>
      </c>
      <c r="I820" s="311">
        <v>0.3</v>
      </c>
      <c r="J820" s="310">
        <f t="shared" si="37"/>
        <v>17920</v>
      </c>
      <c r="K820" s="310">
        <f t="shared" si="38"/>
        <v>800</v>
      </c>
    </row>
    <row r="821" spans="1:11" x14ac:dyDescent="0.2">
      <c r="A821" t="s">
        <v>364</v>
      </c>
      <c r="B821" t="s">
        <v>80</v>
      </c>
      <c r="C821" t="s">
        <v>366</v>
      </c>
      <c r="D821" t="s">
        <v>369</v>
      </c>
      <c r="E821" t="s">
        <v>28</v>
      </c>
      <c r="F821" s="330">
        <v>24.85</v>
      </c>
      <c r="G821" s="330">
        <v>28500</v>
      </c>
      <c r="H821" s="310">
        <f t="shared" si="36"/>
        <v>1146.8812877263581</v>
      </c>
      <c r="I821" s="311">
        <v>0.3</v>
      </c>
      <c r="J821" s="310">
        <f t="shared" si="37"/>
        <v>19950</v>
      </c>
      <c r="K821" s="310">
        <f t="shared" si="38"/>
        <v>802.81690140845069</v>
      </c>
    </row>
    <row r="822" spans="1:11" x14ac:dyDescent="0.2">
      <c r="A822" t="s">
        <v>364</v>
      </c>
      <c r="B822" t="s">
        <v>80</v>
      </c>
      <c r="C822" t="s">
        <v>366</v>
      </c>
      <c r="D822" t="s">
        <v>369</v>
      </c>
      <c r="E822" t="s">
        <v>28</v>
      </c>
      <c r="F822" s="330">
        <v>28.81</v>
      </c>
      <c r="G822" s="330">
        <v>33000</v>
      </c>
      <c r="H822" s="310">
        <f t="shared" si="36"/>
        <v>1145.4356126345019</v>
      </c>
      <c r="I822" s="311">
        <v>0.3</v>
      </c>
      <c r="J822" s="310">
        <f t="shared" si="37"/>
        <v>23100</v>
      </c>
      <c r="K822" s="310">
        <f t="shared" si="38"/>
        <v>801.80492884415139</v>
      </c>
    </row>
    <row r="823" spans="1:11" x14ac:dyDescent="0.2">
      <c r="A823" t="s">
        <v>364</v>
      </c>
      <c r="B823" t="s">
        <v>80</v>
      </c>
      <c r="C823" t="s">
        <v>366</v>
      </c>
      <c r="D823" t="s">
        <v>369</v>
      </c>
      <c r="E823" t="s">
        <v>30</v>
      </c>
      <c r="F823" s="330">
        <v>35.26</v>
      </c>
      <c r="G823" s="330">
        <v>36500</v>
      </c>
      <c r="H823" s="310">
        <f t="shared" si="36"/>
        <v>1035.1673284174703</v>
      </c>
      <c r="I823" s="311">
        <v>0.3</v>
      </c>
      <c r="J823" s="310">
        <f t="shared" si="37"/>
        <v>25550</v>
      </c>
      <c r="K823" s="310">
        <f t="shared" si="38"/>
        <v>724.61712989222917</v>
      </c>
    </row>
    <row r="824" spans="1:11" x14ac:dyDescent="0.2">
      <c r="A824" t="s">
        <v>364</v>
      </c>
      <c r="B824" t="s">
        <v>80</v>
      </c>
      <c r="C824" t="s">
        <v>366</v>
      </c>
      <c r="D824" t="s">
        <v>369</v>
      </c>
      <c r="E824" t="s">
        <v>30</v>
      </c>
      <c r="F824" s="330">
        <v>36.26</v>
      </c>
      <c r="G824" s="330">
        <v>36500</v>
      </c>
      <c r="H824" s="310">
        <f t="shared" si="36"/>
        <v>1006.6188637617209</v>
      </c>
      <c r="I824" s="311">
        <v>0.3</v>
      </c>
      <c r="J824" s="310">
        <f t="shared" si="37"/>
        <v>25550</v>
      </c>
      <c r="K824" s="310">
        <f t="shared" si="38"/>
        <v>704.63320463320463</v>
      </c>
    </row>
    <row r="825" spans="1:11" x14ac:dyDescent="0.2">
      <c r="A825" t="s">
        <v>364</v>
      </c>
      <c r="B825" t="s">
        <v>80</v>
      </c>
      <c r="C825" t="s">
        <v>366</v>
      </c>
      <c r="D825" t="s">
        <v>369</v>
      </c>
      <c r="E825" t="s">
        <v>30</v>
      </c>
      <c r="F825" s="330">
        <v>42</v>
      </c>
      <c r="G825" s="330">
        <v>45000</v>
      </c>
      <c r="H825" s="310">
        <f t="shared" si="36"/>
        <v>1071.4285714285713</v>
      </c>
      <c r="I825" s="311">
        <v>0.3</v>
      </c>
      <c r="J825" s="310">
        <f t="shared" si="37"/>
        <v>31499.999999999996</v>
      </c>
      <c r="K825" s="310">
        <f t="shared" si="38"/>
        <v>749.99999999999989</v>
      </c>
    </row>
    <row r="826" spans="1:11" x14ac:dyDescent="0.2">
      <c r="A826" t="s">
        <v>364</v>
      </c>
      <c r="B826" t="s">
        <v>51</v>
      </c>
      <c r="C826" t="s">
        <v>367</v>
      </c>
      <c r="D826" t="s">
        <v>120</v>
      </c>
      <c r="E826" t="s">
        <v>5</v>
      </c>
      <c r="F826" s="330">
        <v>0.6</v>
      </c>
      <c r="G826" s="330">
        <v>660.93</v>
      </c>
      <c r="H826" s="310">
        <f t="shared" si="36"/>
        <v>1101.55</v>
      </c>
      <c r="I826" s="311">
        <v>0</v>
      </c>
      <c r="J826" s="310">
        <f t="shared" si="37"/>
        <v>660.93</v>
      </c>
      <c r="K826" s="310">
        <f t="shared" si="38"/>
        <v>1101.55</v>
      </c>
    </row>
    <row r="827" spans="1:11" x14ac:dyDescent="0.2">
      <c r="A827" t="s">
        <v>364</v>
      </c>
      <c r="B827" t="s">
        <v>51</v>
      </c>
      <c r="C827" t="s">
        <v>367</v>
      </c>
      <c r="D827" t="s">
        <v>120</v>
      </c>
      <c r="E827" t="s">
        <v>6</v>
      </c>
      <c r="F827" s="330">
        <v>0.6</v>
      </c>
      <c r="G827" s="330">
        <v>567.48</v>
      </c>
      <c r="H827" s="310">
        <f t="shared" si="36"/>
        <v>945.80000000000007</v>
      </c>
      <c r="I827" s="311">
        <v>0</v>
      </c>
      <c r="J827" s="310">
        <f t="shared" si="37"/>
        <v>567.48</v>
      </c>
      <c r="K827" s="310">
        <f t="shared" si="38"/>
        <v>945.80000000000007</v>
      </c>
    </row>
    <row r="828" spans="1:11" x14ac:dyDescent="0.2">
      <c r="A828" t="s">
        <v>364</v>
      </c>
      <c r="B828" t="s">
        <v>51</v>
      </c>
      <c r="C828" t="s">
        <v>367</v>
      </c>
      <c r="D828" t="s">
        <v>369</v>
      </c>
      <c r="E828" t="s">
        <v>14</v>
      </c>
      <c r="F828" s="330">
        <v>0.6</v>
      </c>
      <c r="G828" s="330">
        <v>1200</v>
      </c>
      <c r="H828" s="310">
        <f t="shared" si="36"/>
        <v>2000</v>
      </c>
      <c r="I828" s="311">
        <v>0.4</v>
      </c>
      <c r="J828" s="310">
        <f t="shared" si="37"/>
        <v>720</v>
      </c>
      <c r="K828" s="310">
        <f t="shared" si="38"/>
        <v>1200</v>
      </c>
    </row>
    <row r="829" spans="1:11" x14ac:dyDescent="0.2">
      <c r="A829" t="s">
        <v>364</v>
      </c>
      <c r="B829" t="s">
        <v>51</v>
      </c>
      <c r="C829" t="s">
        <v>367</v>
      </c>
      <c r="D829" t="s">
        <v>369</v>
      </c>
      <c r="E829" t="s">
        <v>14</v>
      </c>
      <c r="F829" s="330">
        <v>1</v>
      </c>
      <c r="G829" s="330">
        <v>1300</v>
      </c>
      <c r="H829" s="310">
        <f t="shared" si="36"/>
        <v>1300</v>
      </c>
      <c r="I829" s="311">
        <v>0.4</v>
      </c>
      <c r="J829" s="310">
        <f t="shared" si="37"/>
        <v>780</v>
      </c>
      <c r="K829" s="310">
        <f t="shared" si="38"/>
        <v>780</v>
      </c>
    </row>
    <row r="830" spans="1:11" x14ac:dyDescent="0.2">
      <c r="A830" t="s">
        <v>364</v>
      </c>
      <c r="B830" t="s">
        <v>51</v>
      </c>
      <c r="C830" t="s">
        <v>367</v>
      </c>
      <c r="D830" t="s">
        <v>369</v>
      </c>
      <c r="E830" t="s">
        <v>14</v>
      </c>
      <c r="F830" s="330">
        <v>1</v>
      </c>
      <c r="G830" s="330">
        <v>1400</v>
      </c>
      <c r="H830" s="310">
        <f t="shared" si="36"/>
        <v>1400</v>
      </c>
      <c r="I830" s="311">
        <v>0.4</v>
      </c>
      <c r="J830" s="310">
        <f t="shared" si="37"/>
        <v>840</v>
      </c>
      <c r="K830" s="310">
        <f t="shared" si="38"/>
        <v>840</v>
      </c>
    </row>
    <row r="831" spans="1:11" x14ac:dyDescent="0.2">
      <c r="A831" t="s">
        <v>364</v>
      </c>
      <c r="B831" t="s">
        <v>51</v>
      </c>
      <c r="C831" t="s">
        <v>367</v>
      </c>
      <c r="D831" t="s">
        <v>369</v>
      </c>
      <c r="E831" t="s">
        <v>14</v>
      </c>
      <c r="F831" s="330">
        <v>1.1000000000000001</v>
      </c>
      <c r="G831" s="330">
        <v>1300</v>
      </c>
      <c r="H831" s="310">
        <f t="shared" si="36"/>
        <v>1181.8181818181818</v>
      </c>
      <c r="I831" s="311">
        <v>0.4</v>
      </c>
      <c r="J831" s="310">
        <f t="shared" si="37"/>
        <v>780</v>
      </c>
      <c r="K831" s="310">
        <f t="shared" si="38"/>
        <v>709.09090909090901</v>
      </c>
    </row>
    <row r="832" spans="1:11" x14ac:dyDescent="0.2">
      <c r="A832" t="s">
        <v>364</v>
      </c>
      <c r="B832" t="s">
        <v>51</v>
      </c>
      <c r="C832" t="s">
        <v>367</v>
      </c>
      <c r="D832" t="s">
        <v>369</v>
      </c>
      <c r="E832" t="s">
        <v>14</v>
      </c>
      <c r="F832" s="330">
        <v>1.4</v>
      </c>
      <c r="G832" s="330">
        <v>1500</v>
      </c>
      <c r="H832" s="310">
        <f t="shared" si="36"/>
        <v>1071.4285714285716</v>
      </c>
      <c r="I832" s="311">
        <v>0.4</v>
      </c>
      <c r="J832" s="310">
        <f t="shared" si="37"/>
        <v>900</v>
      </c>
      <c r="K832" s="310">
        <f t="shared" si="38"/>
        <v>642.85714285714289</v>
      </c>
    </row>
    <row r="833" spans="1:11" x14ac:dyDescent="0.2">
      <c r="A833" t="s">
        <v>364</v>
      </c>
      <c r="B833" t="s">
        <v>51</v>
      </c>
      <c r="C833" t="s">
        <v>367</v>
      </c>
      <c r="D833" t="s">
        <v>369</v>
      </c>
      <c r="E833" t="s">
        <v>12</v>
      </c>
      <c r="F833" s="330">
        <v>1.54</v>
      </c>
      <c r="G833" s="330">
        <v>1500</v>
      </c>
      <c r="H833" s="310">
        <f t="shared" si="36"/>
        <v>974.02597402597405</v>
      </c>
      <c r="I833" s="311">
        <v>0.4</v>
      </c>
      <c r="J833" s="310">
        <f t="shared" si="37"/>
        <v>900</v>
      </c>
      <c r="K833" s="310">
        <f t="shared" si="38"/>
        <v>584.41558441558436</v>
      </c>
    </row>
    <row r="834" spans="1:11" x14ac:dyDescent="0.2">
      <c r="A834" t="s">
        <v>364</v>
      </c>
      <c r="B834" t="s">
        <v>51</v>
      </c>
      <c r="C834" t="s">
        <v>367</v>
      </c>
      <c r="D834" t="s">
        <v>369</v>
      </c>
      <c r="E834" t="s">
        <v>12</v>
      </c>
      <c r="F834" s="330">
        <v>1.8</v>
      </c>
      <c r="G834" s="330">
        <v>1800</v>
      </c>
      <c r="H834" s="310">
        <f t="shared" ref="H834:H898" si="39">G834/F834</f>
        <v>1000</v>
      </c>
      <c r="I834" s="311">
        <v>0.4</v>
      </c>
      <c r="J834" s="310">
        <f t="shared" ref="J834:J880" si="40">G834*(1-I834)</f>
        <v>1080</v>
      </c>
      <c r="K834" s="310">
        <f t="shared" ref="K834:K880" si="41">J834/F834</f>
        <v>600</v>
      </c>
    </row>
    <row r="835" spans="1:11" x14ac:dyDescent="0.2">
      <c r="A835" t="s">
        <v>364</v>
      </c>
      <c r="B835" t="s">
        <v>51</v>
      </c>
      <c r="C835" t="s">
        <v>367</v>
      </c>
      <c r="D835" t="s">
        <v>369</v>
      </c>
      <c r="E835" t="s">
        <v>12</v>
      </c>
      <c r="F835" s="330">
        <v>1.98</v>
      </c>
      <c r="G835" s="330">
        <v>2200</v>
      </c>
      <c r="H835" s="310">
        <f t="shared" si="39"/>
        <v>1111.1111111111111</v>
      </c>
      <c r="I835" s="311">
        <v>0.4</v>
      </c>
      <c r="J835" s="310">
        <f t="shared" si="40"/>
        <v>1320</v>
      </c>
      <c r="K835" s="310">
        <f t="shared" si="41"/>
        <v>666.66666666666663</v>
      </c>
    </row>
    <row r="836" spans="1:11" x14ac:dyDescent="0.2">
      <c r="A836" t="s">
        <v>364</v>
      </c>
      <c r="B836" t="s">
        <v>51</v>
      </c>
      <c r="C836" t="s">
        <v>367</v>
      </c>
      <c r="D836" t="s">
        <v>369</v>
      </c>
      <c r="E836" t="s">
        <v>12</v>
      </c>
      <c r="F836" s="330">
        <v>2</v>
      </c>
      <c r="G836" s="330">
        <v>2200</v>
      </c>
      <c r="H836" s="310">
        <f t="shared" si="39"/>
        <v>1100</v>
      </c>
      <c r="I836" s="311">
        <v>0.4</v>
      </c>
      <c r="J836" s="310">
        <f t="shared" si="40"/>
        <v>1320</v>
      </c>
      <c r="K836" s="310">
        <f t="shared" si="41"/>
        <v>660</v>
      </c>
    </row>
    <row r="837" spans="1:11" x14ac:dyDescent="0.2">
      <c r="A837" t="s">
        <v>364</v>
      </c>
      <c r="B837" t="s">
        <v>51</v>
      </c>
      <c r="C837" t="s">
        <v>367</v>
      </c>
      <c r="D837" t="s">
        <v>369</v>
      </c>
      <c r="E837" t="s">
        <v>12</v>
      </c>
      <c r="F837" s="330">
        <v>2.08</v>
      </c>
      <c r="G837" s="330">
        <v>2200</v>
      </c>
      <c r="H837" s="310">
        <f t="shared" si="39"/>
        <v>1057.6923076923076</v>
      </c>
      <c r="I837" s="311">
        <v>0.4</v>
      </c>
      <c r="J837" s="310">
        <f t="shared" si="40"/>
        <v>1320</v>
      </c>
      <c r="K837" s="310">
        <f t="shared" si="41"/>
        <v>634.61538461538464</v>
      </c>
    </row>
    <row r="838" spans="1:11" x14ac:dyDescent="0.2">
      <c r="A838" t="s">
        <v>364</v>
      </c>
      <c r="B838" t="s">
        <v>51</v>
      </c>
      <c r="C838" t="s">
        <v>367</v>
      </c>
      <c r="D838" t="s">
        <v>369</v>
      </c>
      <c r="E838" t="s">
        <v>12</v>
      </c>
      <c r="F838" s="330">
        <v>2.09</v>
      </c>
      <c r="G838" s="330">
        <v>2200</v>
      </c>
      <c r="H838" s="310">
        <f t="shared" si="39"/>
        <v>1052.6315789473686</v>
      </c>
      <c r="I838" s="311">
        <v>0.4</v>
      </c>
      <c r="J838" s="310">
        <f t="shared" si="40"/>
        <v>1320</v>
      </c>
      <c r="K838" s="310">
        <f t="shared" si="41"/>
        <v>631.57894736842104</v>
      </c>
    </row>
    <row r="839" spans="1:11" x14ac:dyDescent="0.2">
      <c r="A839" t="s">
        <v>364</v>
      </c>
      <c r="B839" t="s">
        <v>51</v>
      </c>
      <c r="C839" t="s">
        <v>367</v>
      </c>
      <c r="D839" t="s">
        <v>369</v>
      </c>
      <c r="E839" t="s">
        <v>12</v>
      </c>
      <c r="F839" s="330">
        <v>2.4</v>
      </c>
      <c r="G839" s="330">
        <v>2400</v>
      </c>
      <c r="H839" s="310">
        <f t="shared" si="39"/>
        <v>1000</v>
      </c>
      <c r="I839" s="311">
        <v>0.4</v>
      </c>
      <c r="J839" s="310">
        <f t="shared" si="40"/>
        <v>1440</v>
      </c>
      <c r="K839" s="310">
        <f t="shared" si="41"/>
        <v>600</v>
      </c>
    </row>
    <row r="840" spans="1:11" x14ac:dyDescent="0.2">
      <c r="A840" t="s">
        <v>364</v>
      </c>
      <c r="B840" t="s">
        <v>51</v>
      </c>
      <c r="C840" t="s">
        <v>367</v>
      </c>
      <c r="D840" t="s">
        <v>369</v>
      </c>
      <c r="E840" t="s">
        <v>10</v>
      </c>
      <c r="F840" s="330">
        <v>2.99</v>
      </c>
      <c r="G840" s="330">
        <v>3600</v>
      </c>
      <c r="H840" s="310">
        <f t="shared" si="39"/>
        <v>1204.0133779264213</v>
      </c>
      <c r="I840" s="311">
        <v>0.4</v>
      </c>
      <c r="J840" s="310">
        <f t="shared" si="40"/>
        <v>2160</v>
      </c>
      <c r="K840" s="310">
        <f t="shared" si="41"/>
        <v>722.4080267558528</v>
      </c>
    </row>
    <row r="841" spans="1:11" x14ac:dyDescent="0.2">
      <c r="A841" t="s">
        <v>364</v>
      </c>
      <c r="B841" t="s">
        <v>51</v>
      </c>
      <c r="C841" t="s">
        <v>367</v>
      </c>
      <c r="D841" t="s">
        <v>369</v>
      </c>
      <c r="E841" t="s">
        <v>10</v>
      </c>
      <c r="F841" s="330">
        <v>3</v>
      </c>
      <c r="G841" s="330">
        <v>3600</v>
      </c>
      <c r="H841" s="310">
        <f t="shared" si="39"/>
        <v>1200</v>
      </c>
      <c r="I841" s="311">
        <v>0.4</v>
      </c>
      <c r="J841" s="310">
        <f t="shared" si="40"/>
        <v>2160</v>
      </c>
      <c r="K841" s="310">
        <f t="shared" si="41"/>
        <v>720</v>
      </c>
    </row>
    <row r="842" spans="1:11" x14ac:dyDescent="0.2">
      <c r="A842" t="s">
        <v>364</v>
      </c>
      <c r="B842" t="s">
        <v>51</v>
      </c>
      <c r="C842" t="s">
        <v>367</v>
      </c>
      <c r="D842" t="s">
        <v>369</v>
      </c>
      <c r="E842" t="s">
        <v>10</v>
      </c>
      <c r="F842" s="330">
        <v>3</v>
      </c>
      <c r="G842" s="330">
        <v>3600</v>
      </c>
      <c r="H842" s="310">
        <f t="shared" si="39"/>
        <v>1200</v>
      </c>
      <c r="I842" s="311">
        <v>0.4</v>
      </c>
      <c r="J842" s="310">
        <f t="shared" si="40"/>
        <v>2160</v>
      </c>
      <c r="K842" s="310">
        <f t="shared" si="41"/>
        <v>720</v>
      </c>
    </row>
    <row r="843" spans="1:11" x14ac:dyDescent="0.2">
      <c r="A843" t="s">
        <v>364</v>
      </c>
      <c r="B843" t="s">
        <v>51</v>
      </c>
      <c r="C843" t="s">
        <v>367</v>
      </c>
      <c r="D843" t="s">
        <v>369</v>
      </c>
      <c r="E843" t="s">
        <v>10</v>
      </c>
      <c r="F843" s="330">
        <v>3.75</v>
      </c>
      <c r="G843" s="330">
        <v>4000</v>
      </c>
      <c r="H843" s="310">
        <f t="shared" si="39"/>
        <v>1066.6666666666667</v>
      </c>
      <c r="I843" s="311">
        <v>0.4</v>
      </c>
      <c r="J843" s="310">
        <f t="shared" si="40"/>
        <v>2400</v>
      </c>
      <c r="K843" s="310">
        <f t="shared" si="41"/>
        <v>640</v>
      </c>
    </row>
    <row r="844" spans="1:11" x14ac:dyDescent="0.2">
      <c r="A844" t="s">
        <v>364</v>
      </c>
      <c r="B844" t="s">
        <v>51</v>
      </c>
      <c r="C844" t="s">
        <v>367</v>
      </c>
      <c r="D844" t="s">
        <v>369</v>
      </c>
      <c r="E844" t="s">
        <v>10</v>
      </c>
      <c r="F844" s="330">
        <v>3.75</v>
      </c>
      <c r="G844" s="330">
        <v>4000</v>
      </c>
      <c r="H844" s="310">
        <f t="shared" si="39"/>
        <v>1066.6666666666667</v>
      </c>
      <c r="I844" s="311">
        <v>0.4</v>
      </c>
      <c r="J844" s="310">
        <f t="shared" si="40"/>
        <v>2400</v>
      </c>
      <c r="K844" s="310">
        <f t="shared" si="41"/>
        <v>640</v>
      </c>
    </row>
    <row r="845" spans="1:11" x14ac:dyDescent="0.2">
      <c r="A845" t="s">
        <v>364</v>
      </c>
      <c r="B845" t="s">
        <v>51</v>
      </c>
      <c r="C845" t="s">
        <v>367</v>
      </c>
      <c r="D845" t="s">
        <v>369</v>
      </c>
      <c r="E845" t="s">
        <v>10</v>
      </c>
      <c r="F845" s="330">
        <v>3.91</v>
      </c>
      <c r="G845" s="330">
        <v>4000</v>
      </c>
      <c r="H845" s="310">
        <f t="shared" si="39"/>
        <v>1023.0179028132992</v>
      </c>
      <c r="I845" s="311">
        <v>0.4</v>
      </c>
      <c r="J845" s="310">
        <f t="shared" si="40"/>
        <v>2400</v>
      </c>
      <c r="K845" s="310">
        <f t="shared" si="41"/>
        <v>613.81074168797954</v>
      </c>
    </row>
    <row r="846" spans="1:11" x14ac:dyDescent="0.2">
      <c r="A846" t="s">
        <v>364</v>
      </c>
      <c r="B846" t="s">
        <v>51</v>
      </c>
      <c r="C846" t="s">
        <v>367</v>
      </c>
      <c r="D846" t="s">
        <v>369</v>
      </c>
      <c r="E846" t="s">
        <v>10</v>
      </c>
      <c r="F846" s="330">
        <v>4</v>
      </c>
      <c r="G846" s="330">
        <v>4500</v>
      </c>
      <c r="H846" s="310">
        <f t="shared" si="39"/>
        <v>1125</v>
      </c>
      <c r="I846" s="311">
        <v>0.4</v>
      </c>
      <c r="J846" s="310">
        <f t="shared" si="40"/>
        <v>2700</v>
      </c>
      <c r="K846" s="310">
        <f t="shared" si="41"/>
        <v>675</v>
      </c>
    </row>
    <row r="847" spans="1:11" x14ac:dyDescent="0.2">
      <c r="A847" t="s">
        <v>364</v>
      </c>
      <c r="B847" t="s">
        <v>51</v>
      </c>
      <c r="C847" t="s">
        <v>367</v>
      </c>
      <c r="D847" t="s">
        <v>369</v>
      </c>
      <c r="E847" t="s">
        <v>10</v>
      </c>
      <c r="F847" s="330">
        <v>4.2</v>
      </c>
      <c r="G847" s="330">
        <v>4500</v>
      </c>
      <c r="H847" s="310">
        <f t="shared" si="39"/>
        <v>1071.4285714285713</v>
      </c>
      <c r="I847" s="311">
        <v>0.4</v>
      </c>
      <c r="J847" s="310">
        <f t="shared" si="40"/>
        <v>2700</v>
      </c>
      <c r="K847" s="310">
        <f t="shared" si="41"/>
        <v>642.85714285714278</v>
      </c>
    </row>
    <row r="848" spans="1:11" x14ac:dyDescent="0.2">
      <c r="A848" t="s">
        <v>364</v>
      </c>
      <c r="B848" t="s">
        <v>51</v>
      </c>
      <c r="C848" t="s">
        <v>367</v>
      </c>
      <c r="D848" t="s">
        <v>369</v>
      </c>
      <c r="E848" t="s">
        <v>10</v>
      </c>
      <c r="F848" s="330">
        <v>4.25</v>
      </c>
      <c r="G848" s="330">
        <v>4500</v>
      </c>
      <c r="H848" s="310">
        <f t="shared" si="39"/>
        <v>1058.8235294117646</v>
      </c>
      <c r="I848" s="311">
        <v>0.4</v>
      </c>
      <c r="J848" s="310">
        <f t="shared" si="40"/>
        <v>2700</v>
      </c>
      <c r="K848" s="310">
        <f t="shared" si="41"/>
        <v>635.29411764705878</v>
      </c>
    </row>
    <row r="849" spans="1:11" x14ac:dyDescent="0.2">
      <c r="A849" t="s">
        <v>364</v>
      </c>
      <c r="B849" t="s">
        <v>51</v>
      </c>
      <c r="C849" t="s">
        <v>367</v>
      </c>
      <c r="D849" t="s">
        <v>369</v>
      </c>
      <c r="E849" t="s">
        <v>10</v>
      </c>
      <c r="F849" s="330">
        <v>4.4000000000000004</v>
      </c>
      <c r="G849" s="330">
        <v>4700</v>
      </c>
      <c r="H849" s="310">
        <f t="shared" si="39"/>
        <v>1068.181818181818</v>
      </c>
      <c r="I849" s="311">
        <v>0.4</v>
      </c>
      <c r="J849" s="310">
        <f t="shared" si="40"/>
        <v>2820</v>
      </c>
      <c r="K849" s="310">
        <f t="shared" si="41"/>
        <v>640.90909090909088</v>
      </c>
    </row>
    <row r="850" spans="1:11" x14ac:dyDescent="0.2">
      <c r="A850" t="s">
        <v>364</v>
      </c>
      <c r="B850" t="s">
        <v>51</v>
      </c>
      <c r="C850" t="s">
        <v>367</v>
      </c>
      <c r="D850" t="s">
        <v>369</v>
      </c>
      <c r="E850" t="s">
        <v>10</v>
      </c>
      <c r="F850" s="330">
        <v>4.5999999999999996</v>
      </c>
      <c r="G850" s="330">
        <v>4700</v>
      </c>
      <c r="H850" s="310">
        <f t="shared" si="39"/>
        <v>1021.7391304347827</v>
      </c>
      <c r="I850" s="311">
        <v>0.4</v>
      </c>
      <c r="J850" s="310">
        <f t="shared" si="40"/>
        <v>2820</v>
      </c>
      <c r="K850" s="310">
        <f t="shared" si="41"/>
        <v>613.04347826086962</v>
      </c>
    </row>
    <row r="851" spans="1:11" x14ac:dyDescent="0.2">
      <c r="A851" t="s">
        <v>364</v>
      </c>
      <c r="B851" t="s">
        <v>51</v>
      </c>
      <c r="C851" t="s">
        <v>367</v>
      </c>
      <c r="D851" t="s">
        <v>369</v>
      </c>
      <c r="E851" t="s">
        <v>10</v>
      </c>
      <c r="F851" s="330">
        <v>4.83</v>
      </c>
      <c r="G851" s="330">
        <v>4700</v>
      </c>
      <c r="H851" s="310">
        <f t="shared" si="39"/>
        <v>973.08488612836436</v>
      </c>
      <c r="I851" s="311">
        <v>0.4</v>
      </c>
      <c r="J851" s="310">
        <f t="shared" si="40"/>
        <v>2820</v>
      </c>
      <c r="K851" s="310">
        <f t="shared" si="41"/>
        <v>583.85093167701859</v>
      </c>
    </row>
    <row r="852" spans="1:11" x14ac:dyDescent="0.2">
      <c r="A852" t="s">
        <v>364</v>
      </c>
      <c r="B852" t="s">
        <v>51</v>
      </c>
      <c r="C852" t="s">
        <v>367</v>
      </c>
      <c r="D852" t="s">
        <v>369</v>
      </c>
      <c r="E852" t="s">
        <v>9</v>
      </c>
      <c r="F852" s="330">
        <v>5</v>
      </c>
      <c r="G852" s="330">
        <v>5200</v>
      </c>
      <c r="H852" s="310">
        <f t="shared" si="39"/>
        <v>1040</v>
      </c>
      <c r="I852" s="311">
        <v>0.4</v>
      </c>
      <c r="J852" s="310">
        <f t="shared" si="40"/>
        <v>3120</v>
      </c>
      <c r="K852" s="310">
        <f t="shared" si="41"/>
        <v>624</v>
      </c>
    </row>
    <row r="853" spans="1:11" x14ac:dyDescent="0.2">
      <c r="A853" t="s">
        <v>364</v>
      </c>
      <c r="B853" t="s">
        <v>51</v>
      </c>
      <c r="C853" t="s">
        <v>367</v>
      </c>
      <c r="D853" t="s">
        <v>369</v>
      </c>
      <c r="E853" t="s">
        <v>9</v>
      </c>
      <c r="F853" s="330">
        <v>5.04</v>
      </c>
      <c r="G853" s="330">
        <v>5200</v>
      </c>
      <c r="H853" s="310">
        <f t="shared" si="39"/>
        <v>1031.7460317460318</v>
      </c>
      <c r="I853" s="311">
        <v>0.4</v>
      </c>
      <c r="J853" s="310">
        <f t="shared" si="40"/>
        <v>3120</v>
      </c>
      <c r="K853" s="310">
        <f t="shared" si="41"/>
        <v>619.04761904761904</v>
      </c>
    </row>
    <row r="854" spans="1:11" x14ac:dyDescent="0.2">
      <c r="A854" t="s">
        <v>364</v>
      </c>
      <c r="B854" t="s">
        <v>51</v>
      </c>
      <c r="C854" t="s">
        <v>367</v>
      </c>
      <c r="D854" t="s">
        <v>369</v>
      </c>
      <c r="E854" t="s">
        <v>9</v>
      </c>
      <c r="F854" s="330">
        <v>5.0599999999999996</v>
      </c>
      <c r="G854" s="330">
        <v>5200</v>
      </c>
      <c r="H854" s="310">
        <f t="shared" si="39"/>
        <v>1027.6679841897235</v>
      </c>
      <c r="I854" s="311">
        <v>0.4</v>
      </c>
      <c r="J854" s="310">
        <f t="shared" si="40"/>
        <v>3120</v>
      </c>
      <c r="K854" s="310">
        <f t="shared" si="41"/>
        <v>616.600790513834</v>
      </c>
    </row>
    <row r="855" spans="1:11" x14ac:dyDescent="0.2">
      <c r="A855" t="s">
        <v>364</v>
      </c>
      <c r="B855" t="s">
        <v>51</v>
      </c>
      <c r="C855" t="s">
        <v>367</v>
      </c>
      <c r="D855" t="s">
        <v>369</v>
      </c>
      <c r="E855" t="s">
        <v>9</v>
      </c>
      <c r="F855" s="330">
        <v>5.98</v>
      </c>
      <c r="G855" s="330">
        <v>6200</v>
      </c>
      <c r="H855" s="310">
        <f t="shared" si="39"/>
        <v>1036.7892976588628</v>
      </c>
      <c r="I855" s="311">
        <v>0.4</v>
      </c>
      <c r="J855" s="310">
        <f t="shared" si="40"/>
        <v>3720</v>
      </c>
      <c r="K855" s="310">
        <f t="shared" si="41"/>
        <v>622.07357859531771</v>
      </c>
    </row>
    <row r="856" spans="1:11" x14ac:dyDescent="0.2">
      <c r="A856" t="s">
        <v>364</v>
      </c>
      <c r="B856" t="s">
        <v>51</v>
      </c>
      <c r="C856" t="s">
        <v>367</v>
      </c>
      <c r="D856" t="s">
        <v>369</v>
      </c>
      <c r="E856" t="s">
        <v>9</v>
      </c>
      <c r="F856" s="330">
        <v>6.9</v>
      </c>
      <c r="G856" s="330">
        <v>7100</v>
      </c>
      <c r="H856" s="310">
        <f t="shared" si="39"/>
        <v>1028.9855072463768</v>
      </c>
      <c r="I856" s="311">
        <v>0.4</v>
      </c>
      <c r="J856" s="310">
        <f t="shared" si="40"/>
        <v>4260</v>
      </c>
      <c r="K856" s="310">
        <f t="shared" si="41"/>
        <v>617.39130434782601</v>
      </c>
    </row>
    <row r="857" spans="1:11" x14ac:dyDescent="0.2">
      <c r="A857" t="s">
        <v>364</v>
      </c>
      <c r="B857" t="s">
        <v>51</v>
      </c>
      <c r="C857" t="s">
        <v>367</v>
      </c>
      <c r="D857" t="s">
        <v>369</v>
      </c>
      <c r="E857" t="s">
        <v>9</v>
      </c>
      <c r="F857" s="330">
        <v>7.44</v>
      </c>
      <c r="G857" s="330">
        <v>7800</v>
      </c>
      <c r="H857" s="310">
        <f t="shared" si="39"/>
        <v>1048.3870967741934</v>
      </c>
      <c r="I857" s="311">
        <v>0.4</v>
      </c>
      <c r="J857" s="310">
        <f t="shared" si="40"/>
        <v>4680</v>
      </c>
      <c r="K857" s="310">
        <f t="shared" si="41"/>
        <v>629.0322580645161</v>
      </c>
    </row>
    <row r="858" spans="1:11" x14ac:dyDescent="0.2">
      <c r="A858" t="s">
        <v>364</v>
      </c>
      <c r="B858" t="s">
        <v>51</v>
      </c>
      <c r="C858" t="s">
        <v>367</v>
      </c>
      <c r="D858" t="s">
        <v>369</v>
      </c>
      <c r="E858" t="s">
        <v>9</v>
      </c>
      <c r="F858" s="330">
        <v>7.75</v>
      </c>
      <c r="G858" s="330">
        <v>8000</v>
      </c>
      <c r="H858" s="310">
        <f t="shared" si="39"/>
        <v>1032.258064516129</v>
      </c>
      <c r="I858" s="311">
        <v>0.4</v>
      </c>
      <c r="J858" s="310">
        <f t="shared" si="40"/>
        <v>4800</v>
      </c>
      <c r="K858" s="310">
        <f t="shared" si="41"/>
        <v>619.35483870967744</v>
      </c>
    </row>
    <row r="859" spans="1:11" x14ac:dyDescent="0.2">
      <c r="A859" t="s">
        <v>364</v>
      </c>
      <c r="B859" t="s">
        <v>51</v>
      </c>
      <c r="C859" t="s">
        <v>367</v>
      </c>
      <c r="D859" t="s">
        <v>369</v>
      </c>
      <c r="E859" t="s">
        <v>9</v>
      </c>
      <c r="F859" s="330">
        <v>7.92</v>
      </c>
      <c r="G859" s="330">
        <v>8000</v>
      </c>
      <c r="H859" s="310">
        <f t="shared" si="39"/>
        <v>1010.1010101010102</v>
      </c>
      <c r="I859" s="311">
        <v>0.4</v>
      </c>
      <c r="J859" s="310">
        <f t="shared" si="40"/>
        <v>4800</v>
      </c>
      <c r="K859" s="310">
        <f t="shared" si="41"/>
        <v>606.06060606060612</v>
      </c>
    </row>
    <row r="860" spans="1:11" x14ac:dyDescent="0.2">
      <c r="A860" t="s">
        <v>364</v>
      </c>
      <c r="B860" t="s">
        <v>51</v>
      </c>
      <c r="C860" t="s">
        <v>367</v>
      </c>
      <c r="D860" t="s">
        <v>369</v>
      </c>
      <c r="E860" t="s">
        <v>9</v>
      </c>
      <c r="F860" s="330">
        <v>8.06</v>
      </c>
      <c r="G860" s="330">
        <v>8200</v>
      </c>
      <c r="H860" s="310">
        <f t="shared" si="39"/>
        <v>1017.3697270471463</v>
      </c>
      <c r="I860" s="311">
        <v>0.4</v>
      </c>
      <c r="J860" s="310">
        <f t="shared" si="40"/>
        <v>4920</v>
      </c>
      <c r="K860" s="310">
        <f t="shared" si="41"/>
        <v>610.42183622828782</v>
      </c>
    </row>
    <row r="861" spans="1:11" x14ac:dyDescent="0.2">
      <c r="A861" t="s">
        <v>364</v>
      </c>
      <c r="B861" t="s">
        <v>51</v>
      </c>
      <c r="C861" t="s">
        <v>367</v>
      </c>
      <c r="D861" t="s">
        <v>369</v>
      </c>
      <c r="E861" t="s">
        <v>9</v>
      </c>
      <c r="F861" s="330">
        <v>8.32</v>
      </c>
      <c r="G861" s="330">
        <v>8300</v>
      </c>
      <c r="H861" s="310">
        <f t="shared" si="39"/>
        <v>997.59615384615381</v>
      </c>
      <c r="I861" s="311">
        <v>0.4</v>
      </c>
      <c r="J861" s="310">
        <f t="shared" si="40"/>
        <v>4980</v>
      </c>
      <c r="K861" s="310">
        <f t="shared" si="41"/>
        <v>598.55769230769226</v>
      </c>
    </row>
    <row r="862" spans="1:11" x14ac:dyDescent="0.2">
      <c r="A862" t="s">
        <v>364</v>
      </c>
      <c r="B862" t="s">
        <v>51</v>
      </c>
      <c r="C862" t="s">
        <v>367</v>
      </c>
      <c r="D862" t="s">
        <v>369</v>
      </c>
      <c r="E862" t="s">
        <v>9</v>
      </c>
      <c r="F862" s="330">
        <v>8.8000000000000007</v>
      </c>
      <c r="G862" s="330">
        <v>8800</v>
      </c>
      <c r="H862" s="310">
        <f t="shared" si="39"/>
        <v>999.99999999999989</v>
      </c>
      <c r="I862" s="311">
        <v>0.4</v>
      </c>
      <c r="J862" s="310">
        <f t="shared" si="40"/>
        <v>5280</v>
      </c>
      <c r="K862" s="310">
        <f t="shared" si="41"/>
        <v>600</v>
      </c>
    </row>
    <row r="863" spans="1:11" x14ac:dyDescent="0.2">
      <c r="A863" t="s">
        <v>364</v>
      </c>
      <c r="B863" t="s">
        <v>51</v>
      </c>
      <c r="C863" t="s">
        <v>367</v>
      </c>
      <c r="D863" t="s">
        <v>369</v>
      </c>
      <c r="E863" t="s">
        <v>9</v>
      </c>
      <c r="F863" s="330">
        <v>9.36</v>
      </c>
      <c r="G863" s="330">
        <v>9300</v>
      </c>
      <c r="H863" s="310">
        <f t="shared" si="39"/>
        <v>993.58974358974365</v>
      </c>
      <c r="I863" s="311">
        <v>0.4</v>
      </c>
      <c r="J863" s="310">
        <f t="shared" si="40"/>
        <v>5580</v>
      </c>
      <c r="K863" s="310">
        <f t="shared" si="41"/>
        <v>596.15384615384619</v>
      </c>
    </row>
    <row r="864" spans="1:11" x14ac:dyDescent="0.2">
      <c r="A864" t="s">
        <v>364</v>
      </c>
      <c r="B864" t="s">
        <v>51</v>
      </c>
      <c r="C864" t="s">
        <v>367</v>
      </c>
      <c r="D864" t="s">
        <v>369</v>
      </c>
      <c r="E864" t="s">
        <v>8</v>
      </c>
      <c r="F864" s="330">
        <v>11.25</v>
      </c>
      <c r="G864" s="330">
        <v>10500</v>
      </c>
      <c r="H864" s="310">
        <f t="shared" si="39"/>
        <v>933.33333333333337</v>
      </c>
      <c r="I864" s="311">
        <v>0.4</v>
      </c>
      <c r="J864" s="310">
        <f t="shared" si="40"/>
        <v>6300</v>
      </c>
      <c r="K864" s="310">
        <f t="shared" si="41"/>
        <v>560</v>
      </c>
    </row>
    <row r="865" spans="1:11" x14ac:dyDescent="0.2">
      <c r="A865" t="s">
        <v>364</v>
      </c>
      <c r="B865" t="s">
        <v>51</v>
      </c>
      <c r="C865" t="s">
        <v>367</v>
      </c>
      <c r="D865" t="s">
        <v>369</v>
      </c>
      <c r="E865" t="s">
        <v>8</v>
      </c>
      <c r="F865" s="330">
        <v>13.5</v>
      </c>
      <c r="G865" s="330">
        <v>12500</v>
      </c>
      <c r="H865" s="310">
        <f t="shared" si="39"/>
        <v>925.92592592592598</v>
      </c>
      <c r="I865" s="311">
        <v>0.4</v>
      </c>
      <c r="J865" s="310">
        <f t="shared" si="40"/>
        <v>7500</v>
      </c>
      <c r="K865" s="310">
        <f t="shared" si="41"/>
        <v>555.55555555555554</v>
      </c>
    </row>
    <row r="866" spans="1:11" x14ac:dyDescent="0.2">
      <c r="A866" t="s">
        <v>364</v>
      </c>
      <c r="B866" t="s">
        <v>51</v>
      </c>
      <c r="C866" t="s">
        <v>367</v>
      </c>
      <c r="D866" t="s">
        <v>369</v>
      </c>
      <c r="E866" t="s">
        <v>8</v>
      </c>
      <c r="F866" s="330">
        <v>14.4</v>
      </c>
      <c r="G866" s="330">
        <v>13400</v>
      </c>
      <c r="H866" s="310">
        <f t="shared" si="39"/>
        <v>930.55555555555554</v>
      </c>
      <c r="I866" s="311">
        <v>0.4</v>
      </c>
      <c r="J866" s="310">
        <f t="shared" si="40"/>
        <v>8040</v>
      </c>
      <c r="K866" s="310">
        <f t="shared" si="41"/>
        <v>558.33333333333337</v>
      </c>
    </row>
    <row r="867" spans="1:11" x14ac:dyDescent="0.2">
      <c r="A867" t="s">
        <v>364</v>
      </c>
      <c r="B867" t="s">
        <v>51</v>
      </c>
      <c r="C867" t="s">
        <v>367</v>
      </c>
      <c r="D867" t="s">
        <v>369</v>
      </c>
      <c r="E867" t="s">
        <v>8</v>
      </c>
      <c r="F867" s="330">
        <v>14.4</v>
      </c>
      <c r="G867" s="330">
        <v>13400</v>
      </c>
      <c r="H867" s="310">
        <f t="shared" si="39"/>
        <v>930.55555555555554</v>
      </c>
      <c r="I867" s="311">
        <v>0.4</v>
      </c>
      <c r="J867" s="310">
        <f t="shared" si="40"/>
        <v>8040</v>
      </c>
      <c r="K867" s="310">
        <f t="shared" si="41"/>
        <v>558.33333333333337</v>
      </c>
    </row>
    <row r="868" spans="1:11" x14ac:dyDescent="0.2">
      <c r="A868" t="s">
        <v>364</v>
      </c>
      <c r="B868" t="s">
        <v>51</v>
      </c>
      <c r="C868" t="s">
        <v>367</v>
      </c>
      <c r="D868" t="s">
        <v>369</v>
      </c>
      <c r="E868" t="s">
        <v>8</v>
      </c>
      <c r="F868" s="330">
        <v>15.6</v>
      </c>
      <c r="G868" s="330">
        <v>14800</v>
      </c>
      <c r="H868" s="310">
        <f t="shared" si="39"/>
        <v>948.71794871794873</v>
      </c>
      <c r="I868" s="311">
        <v>0.4</v>
      </c>
      <c r="J868" s="310">
        <f t="shared" si="40"/>
        <v>8880</v>
      </c>
      <c r="K868" s="310">
        <f t="shared" si="41"/>
        <v>569.23076923076928</v>
      </c>
    </row>
    <row r="869" spans="1:11" x14ac:dyDescent="0.2">
      <c r="A869" t="s">
        <v>364</v>
      </c>
      <c r="B869" t="s">
        <v>51</v>
      </c>
      <c r="C869" t="s">
        <v>367</v>
      </c>
      <c r="D869" t="s">
        <v>369</v>
      </c>
      <c r="E869" t="s">
        <v>8</v>
      </c>
      <c r="F869" s="330">
        <v>15.75</v>
      </c>
      <c r="G869" s="330">
        <v>14800</v>
      </c>
      <c r="H869" s="310">
        <f t="shared" si="39"/>
        <v>939.68253968253964</v>
      </c>
      <c r="I869" s="311">
        <v>0.4</v>
      </c>
      <c r="J869" s="310">
        <f t="shared" si="40"/>
        <v>8880</v>
      </c>
      <c r="K869" s="310">
        <f t="shared" si="41"/>
        <v>563.80952380952385</v>
      </c>
    </row>
    <row r="870" spans="1:11" x14ac:dyDescent="0.2">
      <c r="A870" t="s">
        <v>364</v>
      </c>
      <c r="B870" t="s">
        <v>51</v>
      </c>
      <c r="C870" t="s">
        <v>367</v>
      </c>
      <c r="D870" t="s">
        <v>369</v>
      </c>
      <c r="E870" t="s">
        <v>8</v>
      </c>
      <c r="F870" s="330">
        <v>16.2</v>
      </c>
      <c r="G870" s="330">
        <v>15200</v>
      </c>
      <c r="H870" s="310">
        <f t="shared" si="39"/>
        <v>938.27160493827159</v>
      </c>
      <c r="I870" s="311">
        <v>0.4</v>
      </c>
      <c r="J870" s="310">
        <f t="shared" si="40"/>
        <v>9120</v>
      </c>
      <c r="K870" s="310">
        <f t="shared" si="41"/>
        <v>562.96296296296293</v>
      </c>
    </row>
    <row r="871" spans="1:11" x14ac:dyDescent="0.2">
      <c r="A871" t="s">
        <v>364</v>
      </c>
      <c r="B871" t="s">
        <v>51</v>
      </c>
      <c r="C871" t="s">
        <v>367</v>
      </c>
      <c r="D871" t="s">
        <v>369</v>
      </c>
      <c r="E871" t="s">
        <v>8</v>
      </c>
      <c r="F871" s="330">
        <v>16.32</v>
      </c>
      <c r="G871" s="330">
        <v>15200</v>
      </c>
      <c r="H871" s="310">
        <f t="shared" si="39"/>
        <v>931.37254901960785</v>
      </c>
      <c r="I871" s="311">
        <v>0.4</v>
      </c>
      <c r="J871" s="310">
        <f t="shared" si="40"/>
        <v>9120</v>
      </c>
      <c r="K871" s="310">
        <f t="shared" si="41"/>
        <v>558.82352941176475</v>
      </c>
    </row>
    <row r="872" spans="1:11" x14ac:dyDescent="0.2">
      <c r="A872" t="s">
        <v>364</v>
      </c>
      <c r="B872" t="s">
        <v>51</v>
      </c>
      <c r="C872" t="s">
        <v>367</v>
      </c>
      <c r="D872" t="s">
        <v>369</v>
      </c>
      <c r="E872" t="s">
        <v>11</v>
      </c>
      <c r="F872" s="330">
        <v>21.56</v>
      </c>
      <c r="G872" s="330">
        <v>20100</v>
      </c>
      <c r="H872" s="310">
        <f t="shared" si="39"/>
        <v>932.28200371057517</v>
      </c>
      <c r="I872" s="311">
        <v>0.4</v>
      </c>
      <c r="J872" s="310">
        <f t="shared" si="40"/>
        <v>12060</v>
      </c>
      <c r="K872" s="310">
        <f t="shared" si="41"/>
        <v>559.36920222634512</v>
      </c>
    </row>
    <row r="873" spans="1:11" x14ac:dyDescent="0.2">
      <c r="A873" t="s">
        <v>364</v>
      </c>
      <c r="B873" t="s">
        <v>51</v>
      </c>
      <c r="C873" t="s">
        <v>367</v>
      </c>
      <c r="D873" t="s">
        <v>369</v>
      </c>
      <c r="E873" t="s">
        <v>11</v>
      </c>
      <c r="F873" s="330">
        <v>24</v>
      </c>
      <c r="G873" s="330">
        <v>22000</v>
      </c>
      <c r="H873" s="310">
        <f t="shared" si="39"/>
        <v>916.66666666666663</v>
      </c>
      <c r="I873" s="311">
        <v>0.4</v>
      </c>
      <c r="J873" s="310">
        <f t="shared" si="40"/>
        <v>13200</v>
      </c>
      <c r="K873" s="310">
        <f t="shared" si="41"/>
        <v>550</v>
      </c>
    </row>
    <row r="874" spans="1:11" x14ac:dyDescent="0.2">
      <c r="A874" t="s">
        <v>364</v>
      </c>
      <c r="B874" t="s">
        <v>51</v>
      </c>
      <c r="C874" t="s">
        <v>367</v>
      </c>
      <c r="D874" t="s">
        <v>369</v>
      </c>
      <c r="E874" t="s">
        <v>11</v>
      </c>
      <c r="F874" s="330">
        <v>24.51</v>
      </c>
      <c r="G874" s="330">
        <v>22000</v>
      </c>
      <c r="H874" s="310">
        <f t="shared" si="39"/>
        <v>897.59281925744585</v>
      </c>
      <c r="I874" s="311">
        <v>0.4</v>
      </c>
      <c r="J874" s="310">
        <f t="shared" si="40"/>
        <v>13200</v>
      </c>
      <c r="K874" s="310">
        <f t="shared" si="41"/>
        <v>538.55569155446756</v>
      </c>
    </row>
    <row r="875" spans="1:11" x14ac:dyDescent="0.2">
      <c r="A875" t="s">
        <v>364</v>
      </c>
      <c r="B875" t="s">
        <v>51</v>
      </c>
      <c r="C875" t="s">
        <v>367</v>
      </c>
      <c r="D875" t="s">
        <v>369</v>
      </c>
      <c r="E875" t="s">
        <v>11</v>
      </c>
      <c r="F875" s="330">
        <v>24.96</v>
      </c>
      <c r="G875" s="330">
        <v>23200</v>
      </c>
      <c r="H875" s="310">
        <f t="shared" si="39"/>
        <v>929.48717948717945</v>
      </c>
      <c r="I875" s="311">
        <v>0.4</v>
      </c>
      <c r="J875" s="310">
        <f t="shared" si="40"/>
        <v>13920</v>
      </c>
      <c r="K875" s="310">
        <f t="shared" si="41"/>
        <v>557.69230769230762</v>
      </c>
    </row>
    <row r="876" spans="1:11" x14ac:dyDescent="0.2">
      <c r="A876" t="s">
        <v>364</v>
      </c>
      <c r="B876" t="s">
        <v>51</v>
      </c>
      <c r="C876" t="s">
        <v>367</v>
      </c>
      <c r="D876" t="s">
        <v>369</v>
      </c>
      <c r="E876" t="s">
        <v>11</v>
      </c>
      <c r="F876" s="330">
        <v>25.92</v>
      </c>
      <c r="G876" s="330">
        <v>24200</v>
      </c>
      <c r="H876" s="310">
        <f t="shared" si="39"/>
        <v>933.64197530864192</v>
      </c>
      <c r="I876" s="311">
        <v>0.4</v>
      </c>
      <c r="J876" s="310">
        <f t="shared" si="40"/>
        <v>14520</v>
      </c>
      <c r="K876" s="310">
        <f t="shared" si="41"/>
        <v>560.18518518518511</v>
      </c>
    </row>
    <row r="877" spans="1:11" x14ac:dyDescent="0.2">
      <c r="A877" t="s">
        <v>364</v>
      </c>
      <c r="B877" t="s">
        <v>51</v>
      </c>
      <c r="C877" t="s">
        <v>367</v>
      </c>
      <c r="D877" t="s">
        <v>369</v>
      </c>
      <c r="E877" t="s">
        <v>11</v>
      </c>
      <c r="F877" s="330">
        <v>26.4</v>
      </c>
      <c r="G877" s="330">
        <v>24500</v>
      </c>
      <c r="H877" s="310">
        <f t="shared" si="39"/>
        <v>928.03030303030312</v>
      </c>
      <c r="I877" s="311">
        <v>0.4</v>
      </c>
      <c r="J877" s="310">
        <f t="shared" si="40"/>
        <v>14700</v>
      </c>
      <c r="K877" s="310">
        <f t="shared" si="41"/>
        <v>556.81818181818187</v>
      </c>
    </row>
    <row r="878" spans="1:11" x14ac:dyDescent="0.2">
      <c r="A878" t="s">
        <v>364</v>
      </c>
      <c r="B878" t="s">
        <v>51</v>
      </c>
      <c r="C878" t="s">
        <v>367</v>
      </c>
      <c r="D878" t="s">
        <v>369</v>
      </c>
      <c r="E878" t="s">
        <v>13</v>
      </c>
      <c r="F878" s="330">
        <v>37.049999999999997</v>
      </c>
      <c r="G878" s="330">
        <v>31800</v>
      </c>
      <c r="H878" s="310">
        <f t="shared" si="39"/>
        <v>858.29959514170048</v>
      </c>
      <c r="I878" s="311">
        <v>0.4</v>
      </c>
      <c r="J878" s="310">
        <f t="shared" si="40"/>
        <v>19080</v>
      </c>
      <c r="K878" s="310">
        <f t="shared" si="41"/>
        <v>514.97975708502031</v>
      </c>
    </row>
    <row r="879" spans="1:11" x14ac:dyDescent="0.2">
      <c r="A879" t="s">
        <v>466</v>
      </c>
      <c r="B879" t="s">
        <v>467</v>
      </c>
      <c r="C879" t="s">
        <v>367</v>
      </c>
      <c r="D879" t="s">
        <v>120</v>
      </c>
      <c r="E879" t="s">
        <v>468</v>
      </c>
      <c r="F879" s="330">
        <v>1.1000000000000001</v>
      </c>
      <c r="G879" s="330">
        <v>1400</v>
      </c>
      <c r="H879" s="310">
        <f t="shared" si="39"/>
        <v>1272.7272727272725</v>
      </c>
      <c r="I879" s="311">
        <v>0.15</v>
      </c>
      <c r="J879" s="310">
        <f t="shared" si="40"/>
        <v>1190</v>
      </c>
      <c r="K879" s="310">
        <f t="shared" si="41"/>
        <v>1081.8181818181818</v>
      </c>
    </row>
    <row r="880" spans="1:11" x14ac:dyDescent="0.2">
      <c r="A880" t="s">
        <v>466</v>
      </c>
      <c r="B880" t="s">
        <v>467</v>
      </c>
      <c r="C880" t="s">
        <v>367</v>
      </c>
      <c r="D880" t="s">
        <v>120</v>
      </c>
      <c r="E880" t="s">
        <v>468</v>
      </c>
      <c r="F880" s="330">
        <v>1.2</v>
      </c>
      <c r="G880" s="330">
        <v>1500</v>
      </c>
      <c r="H880" s="310">
        <f t="shared" si="39"/>
        <v>1250</v>
      </c>
      <c r="I880" s="311">
        <v>0.15</v>
      </c>
      <c r="J880" s="310">
        <f t="shared" si="40"/>
        <v>1275</v>
      </c>
      <c r="K880" s="310">
        <f t="shared" si="41"/>
        <v>1062.5</v>
      </c>
    </row>
    <row r="881" spans="1:11" x14ac:dyDescent="0.2">
      <c r="A881" t="s">
        <v>466</v>
      </c>
      <c r="B881" t="s">
        <v>467</v>
      </c>
      <c r="C881" t="s">
        <v>367</v>
      </c>
      <c r="D881" t="s">
        <v>120</v>
      </c>
      <c r="E881" t="s">
        <v>468</v>
      </c>
      <c r="F881" s="330">
        <v>1.3</v>
      </c>
      <c r="G881" s="330">
        <v>1600</v>
      </c>
      <c r="H881" s="310">
        <f t="shared" si="39"/>
        <v>1230.7692307692307</v>
      </c>
      <c r="I881" s="311">
        <v>0.15</v>
      </c>
      <c r="J881" s="310">
        <f t="shared" ref="J881:J900" si="42">G881*(1-I881)</f>
        <v>1360</v>
      </c>
      <c r="K881" s="310">
        <f t="shared" ref="K881:K900" si="43">J881/F881</f>
        <v>1046.1538461538462</v>
      </c>
    </row>
    <row r="882" spans="1:11" x14ac:dyDescent="0.2">
      <c r="A882" t="s">
        <v>466</v>
      </c>
      <c r="B882" t="s">
        <v>467</v>
      </c>
      <c r="C882" t="s">
        <v>367</v>
      </c>
      <c r="D882" t="s">
        <v>120</v>
      </c>
      <c r="E882" t="s">
        <v>468</v>
      </c>
      <c r="F882" s="330">
        <v>1.4</v>
      </c>
      <c r="G882" s="330">
        <v>1700</v>
      </c>
      <c r="H882" s="310">
        <f t="shared" si="39"/>
        <v>1214.2857142857144</v>
      </c>
      <c r="I882" s="311">
        <v>0.15</v>
      </c>
      <c r="J882" s="310">
        <f t="shared" si="42"/>
        <v>1445</v>
      </c>
      <c r="K882" s="310">
        <f t="shared" si="43"/>
        <v>1032.1428571428571</v>
      </c>
    </row>
    <row r="883" spans="1:11" x14ac:dyDescent="0.2">
      <c r="A883" t="s">
        <v>466</v>
      </c>
      <c r="B883" t="s">
        <v>467</v>
      </c>
      <c r="C883" t="s">
        <v>367</v>
      </c>
      <c r="D883" t="s">
        <v>120</v>
      </c>
      <c r="E883" t="s">
        <v>468</v>
      </c>
      <c r="F883" s="330">
        <v>1.6</v>
      </c>
      <c r="G883" s="330">
        <v>1800</v>
      </c>
      <c r="H883" s="310">
        <f t="shared" si="39"/>
        <v>1125</v>
      </c>
      <c r="I883" s="311">
        <v>0.15</v>
      </c>
      <c r="J883" s="310">
        <f t="shared" si="42"/>
        <v>1530</v>
      </c>
      <c r="K883" s="310">
        <f t="shared" si="43"/>
        <v>956.25</v>
      </c>
    </row>
    <row r="884" spans="1:11" x14ac:dyDescent="0.2">
      <c r="A884" t="s">
        <v>466</v>
      </c>
      <c r="B884" t="s">
        <v>467</v>
      </c>
      <c r="C884" t="s">
        <v>367</v>
      </c>
      <c r="D884" t="s">
        <v>120</v>
      </c>
      <c r="E884" t="s">
        <v>468</v>
      </c>
      <c r="F884" s="330">
        <v>1.8</v>
      </c>
      <c r="G884" s="330">
        <v>2100</v>
      </c>
      <c r="H884" s="310">
        <f t="shared" si="39"/>
        <v>1166.6666666666667</v>
      </c>
      <c r="I884" s="311">
        <v>0.15</v>
      </c>
      <c r="J884" s="310">
        <f t="shared" si="42"/>
        <v>1785</v>
      </c>
      <c r="K884" s="310">
        <f t="shared" si="43"/>
        <v>991.66666666666663</v>
      </c>
    </row>
    <row r="885" spans="1:11" x14ac:dyDescent="0.2">
      <c r="A885" t="s">
        <v>466</v>
      </c>
      <c r="B885" t="s">
        <v>467</v>
      </c>
      <c r="C885" t="s">
        <v>367</v>
      </c>
      <c r="D885" t="s">
        <v>120</v>
      </c>
      <c r="E885" t="s">
        <v>468</v>
      </c>
      <c r="F885" s="330">
        <v>2</v>
      </c>
      <c r="G885" s="330">
        <v>2300</v>
      </c>
      <c r="H885" s="310">
        <f t="shared" si="39"/>
        <v>1150</v>
      </c>
      <c r="I885" s="311">
        <v>0.15</v>
      </c>
      <c r="J885" s="310">
        <f t="shared" si="42"/>
        <v>1955</v>
      </c>
      <c r="K885" s="310">
        <f t="shared" si="43"/>
        <v>977.5</v>
      </c>
    </row>
    <row r="886" spans="1:11" x14ac:dyDescent="0.2">
      <c r="A886" t="s">
        <v>466</v>
      </c>
      <c r="B886" t="s">
        <v>467</v>
      </c>
      <c r="C886" t="s">
        <v>367</v>
      </c>
      <c r="D886" t="s">
        <v>369</v>
      </c>
      <c r="E886" t="s">
        <v>469</v>
      </c>
      <c r="F886" s="330">
        <v>1.4</v>
      </c>
      <c r="G886" s="330">
        <v>2300</v>
      </c>
      <c r="H886" s="310">
        <f t="shared" si="39"/>
        <v>1642.8571428571429</v>
      </c>
      <c r="I886" s="311">
        <v>0.15</v>
      </c>
      <c r="J886" s="310">
        <f t="shared" si="42"/>
        <v>1955</v>
      </c>
      <c r="K886" s="310">
        <f t="shared" si="43"/>
        <v>1396.4285714285716</v>
      </c>
    </row>
    <row r="887" spans="1:11" x14ac:dyDescent="0.2">
      <c r="A887" t="s">
        <v>466</v>
      </c>
      <c r="B887" t="s">
        <v>467</v>
      </c>
      <c r="C887" t="s">
        <v>367</v>
      </c>
      <c r="D887" t="s">
        <v>369</v>
      </c>
      <c r="E887" t="s">
        <v>469</v>
      </c>
      <c r="F887" s="330">
        <v>1.6</v>
      </c>
      <c r="G887" s="330">
        <v>2400</v>
      </c>
      <c r="H887" s="310">
        <f t="shared" si="39"/>
        <v>1500</v>
      </c>
      <c r="I887" s="311">
        <v>0.15</v>
      </c>
      <c r="J887" s="310">
        <f t="shared" si="42"/>
        <v>2040</v>
      </c>
      <c r="K887" s="310">
        <f t="shared" si="43"/>
        <v>1275</v>
      </c>
    </row>
    <row r="888" spans="1:11" x14ac:dyDescent="0.2">
      <c r="A888" t="s">
        <v>466</v>
      </c>
      <c r="B888" t="s">
        <v>467</v>
      </c>
      <c r="C888" t="s">
        <v>367</v>
      </c>
      <c r="D888" t="s">
        <v>369</v>
      </c>
      <c r="E888" t="s">
        <v>469</v>
      </c>
      <c r="F888" s="330">
        <v>1.7</v>
      </c>
      <c r="G888" s="330">
        <v>2600</v>
      </c>
      <c r="H888" s="310">
        <f t="shared" si="39"/>
        <v>1529.4117647058824</v>
      </c>
      <c r="I888" s="311">
        <v>0.15</v>
      </c>
      <c r="J888" s="310">
        <f t="shared" si="42"/>
        <v>2210</v>
      </c>
      <c r="K888" s="310">
        <f t="shared" si="43"/>
        <v>1300</v>
      </c>
    </row>
    <row r="889" spans="1:11" x14ac:dyDescent="0.2">
      <c r="A889" t="s">
        <v>466</v>
      </c>
      <c r="B889" t="s">
        <v>467</v>
      </c>
      <c r="C889" t="s">
        <v>367</v>
      </c>
      <c r="D889" t="s">
        <v>369</v>
      </c>
      <c r="E889" t="s">
        <v>469</v>
      </c>
      <c r="F889" s="330">
        <v>1.8</v>
      </c>
      <c r="G889" s="330">
        <v>2800</v>
      </c>
      <c r="H889" s="310">
        <f t="shared" si="39"/>
        <v>1555.5555555555554</v>
      </c>
      <c r="I889" s="311">
        <v>0.15</v>
      </c>
      <c r="J889" s="310">
        <f t="shared" si="42"/>
        <v>2380</v>
      </c>
      <c r="K889" s="310">
        <f t="shared" si="43"/>
        <v>1322.2222222222222</v>
      </c>
    </row>
    <row r="890" spans="1:11" x14ac:dyDescent="0.2">
      <c r="A890" t="s">
        <v>466</v>
      </c>
      <c r="B890" t="s">
        <v>467</v>
      </c>
      <c r="C890" t="s">
        <v>367</v>
      </c>
      <c r="D890" t="s">
        <v>369</v>
      </c>
      <c r="E890" t="s">
        <v>469</v>
      </c>
      <c r="F890" s="330">
        <v>2</v>
      </c>
      <c r="G890" s="330">
        <v>3000</v>
      </c>
      <c r="H890" s="310">
        <f t="shared" si="39"/>
        <v>1500</v>
      </c>
      <c r="I890" s="311">
        <v>0.15</v>
      </c>
      <c r="J890" s="310">
        <f t="shared" si="42"/>
        <v>2550</v>
      </c>
      <c r="K890" s="310">
        <f t="shared" si="43"/>
        <v>1275</v>
      </c>
    </row>
    <row r="891" spans="1:11" x14ac:dyDescent="0.2">
      <c r="A891" t="s">
        <v>466</v>
      </c>
      <c r="B891" t="s">
        <v>467</v>
      </c>
      <c r="C891" t="s">
        <v>367</v>
      </c>
      <c r="D891" t="s">
        <v>369</v>
      </c>
      <c r="E891" t="s">
        <v>469</v>
      </c>
      <c r="F891" s="330">
        <v>2.1</v>
      </c>
      <c r="G891" s="330">
        <v>3100</v>
      </c>
      <c r="H891" s="310">
        <f t="shared" si="39"/>
        <v>1476.1904761904761</v>
      </c>
      <c r="I891" s="311">
        <v>0.15</v>
      </c>
      <c r="J891" s="310">
        <f t="shared" si="42"/>
        <v>2635</v>
      </c>
      <c r="K891" s="310">
        <f t="shared" si="43"/>
        <v>1254.7619047619048</v>
      </c>
    </row>
    <row r="892" spans="1:11" x14ac:dyDescent="0.2">
      <c r="A892" t="s">
        <v>466</v>
      </c>
      <c r="B892" t="s">
        <v>467</v>
      </c>
      <c r="C892" t="s">
        <v>367</v>
      </c>
      <c r="D892" t="s">
        <v>369</v>
      </c>
      <c r="E892" t="s">
        <v>469</v>
      </c>
      <c r="F892" s="330">
        <v>2.2999999999999998</v>
      </c>
      <c r="G892" s="330">
        <v>3400</v>
      </c>
      <c r="H892" s="310">
        <f t="shared" si="39"/>
        <v>1478.2608695652175</v>
      </c>
      <c r="I892" s="311">
        <v>0.15</v>
      </c>
      <c r="J892" s="310">
        <f t="shared" si="42"/>
        <v>2890</v>
      </c>
      <c r="K892" s="310">
        <f t="shared" si="43"/>
        <v>1256.521739130435</v>
      </c>
    </row>
    <row r="893" spans="1:11" x14ac:dyDescent="0.2">
      <c r="A893" t="s">
        <v>466</v>
      </c>
      <c r="B893" t="s">
        <v>467</v>
      </c>
      <c r="C893" t="s">
        <v>367</v>
      </c>
      <c r="D893" t="s">
        <v>369</v>
      </c>
      <c r="E893" t="s">
        <v>469</v>
      </c>
      <c r="F893" s="330">
        <v>3</v>
      </c>
      <c r="G893" s="330">
        <v>4200</v>
      </c>
      <c r="H893" s="310">
        <f t="shared" si="39"/>
        <v>1400</v>
      </c>
      <c r="I893" s="311">
        <v>0.15</v>
      </c>
      <c r="J893" s="310">
        <f t="shared" si="42"/>
        <v>3570</v>
      </c>
      <c r="K893" s="310">
        <f t="shared" si="43"/>
        <v>1190</v>
      </c>
    </row>
    <row r="894" spans="1:11" x14ac:dyDescent="0.2">
      <c r="A894" t="s">
        <v>466</v>
      </c>
      <c r="B894" t="s">
        <v>467</v>
      </c>
      <c r="C894" t="s">
        <v>367</v>
      </c>
      <c r="D894" t="s">
        <v>369</v>
      </c>
      <c r="E894" t="s">
        <v>469</v>
      </c>
      <c r="F894" s="330">
        <v>4</v>
      </c>
      <c r="G894" s="330">
        <v>5300</v>
      </c>
      <c r="H894" s="310">
        <f t="shared" si="39"/>
        <v>1325</v>
      </c>
      <c r="I894" s="311">
        <v>0.15</v>
      </c>
      <c r="J894" s="310">
        <f t="shared" si="42"/>
        <v>4505</v>
      </c>
      <c r="K894" s="310">
        <f t="shared" si="43"/>
        <v>1126.25</v>
      </c>
    </row>
    <row r="895" spans="1:11" x14ac:dyDescent="0.2">
      <c r="A895" t="s">
        <v>466</v>
      </c>
      <c r="B895" t="s">
        <v>467</v>
      </c>
      <c r="C895" t="s">
        <v>367</v>
      </c>
      <c r="D895" t="s">
        <v>369</v>
      </c>
      <c r="E895" t="s">
        <v>469</v>
      </c>
      <c r="F895" s="330">
        <v>4.2</v>
      </c>
      <c r="G895" s="330">
        <v>5600</v>
      </c>
      <c r="H895" s="310">
        <f t="shared" si="39"/>
        <v>1333.3333333333333</v>
      </c>
      <c r="I895" s="311">
        <v>0.15</v>
      </c>
      <c r="J895" s="310">
        <f t="shared" si="42"/>
        <v>4760</v>
      </c>
      <c r="K895" s="310">
        <f t="shared" si="43"/>
        <v>1133.3333333333333</v>
      </c>
    </row>
    <row r="896" spans="1:11" x14ac:dyDescent="0.2">
      <c r="A896" t="s">
        <v>466</v>
      </c>
      <c r="B896" t="s">
        <v>467</v>
      </c>
      <c r="C896" t="s">
        <v>367</v>
      </c>
      <c r="D896" t="s">
        <v>369</v>
      </c>
      <c r="E896" t="s">
        <v>469</v>
      </c>
      <c r="F896" s="330">
        <v>5</v>
      </c>
      <c r="G896" s="330">
        <v>6100</v>
      </c>
      <c r="H896" s="310">
        <f t="shared" si="39"/>
        <v>1220</v>
      </c>
      <c r="I896" s="311">
        <v>0.15</v>
      </c>
      <c r="J896" s="310">
        <f t="shared" si="42"/>
        <v>5185</v>
      </c>
      <c r="K896" s="310">
        <f t="shared" si="43"/>
        <v>1037</v>
      </c>
    </row>
    <row r="897" spans="1:11" x14ac:dyDescent="0.2">
      <c r="A897" t="s">
        <v>466</v>
      </c>
      <c r="B897" t="s">
        <v>467</v>
      </c>
      <c r="C897" t="s">
        <v>367</v>
      </c>
      <c r="D897" t="s">
        <v>369</v>
      </c>
      <c r="E897" t="s">
        <v>469</v>
      </c>
      <c r="F897" s="330">
        <v>6.1</v>
      </c>
      <c r="G897" s="330">
        <v>7100</v>
      </c>
      <c r="H897" s="310">
        <f t="shared" si="39"/>
        <v>1163.9344262295083</v>
      </c>
      <c r="I897" s="311">
        <v>0.15</v>
      </c>
      <c r="J897" s="310">
        <f t="shared" si="42"/>
        <v>6035</v>
      </c>
      <c r="K897" s="310">
        <f t="shared" si="43"/>
        <v>989.34426229508199</v>
      </c>
    </row>
    <row r="898" spans="1:11" x14ac:dyDescent="0.2">
      <c r="A898" t="s">
        <v>466</v>
      </c>
      <c r="B898" t="s">
        <v>467</v>
      </c>
      <c r="C898" t="s">
        <v>367</v>
      </c>
      <c r="D898" t="s">
        <v>120</v>
      </c>
      <c r="E898" t="s">
        <v>470</v>
      </c>
      <c r="F898" s="330">
        <f>0.81*0.6</f>
        <v>0.48599999999999999</v>
      </c>
      <c r="G898" s="330">
        <v>600</v>
      </c>
      <c r="H898" s="310">
        <f t="shared" si="39"/>
        <v>1234.5679012345679</v>
      </c>
      <c r="I898" s="311">
        <v>0.15</v>
      </c>
      <c r="J898" s="310">
        <f t="shared" si="42"/>
        <v>510</v>
      </c>
      <c r="K898" s="310">
        <f t="shared" si="43"/>
        <v>1049.3827160493827</v>
      </c>
    </row>
    <row r="899" spans="1:11" x14ac:dyDescent="0.2">
      <c r="A899" t="s">
        <v>466</v>
      </c>
      <c r="B899" t="s">
        <v>467</v>
      </c>
      <c r="C899" t="s">
        <v>367</v>
      </c>
      <c r="D899" t="s">
        <v>120</v>
      </c>
      <c r="E899" t="s">
        <v>471</v>
      </c>
      <c r="F899" s="330">
        <f>0.92*0.6</f>
        <v>0.55200000000000005</v>
      </c>
      <c r="G899" s="330">
        <v>700</v>
      </c>
      <c r="H899" s="310">
        <f t="shared" ref="H899:H926" si="44">G899/F899</f>
        <v>1268.1159420289855</v>
      </c>
      <c r="I899" s="311">
        <v>0.15</v>
      </c>
      <c r="J899" s="310">
        <f t="shared" si="42"/>
        <v>595</v>
      </c>
      <c r="K899" s="310">
        <f t="shared" si="43"/>
        <v>1077.8985507246375</v>
      </c>
    </row>
    <row r="900" spans="1:11" x14ac:dyDescent="0.2">
      <c r="A900" t="s">
        <v>466</v>
      </c>
      <c r="B900" t="s">
        <v>467</v>
      </c>
      <c r="C900" t="s">
        <v>367</v>
      </c>
      <c r="D900" t="s">
        <v>120</v>
      </c>
      <c r="E900" t="s">
        <v>472</v>
      </c>
      <c r="F900" s="330">
        <f>1.25*0.685</f>
        <v>0.85625000000000007</v>
      </c>
      <c r="G900" s="330">
        <v>1150</v>
      </c>
      <c r="H900" s="310">
        <f t="shared" si="44"/>
        <v>1343.0656934306569</v>
      </c>
      <c r="I900" s="311">
        <v>0.15</v>
      </c>
      <c r="J900" s="310">
        <f t="shared" si="42"/>
        <v>977.5</v>
      </c>
      <c r="K900" s="310">
        <f t="shared" si="43"/>
        <v>1141.6058394160584</v>
      </c>
    </row>
    <row r="901" spans="1:11" x14ac:dyDescent="0.2">
      <c r="A901" t="s">
        <v>466</v>
      </c>
      <c r="B901" t="s">
        <v>467</v>
      </c>
      <c r="C901" t="s">
        <v>367</v>
      </c>
      <c r="D901" t="s">
        <v>120</v>
      </c>
      <c r="E901" t="s">
        <v>470</v>
      </c>
      <c r="F901" s="330">
        <f>1*0.6</f>
        <v>0.6</v>
      </c>
      <c r="G901" s="330">
        <v>850</v>
      </c>
      <c r="H901" s="310">
        <f t="shared" si="44"/>
        <v>1416.6666666666667</v>
      </c>
      <c r="I901" s="311">
        <v>0.15</v>
      </c>
      <c r="J901" s="310">
        <f t="shared" ref="J901:J904" si="45">G901*(1-I901)</f>
        <v>722.5</v>
      </c>
      <c r="K901" s="310">
        <f t="shared" ref="K901:K904" si="46">J901/F901</f>
        <v>1204.1666666666667</v>
      </c>
    </row>
    <row r="902" spans="1:11" x14ac:dyDescent="0.2">
      <c r="A902" t="s">
        <v>466</v>
      </c>
      <c r="B902" t="s">
        <v>467</v>
      </c>
      <c r="C902" t="s">
        <v>367</v>
      </c>
      <c r="D902" t="s">
        <v>120</v>
      </c>
      <c r="E902" t="s">
        <v>471</v>
      </c>
      <c r="F902" s="330">
        <f>1.09*0.685</f>
        <v>0.74665000000000015</v>
      </c>
      <c r="G902" s="330">
        <v>1050</v>
      </c>
      <c r="H902" s="310">
        <f t="shared" si="44"/>
        <v>1406.2813902096027</v>
      </c>
      <c r="I902" s="311">
        <v>0.15</v>
      </c>
      <c r="J902" s="310">
        <f t="shared" si="45"/>
        <v>892.5</v>
      </c>
      <c r="K902" s="310">
        <f t="shared" si="46"/>
        <v>1195.3391816781623</v>
      </c>
    </row>
    <row r="903" spans="1:11" x14ac:dyDescent="0.2">
      <c r="A903" t="s">
        <v>466</v>
      </c>
      <c r="B903" t="s">
        <v>467</v>
      </c>
      <c r="C903" t="s">
        <v>367</v>
      </c>
      <c r="D903" t="s">
        <v>120</v>
      </c>
      <c r="E903" t="s">
        <v>472</v>
      </c>
      <c r="F903" s="330">
        <f>1.25*0.685</f>
        <v>0.85625000000000007</v>
      </c>
      <c r="G903" s="330">
        <v>1150</v>
      </c>
      <c r="H903" s="310">
        <f t="shared" si="44"/>
        <v>1343.0656934306569</v>
      </c>
      <c r="I903" s="311">
        <v>0.15</v>
      </c>
      <c r="J903" s="310">
        <f t="shared" si="45"/>
        <v>977.5</v>
      </c>
      <c r="K903" s="310">
        <f t="shared" si="46"/>
        <v>1141.6058394160584</v>
      </c>
    </row>
    <row r="904" spans="1:11" x14ac:dyDescent="0.2">
      <c r="A904" t="s">
        <v>466</v>
      </c>
      <c r="B904" t="s">
        <v>467</v>
      </c>
      <c r="C904" t="s">
        <v>367</v>
      </c>
      <c r="D904" t="s">
        <v>369</v>
      </c>
      <c r="E904" t="s">
        <v>473</v>
      </c>
      <c r="F904" s="330">
        <v>15</v>
      </c>
      <c r="G904" s="330">
        <v>13000</v>
      </c>
      <c r="H904" s="310">
        <f t="shared" si="44"/>
        <v>866.66666666666663</v>
      </c>
      <c r="I904" s="311">
        <v>0.3</v>
      </c>
      <c r="J904" s="310">
        <f t="shared" si="45"/>
        <v>9100</v>
      </c>
      <c r="K904" s="310">
        <f t="shared" si="46"/>
        <v>606.66666666666663</v>
      </c>
    </row>
    <row r="905" spans="1:11" x14ac:dyDescent="0.2">
      <c r="A905" t="s">
        <v>466</v>
      </c>
      <c r="B905" t="s">
        <v>467</v>
      </c>
      <c r="C905" t="s">
        <v>367</v>
      </c>
      <c r="D905" t="s">
        <v>369</v>
      </c>
      <c r="E905" t="s">
        <v>473</v>
      </c>
      <c r="F905" s="330">
        <v>7.83</v>
      </c>
      <c r="G905" s="330">
        <v>6800</v>
      </c>
      <c r="H905" s="310">
        <f t="shared" si="44"/>
        <v>868.45466155810982</v>
      </c>
      <c r="I905" s="311">
        <v>0.3</v>
      </c>
      <c r="J905" s="310">
        <f t="shared" ref="J905:J918" si="47">G905*(1-I905)</f>
        <v>4760</v>
      </c>
      <c r="K905" s="310">
        <f t="shared" ref="K905:K919" si="48">J905/F905</f>
        <v>607.91826309067687</v>
      </c>
    </row>
    <row r="906" spans="1:11" x14ac:dyDescent="0.2">
      <c r="A906" t="s">
        <v>466</v>
      </c>
      <c r="B906" t="s">
        <v>467</v>
      </c>
      <c r="C906" t="s">
        <v>367</v>
      </c>
      <c r="D906" t="s">
        <v>369</v>
      </c>
      <c r="E906" t="s">
        <v>473</v>
      </c>
      <c r="F906" s="330">
        <v>5.63</v>
      </c>
      <c r="G906" s="330">
        <v>5000</v>
      </c>
      <c r="H906" s="310">
        <f t="shared" si="44"/>
        <v>888.09946714031969</v>
      </c>
      <c r="I906" s="311">
        <v>0.3</v>
      </c>
      <c r="J906" s="310">
        <f t="shared" si="47"/>
        <v>3500</v>
      </c>
      <c r="K906" s="310">
        <f t="shared" si="48"/>
        <v>621.66962699822386</v>
      </c>
    </row>
    <row r="907" spans="1:11" x14ac:dyDescent="0.2">
      <c r="A907" t="s">
        <v>466</v>
      </c>
      <c r="B907" t="s">
        <v>467</v>
      </c>
      <c r="C907" t="s">
        <v>367</v>
      </c>
      <c r="D907" t="s">
        <v>369</v>
      </c>
      <c r="E907" t="s">
        <v>473</v>
      </c>
      <c r="F907" s="330">
        <v>5.66</v>
      </c>
      <c r="G907" s="330">
        <v>5000</v>
      </c>
      <c r="H907" s="310">
        <f t="shared" si="44"/>
        <v>883.39222614840992</v>
      </c>
      <c r="I907" s="311">
        <v>0.3</v>
      </c>
      <c r="J907" s="310">
        <f t="shared" si="47"/>
        <v>3500</v>
      </c>
      <c r="K907" s="310">
        <f t="shared" si="48"/>
        <v>618.37455830388694</v>
      </c>
    </row>
    <row r="908" spans="1:11" x14ac:dyDescent="0.2">
      <c r="A908" t="s">
        <v>466</v>
      </c>
      <c r="B908" t="s">
        <v>467</v>
      </c>
      <c r="C908" t="s">
        <v>367</v>
      </c>
      <c r="D908" t="s">
        <v>369</v>
      </c>
      <c r="E908" t="s">
        <v>473</v>
      </c>
      <c r="F908" s="330">
        <v>7.3</v>
      </c>
      <c r="G908" s="330">
        <v>6400</v>
      </c>
      <c r="H908" s="310">
        <f t="shared" si="44"/>
        <v>876.71232876712327</v>
      </c>
      <c r="I908" s="311">
        <v>0.3</v>
      </c>
      <c r="J908" s="310">
        <f t="shared" si="47"/>
        <v>4480</v>
      </c>
      <c r="K908" s="310">
        <f t="shared" si="48"/>
        <v>613.69863013698637</v>
      </c>
    </row>
    <row r="909" spans="1:11" x14ac:dyDescent="0.2">
      <c r="A909" t="s">
        <v>466</v>
      </c>
      <c r="B909" t="s">
        <v>467</v>
      </c>
      <c r="C909" t="s">
        <v>367</v>
      </c>
      <c r="D909" t="s">
        <v>369</v>
      </c>
      <c r="E909" t="s">
        <v>473</v>
      </c>
      <c r="F909" s="330">
        <v>7.14</v>
      </c>
      <c r="G909" s="330">
        <v>6300</v>
      </c>
      <c r="H909" s="310">
        <f t="shared" si="44"/>
        <v>882.35294117647061</v>
      </c>
      <c r="I909" s="311">
        <v>0.3</v>
      </c>
      <c r="J909" s="310">
        <f t="shared" si="47"/>
        <v>4410</v>
      </c>
      <c r="K909" s="310">
        <f t="shared" si="48"/>
        <v>617.64705882352939</v>
      </c>
    </row>
    <row r="910" spans="1:11" x14ac:dyDescent="0.2">
      <c r="A910" t="s">
        <v>466</v>
      </c>
      <c r="B910" t="s">
        <v>467</v>
      </c>
      <c r="C910" t="s">
        <v>367</v>
      </c>
      <c r="D910" t="s">
        <v>369</v>
      </c>
      <c r="E910" t="s">
        <v>473</v>
      </c>
      <c r="F910" s="330">
        <v>7.25</v>
      </c>
      <c r="G910" s="330">
        <v>6350</v>
      </c>
      <c r="H910" s="310">
        <f t="shared" si="44"/>
        <v>875.86206896551721</v>
      </c>
      <c r="I910" s="311">
        <v>0.3</v>
      </c>
      <c r="J910" s="310">
        <f t="shared" si="47"/>
        <v>4445</v>
      </c>
      <c r="K910" s="310">
        <f t="shared" si="48"/>
        <v>613.10344827586209</v>
      </c>
    </row>
    <row r="911" spans="1:11" x14ac:dyDescent="0.2">
      <c r="A911" t="s">
        <v>466</v>
      </c>
      <c r="B911" t="s">
        <v>467</v>
      </c>
      <c r="C911" t="s">
        <v>367</v>
      </c>
      <c r="D911" t="s">
        <v>369</v>
      </c>
      <c r="E911" t="s">
        <v>473</v>
      </c>
      <c r="F911" s="330">
        <v>6.64</v>
      </c>
      <c r="G911" s="330">
        <v>5800</v>
      </c>
      <c r="H911" s="310">
        <f t="shared" si="44"/>
        <v>873.49397590361446</v>
      </c>
      <c r="I911" s="311">
        <v>0.3</v>
      </c>
      <c r="J911" s="310">
        <f t="shared" si="47"/>
        <v>4059.9999999999995</v>
      </c>
      <c r="K911" s="310">
        <f t="shared" si="48"/>
        <v>611.4457831325301</v>
      </c>
    </row>
    <row r="912" spans="1:11" x14ac:dyDescent="0.2">
      <c r="A912" t="s">
        <v>466</v>
      </c>
      <c r="B912" t="s">
        <v>467</v>
      </c>
      <c r="C912" t="s">
        <v>367</v>
      </c>
      <c r="D912" t="s">
        <v>369</v>
      </c>
      <c r="E912" t="s">
        <v>473</v>
      </c>
      <c r="F912" s="330">
        <v>14.44</v>
      </c>
      <c r="G912" s="330">
        <v>12700</v>
      </c>
      <c r="H912" s="310">
        <f t="shared" si="44"/>
        <v>879.50138504155132</v>
      </c>
      <c r="I912" s="311">
        <v>0.3</v>
      </c>
      <c r="J912" s="310">
        <f t="shared" si="47"/>
        <v>8890</v>
      </c>
      <c r="K912" s="310">
        <f t="shared" si="48"/>
        <v>615.65096952908584</v>
      </c>
    </row>
    <row r="913" spans="1:11" x14ac:dyDescent="0.2">
      <c r="A913" t="s">
        <v>466</v>
      </c>
      <c r="B913" t="s">
        <v>467</v>
      </c>
      <c r="C913" t="s">
        <v>367</v>
      </c>
      <c r="D913" t="s">
        <v>369</v>
      </c>
      <c r="E913" t="s">
        <v>473</v>
      </c>
      <c r="F913" s="330">
        <v>7.63</v>
      </c>
      <c r="G913" s="330">
        <v>6700</v>
      </c>
      <c r="H913" s="310">
        <f t="shared" si="44"/>
        <v>878.11271297509836</v>
      </c>
      <c r="I913" s="311">
        <v>0.3</v>
      </c>
      <c r="J913" s="310">
        <f t="shared" si="47"/>
        <v>4690</v>
      </c>
      <c r="K913" s="310">
        <f t="shared" si="48"/>
        <v>614.67889908256882</v>
      </c>
    </row>
    <row r="914" spans="1:11" x14ac:dyDescent="0.2">
      <c r="A914" t="s">
        <v>466</v>
      </c>
      <c r="B914" t="s">
        <v>467</v>
      </c>
      <c r="C914" t="s">
        <v>367</v>
      </c>
      <c r="D914" t="s">
        <v>369</v>
      </c>
      <c r="E914" t="s">
        <v>473</v>
      </c>
      <c r="F914" s="330">
        <v>8.1</v>
      </c>
      <c r="G914" s="330">
        <v>7100</v>
      </c>
      <c r="H914" s="310">
        <f t="shared" si="44"/>
        <v>876.5432098765433</v>
      </c>
      <c r="I914" s="311">
        <v>0.3</v>
      </c>
      <c r="J914" s="310">
        <f t="shared" si="47"/>
        <v>4970</v>
      </c>
      <c r="K914" s="310">
        <f t="shared" si="48"/>
        <v>613.58024691358025</v>
      </c>
    </row>
    <row r="915" spans="1:11" x14ac:dyDescent="0.2">
      <c r="A915" t="s">
        <v>466</v>
      </c>
      <c r="B915" t="s">
        <v>467</v>
      </c>
      <c r="C915" t="s">
        <v>367</v>
      </c>
      <c r="D915" t="s">
        <v>369</v>
      </c>
      <c r="E915" t="s">
        <v>473</v>
      </c>
      <c r="F915" s="330">
        <v>6.65</v>
      </c>
      <c r="G915" s="330">
        <v>5800</v>
      </c>
      <c r="H915" s="310">
        <f t="shared" si="44"/>
        <v>872.18045112781954</v>
      </c>
      <c r="I915" s="311">
        <v>0.3</v>
      </c>
      <c r="J915" s="310">
        <f t="shared" si="47"/>
        <v>4059.9999999999995</v>
      </c>
      <c r="K915" s="310">
        <f t="shared" si="48"/>
        <v>610.52631578947353</v>
      </c>
    </row>
    <row r="916" spans="1:11" x14ac:dyDescent="0.2">
      <c r="A916" t="s">
        <v>466</v>
      </c>
      <c r="B916" t="s">
        <v>467</v>
      </c>
      <c r="C916" t="s">
        <v>367</v>
      </c>
      <c r="D916" t="s">
        <v>369</v>
      </c>
      <c r="E916" t="s">
        <v>473</v>
      </c>
      <c r="F916" s="330">
        <v>9.43</v>
      </c>
      <c r="G916" s="330">
        <v>8300</v>
      </c>
      <c r="H916" s="310">
        <f t="shared" si="44"/>
        <v>880.16967126193003</v>
      </c>
      <c r="I916" s="311">
        <v>0.3</v>
      </c>
      <c r="J916" s="310">
        <f t="shared" si="47"/>
        <v>5810</v>
      </c>
      <c r="K916" s="310">
        <f t="shared" si="48"/>
        <v>616.11876988335098</v>
      </c>
    </row>
    <row r="917" spans="1:11" x14ac:dyDescent="0.2">
      <c r="A917" t="s">
        <v>466</v>
      </c>
      <c r="B917" t="s">
        <v>467</v>
      </c>
      <c r="C917" t="s">
        <v>367</v>
      </c>
      <c r="D917" t="s">
        <v>369</v>
      </c>
      <c r="E917" t="s">
        <v>473</v>
      </c>
      <c r="F917" s="330">
        <v>5.9</v>
      </c>
      <c r="G917" s="330">
        <v>5200</v>
      </c>
      <c r="H917" s="310">
        <f t="shared" si="44"/>
        <v>881.35593220338978</v>
      </c>
      <c r="I917" s="311">
        <v>0.3</v>
      </c>
      <c r="J917" s="310">
        <f t="shared" si="47"/>
        <v>3639.9999999999995</v>
      </c>
      <c r="K917" s="310">
        <f t="shared" si="48"/>
        <v>616.94915254237276</v>
      </c>
    </row>
    <row r="918" spans="1:11" x14ac:dyDescent="0.2">
      <c r="A918" t="s">
        <v>466</v>
      </c>
      <c r="B918" t="s">
        <v>467</v>
      </c>
      <c r="C918" t="s">
        <v>367</v>
      </c>
      <c r="D918" t="s">
        <v>369</v>
      </c>
      <c r="E918" t="s">
        <v>473</v>
      </c>
      <c r="F918" s="330">
        <v>9.1</v>
      </c>
      <c r="G918" s="330">
        <v>8000</v>
      </c>
      <c r="H918" s="310">
        <f t="shared" si="44"/>
        <v>879.12087912087918</v>
      </c>
      <c r="I918" s="311">
        <v>0.3</v>
      </c>
      <c r="J918" s="310">
        <f t="shared" si="47"/>
        <v>5600</v>
      </c>
      <c r="K918" s="310">
        <f t="shared" si="48"/>
        <v>615.38461538461536</v>
      </c>
    </row>
    <row r="919" spans="1:11" x14ac:dyDescent="0.2">
      <c r="A919" t="s">
        <v>474</v>
      </c>
      <c r="B919" t="s">
        <v>475</v>
      </c>
      <c r="C919" t="s">
        <v>367</v>
      </c>
      <c r="D919" t="s">
        <v>369</v>
      </c>
      <c r="E919" t="s">
        <v>476</v>
      </c>
      <c r="F919" s="330">
        <v>3.54</v>
      </c>
      <c r="G919" s="330">
        <v>3400</v>
      </c>
      <c r="H919" s="310">
        <f t="shared" si="44"/>
        <v>960.45197740112997</v>
      </c>
      <c r="I919" s="311">
        <v>0.2</v>
      </c>
      <c r="J919" s="310">
        <f>G919*(1-I919)</f>
        <v>2720</v>
      </c>
      <c r="K919" s="310">
        <f t="shared" si="48"/>
        <v>768.36158192090397</v>
      </c>
    </row>
    <row r="920" spans="1:11" x14ac:dyDescent="0.2">
      <c r="A920" t="s">
        <v>474</v>
      </c>
      <c r="B920" t="s">
        <v>475</v>
      </c>
      <c r="C920" t="s">
        <v>367</v>
      </c>
      <c r="D920" t="s">
        <v>369</v>
      </c>
      <c r="E920" t="s">
        <v>477</v>
      </c>
      <c r="F920" s="330">
        <v>7.08</v>
      </c>
      <c r="G920" s="330">
        <v>6500</v>
      </c>
      <c r="H920" s="310">
        <f t="shared" si="44"/>
        <v>918.07909604519773</v>
      </c>
      <c r="I920" s="311">
        <v>0.2</v>
      </c>
      <c r="J920" s="310">
        <f t="shared" ref="J920:J926" si="49">G920*(1-I920)</f>
        <v>5200</v>
      </c>
      <c r="K920" s="310">
        <f t="shared" ref="K920:K926" si="50">J920/F920</f>
        <v>734.46327683615823</v>
      </c>
    </row>
    <row r="921" spans="1:11" x14ac:dyDescent="0.2">
      <c r="A921" t="s">
        <v>474</v>
      </c>
      <c r="B921" t="s">
        <v>475</v>
      </c>
      <c r="C921" t="s">
        <v>367</v>
      </c>
      <c r="D921" t="s">
        <v>369</v>
      </c>
      <c r="E921" t="s">
        <v>478</v>
      </c>
      <c r="F921" s="330">
        <v>14.16</v>
      </c>
      <c r="G921" s="330">
        <v>9500</v>
      </c>
      <c r="H921" s="310">
        <f t="shared" si="44"/>
        <v>670.90395480225993</v>
      </c>
      <c r="I921" s="311">
        <v>0.2</v>
      </c>
      <c r="J921" s="310">
        <f t="shared" si="49"/>
        <v>7600</v>
      </c>
      <c r="K921" s="310">
        <f t="shared" si="50"/>
        <v>536.72316384180795</v>
      </c>
    </row>
    <row r="922" spans="1:11" x14ac:dyDescent="0.2">
      <c r="A922" t="s">
        <v>474</v>
      </c>
      <c r="B922" t="s">
        <v>475</v>
      </c>
      <c r="C922" t="s">
        <v>366</v>
      </c>
      <c r="D922" t="s">
        <v>120</v>
      </c>
      <c r="E922" t="s">
        <v>479</v>
      </c>
      <c r="F922" s="330">
        <v>1</v>
      </c>
      <c r="G922" s="330">
        <v>1400</v>
      </c>
      <c r="H922" s="310">
        <f t="shared" si="44"/>
        <v>1400</v>
      </c>
      <c r="I922" s="311">
        <v>0.2</v>
      </c>
      <c r="J922" s="310">
        <f t="shared" si="49"/>
        <v>1120</v>
      </c>
      <c r="K922" s="310">
        <f t="shared" si="50"/>
        <v>1120</v>
      </c>
    </row>
    <row r="923" spans="1:11" x14ac:dyDescent="0.2">
      <c r="A923" t="s">
        <v>474</v>
      </c>
      <c r="B923" t="s">
        <v>475</v>
      </c>
      <c r="C923" t="s">
        <v>366</v>
      </c>
      <c r="D923" t="s">
        <v>120</v>
      </c>
      <c r="E923" t="s">
        <v>480</v>
      </c>
      <c r="F923" s="330">
        <v>1.5</v>
      </c>
      <c r="G923" s="330">
        <v>2700</v>
      </c>
      <c r="H923" s="310">
        <f t="shared" si="44"/>
        <v>1800</v>
      </c>
      <c r="I923" s="311">
        <v>0.2</v>
      </c>
      <c r="J923" s="310">
        <f t="shared" si="49"/>
        <v>2160</v>
      </c>
      <c r="K923" s="310">
        <f t="shared" si="50"/>
        <v>1440</v>
      </c>
    </row>
    <row r="924" spans="1:11" x14ac:dyDescent="0.2">
      <c r="A924" t="s">
        <v>474</v>
      </c>
      <c r="B924" t="s">
        <v>475</v>
      </c>
      <c r="C924" t="s">
        <v>366</v>
      </c>
      <c r="D924" t="s">
        <v>369</v>
      </c>
      <c r="E924" t="s">
        <v>481</v>
      </c>
      <c r="F924" s="330">
        <v>3.4499999999999997</v>
      </c>
      <c r="G924" s="330">
        <v>7100</v>
      </c>
      <c r="H924" s="310">
        <f t="shared" si="44"/>
        <v>2057.971014492754</v>
      </c>
      <c r="I924" s="311">
        <v>0.2</v>
      </c>
      <c r="J924" s="310">
        <f t="shared" si="49"/>
        <v>5680</v>
      </c>
      <c r="K924" s="310">
        <f t="shared" si="50"/>
        <v>1646.376811594203</v>
      </c>
    </row>
    <row r="925" spans="1:11" x14ac:dyDescent="0.2">
      <c r="A925" t="s">
        <v>474</v>
      </c>
      <c r="B925" t="s">
        <v>475</v>
      </c>
      <c r="C925" t="s">
        <v>366</v>
      </c>
      <c r="D925" t="s">
        <v>369</v>
      </c>
      <c r="E925" t="s">
        <v>482</v>
      </c>
      <c r="F925" s="330">
        <v>3.9015000000000004</v>
      </c>
      <c r="G925" s="330">
        <v>7600</v>
      </c>
      <c r="H925" s="310">
        <f t="shared" si="44"/>
        <v>1947.9687299756501</v>
      </c>
      <c r="I925" s="311">
        <v>0.2</v>
      </c>
      <c r="J925" s="310">
        <f t="shared" si="49"/>
        <v>6080</v>
      </c>
      <c r="K925" s="310">
        <f t="shared" si="50"/>
        <v>1558.3749839805203</v>
      </c>
    </row>
    <row r="926" spans="1:11" x14ac:dyDescent="0.2">
      <c r="A926" t="s">
        <v>474</v>
      </c>
      <c r="B926" t="s">
        <v>475</v>
      </c>
      <c r="C926" t="s">
        <v>366</v>
      </c>
      <c r="D926" t="s">
        <v>369</v>
      </c>
      <c r="E926" t="s">
        <v>483</v>
      </c>
      <c r="F926" s="330">
        <v>10.35</v>
      </c>
      <c r="G926" s="330">
        <v>12000</v>
      </c>
      <c r="H926" s="310">
        <f t="shared" si="44"/>
        <v>1159.4202898550725</v>
      </c>
      <c r="I926" s="311">
        <v>0.2</v>
      </c>
      <c r="J926" s="310">
        <f t="shared" si="49"/>
        <v>9600</v>
      </c>
      <c r="K926" s="310">
        <f t="shared" si="50"/>
        <v>927.536231884058</v>
      </c>
    </row>
  </sheetData>
  <autoFilter ref="A1:K878" xr:uid="{C581E442-46F0-DB41-AF2E-CECED4CBE8BF}">
    <sortState xmlns:xlrd2="http://schemas.microsoft.com/office/spreadsheetml/2017/richdata2" ref="A826:K878">
      <sortCondition ref="F1:F878"/>
    </sortState>
  </autoFilter>
  <sortState xmlns:xlrd2="http://schemas.microsoft.com/office/spreadsheetml/2017/richdata2" ref="A2:K124">
    <sortCondition descending="1" ref="H2:H124"/>
  </sortState>
  <phoneticPr fontId="37" type="noConversion"/>
  <hyperlinks>
    <hyperlink ref="B66" r:id="rId1" display="javascript:;" xr:uid="{4B6BAB0C-DBB7-488E-8E55-9281D7B82E17}"/>
    <hyperlink ref="B67" r:id="rId2" display="javascript:;" xr:uid="{D535EF2C-63C7-4FAF-A771-D383BCAC0125}"/>
    <hyperlink ref="B68" r:id="rId3" display="javascript:;" xr:uid="{E61DD7E4-C320-4471-9725-C7DAA081E5E6}"/>
    <hyperlink ref="B69" r:id="rId4" display="javascript:;" xr:uid="{0C7768B7-B959-480A-8528-9C95EE848448}"/>
    <hyperlink ref="B70" r:id="rId5" display="javascript:;" xr:uid="{FE9FFCE6-2A1F-4948-9096-35720073834B}"/>
    <hyperlink ref="B71" r:id="rId6" display="javascript:;" xr:uid="{09DF3DDC-A495-4236-8FD6-2137630BAE07}"/>
    <hyperlink ref="B72" r:id="rId7" display="javascript:;" xr:uid="{40D54E5A-AFA8-4704-B544-04F2DD1F7FA0}"/>
    <hyperlink ref="B73" r:id="rId8" display="javascript:;" xr:uid="{CD287756-3560-4206-B06A-7DBF4034CBA0}"/>
    <hyperlink ref="B74" r:id="rId9" display="javascript:;" xr:uid="{B4B06D74-4A53-4942-962D-7AC8E7339BA7}"/>
    <hyperlink ref="B75" r:id="rId10" display="javascript:;" xr:uid="{0B43E9D9-0D93-4DDB-8FC9-F3C7BC6A8D76}"/>
    <hyperlink ref="B76" r:id="rId11" display="javascript:;" xr:uid="{7168EEC9-C341-4F1A-97F7-F40F585F6B30}"/>
    <hyperlink ref="B77" r:id="rId12" display="javascript:;" xr:uid="{2D634361-DAB5-4948-A396-CCBBA0FDBC7F}"/>
    <hyperlink ref="B78" r:id="rId13" display="javascript:;" xr:uid="{9449B831-D19C-43F0-A96C-1D6D6B526FFC}"/>
    <hyperlink ref="B79" r:id="rId14" display="javascript:;" xr:uid="{1575E154-2C93-42B6-85C7-B8E6B3102D11}"/>
    <hyperlink ref="B80" r:id="rId15" display="javascript:;" xr:uid="{49B11225-0505-49C9-AA98-A4477C425C77}"/>
    <hyperlink ref="B81" r:id="rId16" display="javascript:;" xr:uid="{C91EEC9D-EE7C-4B3B-B55A-6B60D0843E99}"/>
    <hyperlink ref="B82" r:id="rId17" display="javascript:;" xr:uid="{1FF74932-6B04-4E24-A876-32E4B9AE4A20}"/>
    <hyperlink ref="B83" r:id="rId18" display="javascript:;" xr:uid="{E2455C72-1693-45C7-8D07-DD83037D53A5}"/>
    <hyperlink ref="B84" r:id="rId19" display="javascript:;" xr:uid="{17DF46ED-286E-4B44-8F0E-4FF61935B619}"/>
    <hyperlink ref="B85" r:id="rId20" display="javascript:;" xr:uid="{EE728F6F-8CEA-42C4-AEA1-B445D6B90451}"/>
    <hyperlink ref="B86" r:id="rId21" display="javascript:;" xr:uid="{E4E5CC53-DB1E-47C2-B05B-8F10F49F6286}"/>
    <hyperlink ref="B87" r:id="rId22" display="javascript:;" xr:uid="{7C745202-8278-4192-9489-450741A5BDAA}"/>
    <hyperlink ref="B88" r:id="rId23" display="javascript:;" xr:uid="{E9699305-0DD8-49A7-9773-C4BC44E14F9B}"/>
    <hyperlink ref="B89" r:id="rId24" display="javascript:;" xr:uid="{70F0A94E-808E-4081-80F6-A0D7C7556B92}"/>
    <hyperlink ref="B90" r:id="rId25" display="javascript:;" xr:uid="{EAAECE65-8638-43B6-8D05-282F4B57547E}"/>
    <hyperlink ref="B91" r:id="rId26" display="javascript:;" xr:uid="{03AFE3B9-05DA-47BC-8605-22468CBDAF48}"/>
    <hyperlink ref="B92" r:id="rId27" display="javascript:;" xr:uid="{A4B9444B-78EF-406A-BEAD-FAB2A3B900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7A2E-918B-43FF-9284-0976C4ACE1A8}">
  <dimension ref="A1:D51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44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19</v>
      </c>
      <c r="B4" s="2">
        <v>2547.2896999999998</v>
      </c>
      <c r="C4" s="2">
        <v>1445.4828</v>
      </c>
      <c r="D4" s="2">
        <v>2725.5999790000001</v>
      </c>
    </row>
    <row r="5" spans="1:4" x14ac:dyDescent="0.2">
      <c r="A5" s="5">
        <v>0.6</v>
      </c>
      <c r="B5" s="2">
        <v>894.57939999999996</v>
      </c>
      <c r="C5" s="2">
        <v>1490.9656</v>
      </c>
      <c r="D5" s="2">
        <v>957.19995800000004</v>
      </c>
    </row>
    <row r="6" spans="1:4" x14ac:dyDescent="0.2">
      <c r="A6" s="5">
        <v>3</v>
      </c>
      <c r="B6" s="2">
        <v>4200</v>
      </c>
      <c r="C6" s="2">
        <v>1400</v>
      </c>
      <c r="D6" s="2">
        <v>4494</v>
      </c>
    </row>
    <row r="7" spans="1:4" x14ac:dyDescent="0.2">
      <c r="A7" s="4" t="s">
        <v>20</v>
      </c>
      <c r="B7" s="2">
        <v>801.12149999999997</v>
      </c>
      <c r="C7" s="2">
        <v>1335.2025000000001</v>
      </c>
      <c r="D7" s="2">
        <v>857.20000500000003</v>
      </c>
    </row>
    <row r="8" spans="1:4" x14ac:dyDescent="0.2">
      <c r="A8" s="5">
        <v>0.6</v>
      </c>
      <c r="B8" s="2">
        <v>801.12149999999997</v>
      </c>
      <c r="C8" s="2">
        <v>1335.2025000000001</v>
      </c>
      <c r="D8" s="2">
        <v>857.20000500000003</v>
      </c>
    </row>
    <row r="9" spans="1:4" x14ac:dyDescent="0.2">
      <c r="A9" s="4" t="s">
        <v>7</v>
      </c>
      <c r="B9" s="2">
        <v>0</v>
      </c>
      <c r="C9" s="2">
        <v>0</v>
      </c>
      <c r="D9" s="2">
        <v>0</v>
      </c>
    </row>
    <row r="10" spans="1:4" x14ac:dyDescent="0.2">
      <c r="A10" s="5">
        <v>0</v>
      </c>
      <c r="B10" s="2">
        <v>0</v>
      </c>
      <c r="C10" s="2">
        <v>0</v>
      </c>
      <c r="D10" s="2">
        <v>0</v>
      </c>
    </row>
    <row r="11" spans="1:4" x14ac:dyDescent="0.2">
      <c r="A11" s="4" t="s">
        <v>25</v>
      </c>
      <c r="B11" s="2">
        <v>13500</v>
      </c>
      <c r="C11" s="2">
        <v>810.23625000000004</v>
      </c>
      <c r="D11" s="2">
        <v>14445</v>
      </c>
    </row>
    <row r="12" spans="1:4" x14ac:dyDescent="0.2">
      <c r="A12" s="5">
        <v>16.555</v>
      </c>
      <c r="B12" s="2">
        <v>13500</v>
      </c>
      <c r="C12" s="2">
        <v>815.46360000000004</v>
      </c>
      <c r="D12" s="2">
        <v>14445</v>
      </c>
    </row>
    <row r="13" spans="1:4" x14ac:dyDescent="0.2">
      <c r="A13" s="5">
        <v>16.77</v>
      </c>
      <c r="B13" s="2">
        <v>13500</v>
      </c>
      <c r="C13" s="2">
        <v>805.00890000000004</v>
      </c>
      <c r="D13" s="2">
        <v>14445</v>
      </c>
    </row>
    <row r="14" spans="1:4" x14ac:dyDescent="0.2">
      <c r="A14" s="4" t="s">
        <v>26</v>
      </c>
      <c r="B14" s="2">
        <v>8310.6542200000004</v>
      </c>
      <c r="C14" s="2">
        <v>1179.5057000000002</v>
      </c>
      <c r="D14" s="2">
        <v>8892.4000153999987</v>
      </c>
    </row>
    <row r="15" spans="1:4" x14ac:dyDescent="0.2">
      <c r="A15" s="5">
        <v>4.8</v>
      </c>
      <c r="B15" s="2">
        <v>6074.7664000000004</v>
      </c>
      <c r="C15" s="2">
        <v>1265.5762999999999</v>
      </c>
      <c r="D15" s="2">
        <v>6500.0000479999999</v>
      </c>
    </row>
    <row r="16" spans="1:4" x14ac:dyDescent="0.2">
      <c r="A16" s="5">
        <v>4.95</v>
      </c>
      <c r="B16" s="2">
        <v>6074.7664000000004</v>
      </c>
      <c r="C16" s="2">
        <v>1227.2255</v>
      </c>
      <c r="D16" s="2">
        <v>6500.0000479999999</v>
      </c>
    </row>
    <row r="17" spans="1:4" x14ac:dyDescent="0.2">
      <c r="A17" s="5">
        <v>5.98</v>
      </c>
      <c r="B17" s="2">
        <v>6600</v>
      </c>
      <c r="C17" s="2">
        <v>1103.6789000000001</v>
      </c>
      <c r="D17" s="2">
        <v>7062</v>
      </c>
    </row>
    <row r="18" spans="1:4" x14ac:dyDescent="0.2">
      <c r="A18" s="5">
        <v>9.6</v>
      </c>
      <c r="B18" s="2">
        <v>11214.953299999999</v>
      </c>
      <c r="C18" s="2">
        <v>1168.2243000000001</v>
      </c>
      <c r="D18" s="2">
        <v>12000.000031</v>
      </c>
    </row>
    <row r="19" spans="1:4" x14ac:dyDescent="0.2">
      <c r="A19" s="5">
        <v>10.23</v>
      </c>
      <c r="B19" s="2">
        <v>11588.785</v>
      </c>
      <c r="C19" s="2">
        <v>1132.8235</v>
      </c>
      <c r="D19" s="2">
        <v>12399.999949999999</v>
      </c>
    </row>
    <row r="20" spans="1:4" x14ac:dyDescent="0.2">
      <c r="A20" s="4" t="s">
        <v>27</v>
      </c>
      <c r="B20" s="2">
        <v>4433.333333333333</v>
      </c>
      <c r="C20" s="2">
        <v>1382.3756916666669</v>
      </c>
      <c r="D20" s="2">
        <v>4743.666666666667</v>
      </c>
    </row>
    <row r="21" spans="1:4" x14ac:dyDescent="0.2">
      <c r="A21" s="5">
        <v>2.7</v>
      </c>
      <c r="B21" s="2">
        <v>4000</v>
      </c>
      <c r="C21" s="2">
        <v>1481.4813999999999</v>
      </c>
      <c r="D21" s="2">
        <v>4280</v>
      </c>
    </row>
    <row r="22" spans="1:4" x14ac:dyDescent="0.2">
      <c r="A22" s="5">
        <v>2.76</v>
      </c>
      <c r="B22" s="2">
        <v>4000</v>
      </c>
      <c r="C22" s="2">
        <v>1449.2753</v>
      </c>
      <c r="D22" s="2">
        <v>4280</v>
      </c>
    </row>
    <row r="23" spans="1:4" x14ac:dyDescent="0.2">
      <c r="A23" s="5">
        <v>2.85</v>
      </c>
      <c r="B23" s="2">
        <v>4100</v>
      </c>
      <c r="C23" s="2">
        <v>1438.5963999999999</v>
      </c>
      <c r="D23" s="2">
        <v>4387</v>
      </c>
    </row>
    <row r="24" spans="1:4" x14ac:dyDescent="0.2">
      <c r="A24" s="5">
        <v>2.9249999999999998</v>
      </c>
      <c r="B24" s="2">
        <v>4100</v>
      </c>
      <c r="C24" s="2">
        <v>1401.7094</v>
      </c>
      <c r="D24" s="2">
        <v>4387</v>
      </c>
    </row>
    <row r="25" spans="1:4" x14ac:dyDescent="0.2">
      <c r="A25" s="5">
        <v>3</v>
      </c>
      <c r="B25" s="2">
        <v>4200</v>
      </c>
      <c r="C25" s="2">
        <v>1400</v>
      </c>
      <c r="D25" s="2">
        <v>4494</v>
      </c>
    </row>
    <row r="26" spans="1:4" x14ac:dyDescent="0.2">
      <c r="A26" s="5">
        <v>3.0154999999999998</v>
      </c>
      <c r="B26" s="2">
        <v>4200</v>
      </c>
      <c r="C26" s="2">
        <v>1392.8037999999999</v>
      </c>
      <c r="D26" s="2">
        <v>4494</v>
      </c>
    </row>
    <row r="27" spans="1:4" x14ac:dyDescent="0.2">
      <c r="A27" s="5">
        <v>3.04</v>
      </c>
      <c r="B27" s="2">
        <v>4200</v>
      </c>
      <c r="C27" s="2">
        <v>1381.5789</v>
      </c>
      <c r="D27" s="2">
        <v>4494</v>
      </c>
    </row>
    <row r="28" spans="1:4" x14ac:dyDescent="0.2">
      <c r="A28" s="5">
        <v>3.08</v>
      </c>
      <c r="B28" s="2">
        <v>4200</v>
      </c>
      <c r="C28" s="2">
        <v>1363.6362999999999</v>
      </c>
      <c r="D28" s="2">
        <v>4494</v>
      </c>
    </row>
    <row r="29" spans="1:4" x14ac:dyDescent="0.2">
      <c r="A29" s="5">
        <v>3.12</v>
      </c>
      <c r="B29" s="2">
        <v>4200</v>
      </c>
      <c r="C29" s="2">
        <v>1346.1538</v>
      </c>
      <c r="D29" s="2">
        <v>4494</v>
      </c>
    </row>
    <row r="30" spans="1:4" x14ac:dyDescent="0.2">
      <c r="A30" s="5">
        <v>3.7730000000000001</v>
      </c>
      <c r="B30" s="2">
        <v>5000</v>
      </c>
      <c r="C30" s="2">
        <v>1325.2054000000001</v>
      </c>
      <c r="D30" s="2">
        <v>5350</v>
      </c>
    </row>
    <row r="31" spans="1:4" x14ac:dyDescent="0.2">
      <c r="A31" s="5">
        <v>3.87</v>
      </c>
      <c r="B31" s="2">
        <v>5000</v>
      </c>
      <c r="C31" s="2">
        <v>1291.9896000000001</v>
      </c>
      <c r="D31" s="2">
        <v>5350</v>
      </c>
    </row>
    <row r="32" spans="1:4" x14ac:dyDescent="0.2">
      <c r="A32" s="5">
        <v>4.5590000000000002</v>
      </c>
      <c r="B32" s="2">
        <v>6000</v>
      </c>
      <c r="C32" s="2">
        <v>1316.078</v>
      </c>
      <c r="D32" s="2">
        <v>6420</v>
      </c>
    </row>
    <row r="33" spans="1:4" x14ac:dyDescent="0.2">
      <c r="A33" s="4" t="s">
        <v>28</v>
      </c>
      <c r="B33" s="2">
        <v>18800</v>
      </c>
      <c r="C33" s="2">
        <v>752.30089999999996</v>
      </c>
      <c r="D33" s="2">
        <v>20116</v>
      </c>
    </row>
    <row r="34" spans="1:4" x14ac:dyDescent="0.2">
      <c r="A34" s="5">
        <v>24.99</v>
      </c>
      <c r="B34" s="2">
        <v>18800</v>
      </c>
      <c r="C34" s="2">
        <v>752.30089999999996</v>
      </c>
      <c r="D34" s="2">
        <v>20116</v>
      </c>
    </row>
    <row r="35" spans="1:4" x14ac:dyDescent="0.2">
      <c r="A35" s="4" t="s">
        <v>29</v>
      </c>
      <c r="B35" s="2">
        <v>2134.4299099999998</v>
      </c>
      <c r="C35" s="2">
        <v>1149.4285199999999</v>
      </c>
      <c r="D35" s="2">
        <v>2283.8400037000001</v>
      </c>
    </row>
    <row r="36" spans="1:4" x14ac:dyDescent="0.2">
      <c r="A36" s="5">
        <v>1.04</v>
      </c>
      <c r="B36" s="2">
        <v>1600</v>
      </c>
      <c r="C36" s="2">
        <v>1538.4614999999999</v>
      </c>
      <c r="D36" s="2">
        <v>1712</v>
      </c>
    </row>
    <row r="37" spans="1:4" x14ac:dyDescent="0.2">
      <c r="A37" s="5">
        <v>1.5</v>
      </c>
      <c r="B37" s="2">
        <v>1775.7009</v>
      </c>
      <c r="C37" s="2">
        <v>1183.8006</v>
      </c>
      <c r="D37" s="2">
        <v>1899.999963</v>
      </c>
    </row>
    <row r="38" spans="1:4" x14ac:dyDescent="0.2">
      <c r="A38" s="5">
        <v>1.92</v>
      </c>
      <c r="B38" s="2">
        <v>2800</v>
      </c>
      <c r="C38" s="2">
        <v>1458.3333</v>
      </c>
      <c r="D38" s="2">
        <v>2996</v>
      </c>
    </row>
    <row r="39" spans="1:4" x14ac:dyDescent="0.2">
      <c r="A39" s="5">
        <v>1.9734</v>
      </c>
      <c r="B39" s="2">
        <v>2900</v>
      </c>
      <c r="C39" s="2">
        <v>1469.5449000000001</v>
      </c>
      <c r="D39" s="2">
        <v>3103</v>
      </c>
    </row>
    <row r="40" spans="1:4" x14ac:dyDescent="0.2">
      <c r="A40" s="5">
        <v>2.04</v>
      </c>
      <c r="B40" s="2">
        <v>2027.4766500000001</v>
      </c>
      <c r="C40" s="2">
        <v>993.86104999999998</v>
      </c>
      <c r="D40" s="2">
        <v>2169.4000154999999</v>
      </c>
    </row>
    <row r="41" spans="1:4" x14ac:dyDescent="0.2">
      <c r="A41" s="5">
        <v>2.08</v>
      </c>
      <c r="B41" s="2">
        <v>2220.9346</v>
      </c>
      <c r="C41" s="2">
        <v>1067.7570000000001</v>
      </c>
      <c r="D41" s="2">
        <v>2376.4000219999998</v>
      </c>
    </row>
    <row r="42" spans="1:4" x14ac:dyDescent="0.2">
      <c r="A42" s="5">
        <v>2.1</v>
      </c>
      <c r="B42" s="2">
        <v>2429.9065000000001</v>
      </c>
      <c r="C42" s="2">
        <v>1157.0983000000001</v>
      </c>
      <c r="D42" s="2">
        <v>2599.9999550000002</v>
      </c>
    </row>
    <row r="43" spans="1:4" x14ac:dyDescent="0.2">
      <c r="A43" s="5">
        <v>2.38</v>
      </c>
      <c r="B43" s="2">
        <v>1341.8692000000001</v>
      </c>
      <c r="C43" s="2">
        <v>563.81050000000005</v>
      </c>
      <c r="D43" s="2">
        <v>1435.8000440000001</v>
      </c>
    </row>
    <row r="44" spans="1:4" x14ac:dyDescent="0.2">
      <c r="A44" s="4" t="s">
        <v>30</v>
      </c>
      <c r="B44" s="2">
        <v>24750</v>
      </c>
      <c r="C44" s="2">
        <v>721.13495</v>
      </c>
      <c r="D44" s="2">
        <v>26482.5</v>
      </c>
    </row>
    <row r="45" spans="1:4" x14ac:dyDescent="0.2">
      <c r="A45" s="5">
        <v>33.6</v>
      </c>
      <c r="B45" s="2">
        <v>24200</v>
      </c>
      <c r="C45" s="2">
        <v>720.23800000000006</v>
      </c>
      <c r="D45" s="2">
        <v>25894</v>
      </c>
    </row>
    <row r="46" spans="1:4" x14ac:dyDescent="0.2">
      <c r="A46" s="5">
        <v>35.04</v>
      </c>
      <c r="B46" s="2">
        <v>25300</v>
      </c>
      <c r="C46" s="2">
        <v>722.03189999999995</v>
      </c>
      <c r="D46" s="2">
        <v>27071</v>
      </c>
    </row>
    <row r="47" spans="1:4" x14ac:dyDescent="0.2">
      <c r="A47" s="4" t="s">
        <v>31</v>
      </c>
      <c r="B47" s="2">
        <v>1658.5669666666665</v>
      </c>
      <c r="C47" s="2">
        <v>1577.8386</v>
      </c>
      <c r="D47" s="2">
        <v>1774.6666543333333</v>
      </c>
    </row>
    <row r="48" spans="1:4" x14ac:dyDescent="0.2">
      <c r="A48" s="5">
        <v>0.88</v>
      </c>
      <c r="B48" s="2">
        <v>1600</v>
      </c>
      <c r="C48" s="2">
        <v>1818.1818000000001</v>
      </c>
      <c r="D48" s="2">
        <v>1712</v>
      </c>
    </row>
    <row r="49" spans="1:4" x14ac:dyDescent="0.2">
      <c r="A49" s="5">
        <v>1</v>
      </c>
      <c r="B49" s="2">
        <v>1600</v>
      </c>
      <c r="C49" s="2">
        <v>1600</v>
      </c>
      <c r="D49" s="2">
        <v>1712</v>
      </c>
    </row>
    <row r="50" spans="1:4" x14ac:dyDescent="0.2">
      <c r="A50" s="5">
        <v>1.35</v>
      </c>
      <c r="B50" s="2">
        <v>1775.7009</v>
      </c>
      <c r="C50" s="2">
        <v>1315.3340000000001</v>
      </c>
      <c r="D50" s="2">
        <v>1899.999963</v>
      </c>
    </row>
    <row r="51" spans="1:4" x14ac:dyDescent="0.2">
      <c r="A51" s="4" t="s">
        <v>15</v>
      </c>
      <c r="B51" s="2">
        <v>5699.2044102564096</v>
      </c>
      <c r="C51" s="2">
        <v>1198.8474153846153</v>
      </c>
      <c r="D51" s="2">
        <v>6098.1487189743593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D181-6A73-4D65-9F16-7A4FEA8CA03F}">
  <dimension ref="A1:D82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45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15100</v>
      </c>
      <c r="C4" s="2">
        <v>1001.3262</v>
      </c>
      <c r="D4" s="2">
        <v>16157</v>
      </c>
    </row>
    <row r="5" spans="1:4" x14ac:dyDescent="0.2">
      <c r="A5" s="5">
        <v>15.08</v>
      </c>
      <c r="B5" s="2">
        <v>15100</v>
      </c>
      <c r="C5" s="2">
        <v>1001.3262</v>
      </c>
      <c r="D5" s="2">
        <v>16157</v>
      </c>
    </row>
    <row r="6" spans="1:4" x14ac:dyDescent="0.2">
      <c r="A6" s="4" t="s">
        <v>46</v>
      </c>
      <c r="B6" s="2">
        <v>30200</v>
      </c>
      <c r="C6" s="2">
        <v>1001.3262</v>
      </c>
      <c r="D6" s="2">
        <v>32314</v>
      </c>
    </row>
    <row r="7" spans="1:4" x14ac:dyDescent="0.2">
      <c r="A7" s="5">
        <v>30.16</v>
      </c>
      <c r="B7" s="2">
        <v>30200</v>
      </c>
      <c r="C7" s="2">
        <v>1001.3262</v>
      </c>
      <c r="D7" s="2">
        <v>32314</v>
      </c>
    </row>
    <row r="8" spans="1:4" x14ac:dyDescent="0.2">
      <c r="A8" s="4" t="s">
        <v>19</v>
      </c>
      <c r="B8" s="2">
        <v>894.58</v>
      </c>
      <c r="C8" s="2">
        <v>1490.9666</v>
      </c>
      <c r="D8" s="2">
        <v>957.20060000000001</v>
      </c>
    </row>
    <row r="9" spans="1:4" x14ac:dyDescent="0.2">
      <c r="A9" s="5">
        <v>0.6</v>
      </c>
      <c r="B9" s="2">
        <v>894.58</v>
      </c>
      <c r="C9" s="2">
        <v>1490.9666</v>
      </c>
      <c r="D9" s="2">
        <v>957.20060000000001</v>
      </c>
    </row>
    <row r="10" spans="1:4" x14ac:dyDescent="0.2">
      <c r="A10" s="4" t="s">
        <v>20</v>
      </c>
      <c r="B10" s="2">
        <v>801.12</v>
      </c>
      <c r="C10" s="2">
        <v>1335.2</v>
      </c>
      <c r="D10" s="2">
        <v>857.19839999999999</v>
      </c>
    </row>
    <row r="11" spans="1:4" x14ac:dyDescent="0.2">
      <c r="A11" s="5">
        <v>0.6</v>
      </c>
      <c r="B11" s="2">
        <v>801.12</v>
      </c>
      <c r="C11" s="2">
        <v>1335.2</v>
      </c>
      <c r="D11" s="2">
        <v>857.19839999999999</v>
      </c>
    </row>
    <row r="12" spans="1:4" x14ac:dyDescent="0.2">
      <c r="A12" s="4" t="s">
        <v>5</v>
      </c>
      <c r="B12" s="2">
        <v>707.66</v>
      </c>
      <c r="C12" s="2">
        <v>1179.4332999999999</v>
      </c>
      <c r="D12" s="2">
        <v>757.19619999999998</v>
      </c>
    </row>
    <row r="13" spans="1:4" x14ac:dyDescent="0.2">
      <c r="A13" s="5">
        <v>0.6</v>
      </c>
      <c r="B13" s="2">
        <v>707.66</v>
      </c>
      <c r="C13" s="2">
        <v>1179.4332999999999</v>
      </c>
      <c r="D13" s="2">
        <v>757.19619999999998</v>
      </c>
    </row>
    <row r="14" spans="1:4" x14ac:dyDescent="0.2">
      <c r="A14" s="4" t="s">
        <v>6</v>
      </c>
      <c r="B14" s="2">
        <v>614.21</v>
      </c>
      <c r="C14" s="2">
        <v>1023.6833</v>
      </c>
      <c r="D14" s="2">
        <v>657.2047</v>
      </c>
    </row>
    <row r="15" spans="1:4" x14ac:dyDescent="0.2">
      <c r="A15" s="5">
        <v>0.6</v>
      </c>
      <c r="B15" s="2">
        <v>614.21</v>
      </c>
      <c r="C15" s="2">
        <v>1023.6833</v>
      </c>
      <c r="D15" s="2">
        <v>657.2047</v>
      </c>
    </row>
    <row r="16" spans="1:4" x14ac:dyDescent="0.2">
      <c r="A16" s="4" t="s">
        <v>25</v>
      </c>
      <c r="B16" s="2">
        <v>18166.666666666668</v>
      </c>
      <c r="C16" s="2">
        <v>1196.2768833333334</v>
      </c>
      <c r="D16" s="2">
        <v>19438.333333333332</v>
      </c>
    </row>
    <row r="17" spans="1:4" x14ac:dyDescent="0.2">
      <c r="A17" s="5">
        <v>14.1</v>
      </c>
      <c r="B17" s="2">
        <v>17000</v>
      </c>
      <c r="C17" s="2">
        <v>1205.6737000000001</v>
      </c>
      <c r="D17" s="2">
        <v>18190</v>
      </c>
    </row>
    <row r="18" spans="1:4" x14ac:dyDescent="0.2">
      <c r="A18" s="5">
        <v>14.57</v>
      </c>
      <c r="B18" s="2">
        <v>17000</v>
      </c>
      <c r="C18" s="2">
        <v>1166.7809999999999</v>
      </c>
      <c r="D18" s="2">
        <v>18190</v>
      </c>
    </row>
    <row r="19" spans="1:4" x14ac:dyDescent="0.2">
      <c r="A19" s="5">
        <v>15.05</v>
      </c>
      <c r="B19" s="2">
        <v>19000</v>
      </c>
      <c r="C19" s="2">
        <v>1262.4584</v>
      </c>
      <c r="D19" s="2">
        <v>20330</v>
      </c>
    </row>
    <row r="20" spans="1:4" x14ac:dyDescent="0.2">
      <c r="A20" s="5">
        <v>15.91</v>
      </c>
      <c r="B20" s="2">
        <v>19000</v>
      </c>
      <c r="C20" s="2">
        <v>1194.2174</v>
      </c>
      <c r="D20" s="2">
        <v>20330</v>
      </c>
    </row>
    <row r="21" spans="1:4" x14ac:dyDescent="0.2">
      <c r="A21" s="5">
        <v>17.5</v>
      </c>
      <c r="B21" s="2">
        <v>20000</v>
      </c>
      <c r="C21" s="2">
        <v>1142.8570999999999</v>
      </c>
      <c r="D21" s="2">
        <v>21400</v>
      </c>
    </row>
    <row r="22" spans="1:4" x14ac:dyDescent="0.2">
      <c r="A22" s="4" t="s">
        <v>26</v>
      </c>
      <c r="B22" s="2">
        <v>8971.4285714285706</v>
      </c>
      <c r="C22" s="2">
        <v>1160.0021285714286</v>
      </c>
      <c r="D22" s="2">
        <v>9599.4285714285706</v>
      </c>
    </row>
    <row r="23" spans="1:4" x14ac:dyDescent="0.2">
      <c r="A23" s="5">
        <v>5.04</v>
      </c>
      <c r="B23" s="2">
        <v>5400</v>
      </c>
      <c r="C23" s="2">
        <v>1071.4285</v>
      </c>
      <c r="D23" s="2">
        <v>5778</v>
      </c>
    </row>
    <row r="24" spans="1:4" x14ac:dyDescent="0.2">
      <c r="A24" s="5">
        <v>6</v>
      </c>
      <c r="B24" s="2">
        <v>7200</v>
      </c>
      <c r="C24" s="2">
        <v>1200</v>
      </c>
      <c r="D24" s="2">
        <v>7704</v>
      </c>
    </row>
    <row r="25" spans="1:4" x14ac:dyDescent="0.2">
      <c r="A25" s="5">
        <v>7.84</v>
      </c>
      <c r="B25" s="2">
        <v>9000</v>
      </c>
      <c r="C25" s="2">
        <v>1147.9591</v>
      </c>
      <c r="D25" s="2">
        <v>9630</v>
      </c>
    </row>
    <row r="26" spans="1:4" x14ac:dyDescent="0.2">
      <c r="A26" s="5">
        <v>9.0299999999999994</v>
      </c>
      <c r="B26" s="2">
        <v>11200</v>
      </c>
      <c r="C26" s="2">
        <v>1240.31</v>
      </c>
      <c r="D26" s="2">
        <v>11984</v>
      </c>
    </row>
    <row r="27" spans="1:4" x14ac:dyDescent="0.2">
      <c r="A27" s="5">
        <v>10.08</v>
      </c>
      <c r="B27" s="2">
        <v>11600</v>
      </c>
      <c r="C27" s="2">
        <v>1150.7936</v>
      </c>
      <c r="D27" s="2">
        <v>12412</v>
      </c>
    </row>
    <row r="28" spans="1:4" x14ac:dyDescent="0.2">
      <c r="A28" s="5">
        <v>10.5</v>
      </c>
      <c r="B28" s="2">
        <v>13000</v>
      </c>
      <c r="C28" s="2">
        <v>1238.0952</v>
      </c>
      <c r="D28" s="2">
        <v>13910</v>
      </c>
    </row>
    <row r="29" spans="1:4" x14ac:dyDescent="0.2">
      <c r="A29" s="4" t="s">
        <v>27</v>
      </c>
      <c r="B29" s="2">
        <v>3300</v>
      </c>
      <c r="C29" s="2">
        <v>1145.8333</v>
      </c>
      <c r="D29" s="2">
        <v>3531</v>
      </c>
    </row>
    <row r="30" spans="1:4" x14ac:dyDescent="0.2">
      <c r="A30" s="5">
        <v>2.88</v>
      </c>
      <c r="B30" s="2">
        <v>3300</v>
      </c>
      <c r="C30" s="2">
        <v>1145.8333</v>
      </c>
      <c r="D30" s="2">
        <v>3531</v>
      </c>
    </row>
    <row r="31" spans="1:4" x14ac:dyDescent="0.2">
      <c r="A31" s="4" t="s">
        <v>28</v>
      </c>
      <c r="B31" s="2">
        <v>26500</v>
      </c>
      <c r="C31" s="2">
        <v>1005.51775</v>
      </c>
      <c r="D31" s="2">
        <v>28355</v>
      </c>
    </row>
    <row r="32" spans="1:4" x14ac:dyDescent="0.2">
      <c r="A32" s="5">
        <v>26.25</v>
      </c>
      <c r="B32" s="2">
        <v>26500</v>
      </c>
      <c r="C32" s="2">
        <v>1009.5238000000001</v>
      </c>
      <c r="D32" s="2">
        <v>28355</v>
      </c>
    </row>
    <row r="33" spans="1:4" x14ac:dyDescent="0.2">
      <c r="A33" s="5">
        <v>26.46</v>
      </c>
      <c r="B33" s="2">
        <v>26500</v>
      </c>
      <c r="C33" s="2">
        <v>1001.5117</v>
      </c>
      <c r="D33" s="2">
        <v>28355</v>
      </c>
    </row>
    <row r="34" spans="1:4" x14ac:dyDescent="0.2">
      <c r="A34" s="4" t="s">
        <v>29</v>
      </c>
      <c r="B34" s="2">
        <v>2386</v>
      </c>
      <c r="C34" s="2">
        <v>1237.5542800000003</v>
      </c>
      <c r="D34" s="2">
        <v>2553.02</v>
      </c>
    </row>
    <row r="35" spans="1:4" x14ac:dyDescent="0.2">
      <c r="A35" s="5">
        <v>1.8</v>
      </c>
      <c r="B35" s="2">
        <v>2200</v>
      </c>
      <c r="C35" s="2">
        <v>1222.2221999999999</v>
      </c>
      <c r="D35" s="2">
        <v>2354</v>
      </c>
    </row>
    <row r="36" spans="1:4" x14ac:dyDescent="0.2">
      <c r="A36" s="5">
        <v>1.9</v>
      </c>
      <c r="B36" s="2">
        <v>2400</v>
      </c>
      <c r="C36" s="2">
        <v>1263.1578</v>
      </c>
      <c r="D36" s="2">
        <v>2568</v>
      </c>
    </row>
    <row r="37" spans="1:4" x14ac:dyDescent="0.2">
      <c r="A37" s="5">
        <v>1.92</v>
      </c>
      <c r="B37" s="2">
        <v>2400</v>
      </c>
      <c r="C37" s="2">
        <v>1250</v>
      </c>
      <c r="D37" s="2">
        <v>2568</v>
      </c>
    </row>
    <row r="38" spans="1:4" x14ac:dyDescent="0.2">
      <c r="A38" s="5">
        <v>1.98</v>
      </c>
      <c r="B38" s="2">
        <v>2440</v>
      </c>
      <c r="C38" s="2">
        <v>1232.323175</v>
      </c>
      <c r="D38" s="2">
        <v>2610.8000000000002</v>
      </c>
    </row>
    <row r="39" spans="1:4" x14ac:dyDescent="0.2">
      <c r="A39" s="5">
        <v>2.04</v>
      </c>
      <c r="B39" s="2">
        <v>2500</v>
      </c>
      <c r="C39" s="2">
        <v>1225.4901</v>
      </c>
      <c r="D39" s="2">
        <v>2675</v>
      </c>
    </row>
    <row r="40" spans="1:4" x14ac:dyDescent="0.2">
      <c r="A40" s="4" t="s">
        <v>30</v>
      </c>
      <c r="B40" s="2">
        <v>51200</v>
      </c>
      <c r="C40" s="2">
        <v>1000</v>
      </c>
      <c r="D40" s="2">
        <v>54784</v>
      </c>
    </row>
    <row r="41" spans="1:4" x14ac:dyDescent="0.2">
      <c r="A41" s="5">
        <v>51.2</v>
      </c>
      <c r="B41" s="2">
        <v>51200</v>
      </c>
      <c r="C41" s="2">
        <v>1000</v>
      </c>
      <c r="D41" s="2">
        <v>54784</v>
      </c>
    </row>
    <row r="42" spans="1:4" x14ac:dyDescent="0.2">
      <c r="A42" s="4" t="s">
        <v>31</v>
      </c>
      <c r="B42" s="2">
        <v>1560</v>
      </c>
      <c r="C42" s="2">
        <v>1307.76998</v>
      </c>
      <c r="D42" s="2">
        <v>1669.2</v>
      </c>
    </row>
    <row r="43" spans="1:4" x14ac:dyDescent="0.2">
      <c r="A43" s="5">
        <v>1</v>
      </c>
      <c r="B43" s="2">
        <v>1500</v>
      </c>
      <c r="C43" s="2">
        <v>1500</v>
      </c>
      <c r="D43" s="2">
        <v>1605</v>
      </c>
    </row>
    <row r="44" spans="1:4" x14ac:dyDescent="0.2">
      <c r="A44" s="5">
        <v>1.1000000000000001</v>
      </c>
      <c r="B44" s="2">
        <v>1500</v>
      </c>
      <c r="C44" s="2">
        <v>1363.6362999999999</v>
      </c>
      <c r="D44" s="2">
        <v>1605</v>
      </c>
    </row>
    <row r="45" spans="1:4" x14ac:dyDescent="0.2">
      <c r="A45" s="5">
        <v>1.2</v>
      </c>
      <c r="B45" s="2">
        <v>1600</v>
      </c>
      <c r="C45" s="2">
        <v>1333.3333</v>
      </c>
      <c r="D45" s="2">
        <v>1712</v>
      </c>
    </row>
    <row r="46" spans="1:4" x14ac:dyDescent="0.2">
      <c r="A46" s="5">
        <v>1.3</v>
      </c>
      <c r="B46" s="2">
        <v>1600</v>
      </c>
      <c r="C46" s="2">
        <v>1230.7692</v>
      </c>
      <c r="D46" s="2">
        <v>1712</v>
      </c>
    </row>
    <row r="47" spans="1:4" x14ac:dyDescent="0.2">
      <c r="A47" s="5">
        <v>1.44</v>
      </c>
      <c r="B47" s="2">
        <v>1600</v>
      </c>
      <c r="C47" s="2">
        <v>1111.1111000000001</v>
      </c>
      <c r="D47" s="2">
        <v>1712</v>
      </c>
    </row>
    <row r="48" spans="1:4" x14ac:dyDescent="0.2">
      <c r="A48" s="4" t="s">
        <v>8</v>
      </c>
      <c r="B48" s="2">
        <v>15285.714285714286</v>
      </c>
      <c r="C48" s="2">
        <v>1029.8235285714286</v>
      </c>
      <c r="D48" s="2">
        <v>16355.714285714286</v>
      </c>
    </row>
    <row r="49" spans="1:4" x14ac:dyDescent="0.2">
      <c r="A49" s="5">
        <v>14.1</v>
      </c>
      <c r="B49" s="2">
        <v>15000</v>
      </c>
      <c r="C49" s="2">
        <v>1063.8297</v>
      </c>
      <c r="D49" s="2">
        <v>16050</v>
      </c>
    </row>
    <row r="50" spans="1:4" x14ac:dyDescent="0.2">
      <c r="A50" s="5">
        <v>14.19</v>
      </c>
      <c r="B50" s="2">
        <v>15000</v>
      </c>
      <c r="C50" s="2">
        <v>1057.0824</v>
      </c>
      <c r="D50" s="2">
        <v>16050</v>
      </c>
    </row>
    <row r="51" spans="1:4" x14ac:dyDescent="0.2">
      <c r="A51" s="5">
        <v>14.57</v>
      </c>
      <c r="B51" s="2">
        <v>15000</v>
      </c>
      <c r="C51" s="2">
        <v>1029.5126</v>
      </c>
      <c r="D51" s="2">
        <v>16050</v>
      </c>
    </row>
    <row r="52" spans="1:4" x14ac:dyDescent="0.2">
      <c r="A52" s="5">
        <v>14.7</v>
      </c>
      <c r="B52" s="2">
        <v>15000</v>
      </c>
      <c r="C52" s="2">
        <v>1020.4081</v>
      </c>
      <c r="D52" s="2">
        <v>16050</v>
      </c>
    </row>
    <row r="53" spans="1:4" x14ac:dyDescent="0.2">
      <c r="A53" s="5">
        <v>14.96</v>
      </c>
      <c r="B53" s="2">
        <v>15000</v>
      </c>
      <c r="C53" s="2">
        <v>1002.6737000000001</v>
      </c>
      <c r="D53" s="2">
        <v>16050</v>
      </c>
    </row>
    <row r="54" spans="1:4" x14ac:dyDescent="0.2">
      <c r="A54" s="5">
        <v>17.5</v>
      </c>
      <c r="B54" s="2">
        <v>17000</v>
      </c>
      <c r="C54" s="2">
        <v>971.42849999999999</v>
      </c>
      <c r="D54" s="2">
        <v>18190</v>
      </c>
    </row>
    <row r="55" spans="1:4" x14ac:dyDescent="0.2">
      <c r="A55" s="4" t="s">
        <v>9</v>
      </c>
      <c r="B55" s="2">
        <v>8183.333333333333</v>
      </c>
      <c r="C55" s="2">
        <v>1018.8658833333334</v>
      </c>
      <c r="D55" s="2">
        <v>8756.1666666666661</v>
      </c>
    </row>
    <row r="56" spans="1:4" x14ac:dyDescent="0.2">
      <c r="A56" s="5">
        <v>5.04</v>
      </c>
      <c r="B56" s="2">
        <v>5200</v>
      </c>
      <c r="C56" s="2">
        <v>1031.7460000000001</v>
      </c>
      <c r="D56" s="2">
        <v>5564</v>
      </c>
    </row>
    <row r="57" spans="1:4" x14ac:dyDescent="0.2">
      <c r="A57" s="5">
        <v>5.75</v>
      </c>
      <c r="B57" s="2">
        <v>6000</v>
      </c>
      <c r="C57" s="2">
        <v>1043.4782</v>
      </c>
      <c r="D57" s="2">
        <v>6420</v>
      </c>
    </row>
    <row r="58" spans="1:4" x14ac:dyDescent="0.2">
      <c r="A58" s="5">
        <v>7.29</v>
      </c>
      <c r="B58" s="2">
        <v>7400</v>
      </c>
      <c r="C58" s="2">
        <v>1015.0891</v>
      </c>
      <c r="D58" s="2">
        <v>7918</v>
      </c>
    </row>
    <row r="59" spans="1:4" x14ac:dyDescent="0.2">
      <c r="A59" s="5">
        <v>9.8000000000000007</v>
      </c>
      <c r="B59" s="2">
        <v>9900</v>
      </c>
      <c r="C59" s="2">
        <v>1010.204</v>
      </c>
      <c r="D59" s="2">
        <v>10593</v>
      </c>
    </row>
    <row r="60" spans="1:4" x14ac:dyDescent="0.2">
      <c r="A60" s="5">
        <v>10.15</v>
      </c>
      <c r="B60" s="2">
        <v>10200</v>
      </c>
      <c r="C60" s="2">
        <v>1004.9261</v>
      </c>
      <c r="D60" s="2">
        <v>10914</v>
      </c>
    </row>
    <row r="61" spans="1:4" x14ac:dyDescent="0.2">
      <c r="A61" s="5">
        <v>10.32</v>
      </c>
      <c r="B61" s="2">
        <v>10400</v>
      </c>
      <c r="C61" s="2">
        <v>1007.7519</v>
      </c>
      <c r="D61" s="2">
        <v>11128</v>
      </c>
    </row>
    <row r="62" spans="1:4" x14ac:dyDescent="0.2">
      <c r="A62" s="4" t="s">
        <v>10</v>
      </c>
      <c r="B62" s="2">
        <v>3100</v>
      </c>
      <c r="C62" s="2">
        <v>1076.3887999999999</v>
      </c>
      <c r="D62" s="2">
        <v>3317</v>
      </c>
    </row>
    <row r="63" spans="1:4" x14ac:dyDescent="0.2">
      <c r="A63" s="5">
        <v>2.88</v>
      </c>
      <c r="B63" s="2">
        <v>3100</v>
      </c>
      <c r="C63" s="2">
        <v>1076.3887999999999</v>
      </c>
      <c r="D63" s="2">
        <v>3317</v>
      </c>
    </row>
    <row r="64" spans="1:4" x14ac:dyDescent="0.2">
      <c r="A64" s="4" t="s">
        <v>11</v>
      </c>
      <c r="B64" s="2">
        <v>24300</v>
      </c>
      <c r="C64" s="2">
        <v>928.21389999999997</v>
      </c>
      <c r="D64" s="2">
        <v>26001</v>
      </c>
    </row>
    <row r="65" spans="1:4" x14ac:dyDescent="0.2">
      <c r="A65" s="5">
        <v>25.9</v>
      </c>
      <c r="B65" s="2">
        <v>24100</v>
      </c>
      <c r="C65" s="2">
        <v>930.50189999999998</v>
      </c>
      <c r="D65" s="2">
        <v>25787</v>
      </c>
    </row>
    <row r="66" spans="1:4" x14ac:dyDescent="0.2">
      <c r="A66" s="5">
        <v>26.46</v>
      </c>
      <c r="B66" s="2">
        <v>24500</v>
      </c>
      <c r="C66" s="2">
        <v>925.92589999999996</v>
      </c>
      <c r="D66" s="2">
        <v>26215</v>
      </c>
    </row>
    <row r="67" spans="1:4" x14ac:dyDescent="0.2">
      <c r="A67" s="4" t="s">
        <v>12</v>
      </c>
      <c r="B67" s="2">
        <v>2100</v>
      </c>
      <c r="C67" s="2">
        <v>1098.254175</v>
      </c>
      <c r="D67" s="2">
        <v>2247</v>
      </c>
    </row>
    <row r="68" spans="1:4" x14ac:dyDescent="0.2">
      <c r="A68" s="5">
        <v>1.8</v>
      </c>
      <c r="B68" s="2">
        <v>2000</v>
      </c>
      <c r="C68" s="2">
        <v>1111.1111000000001</v>
      </c>
      <c r="D68" s="2">
        <v>2140</v>
      </c>
    </row>
    <row r="69" spans="1:4" x14ac:dyDescent="0.2">
      <c r="A69" s="5">
        <v>1.9</v>
      </c>
      <c r="B69" s="2">
        <v>2100</v>
      </c>
      <c r="C69" s="2">
        <v>1105.2630999999999</v>
      </c>
      <c r="D69" s="2">
        <v>2247</v>
      </c>
    </row>
    <row r="70" spans="1:4" x14ac:dyDescent="0.2">
      <c r="A70" s="5">
        <v>1.98</v>
      </c>
      <c r="B70" s="2">
        <v>2200</v>
      </c>
      <c r="C70" s="2">
        <v>1111.1111000000001</v>
      </c>
      <c r="D70" s="2">
        <v>2354</v>
      </c>
    </row>
    <row r="71" spans="1:4" x14ac:dyDescent="0.2">
      <c r="A71" s="5">
        <v>2.04</v>
      </c>
      <c r="B71" s="2">
        <v>2200</v>
      </c>
      <c r="C71" s="2">
        <v>1078.4313</v>
      </c>
      <c r="D71" s="2">
        <v>2354</v>
      </c>
    </row>
    <row r="72" spans="1:4" x14ac:dyDescent="0.2">
      <c r="A72" s="5">
        <v>2.09</v>
      </c>
      <c r="B72" s="2">
        <v>2200</v>
      </c>
      <c r="C72" s="2">
        <v>1052.6315</v>
      </c>
      <c r="D72" s="2">
        <v>2354</v>
      </c>
    </row>
    <row r="73" spans="1:4" x14ac:dyDescent="0.2">
      <c r="A73" s="4" t="s">
        <v>13</v>
      </c>
      <c r="B73" s="2">
        <v>43900</v>
      </c>
      <c r="C73" s="2">
        <v>857.42179999999996</v>
      </c>
      <c r="D73" s="2">
        <v>46973</v>
      </c>
    </row>
    <row r="74" spans="1:4" x14ac:dyDescent="0.2">
      <c r="A74" s="5">
        <v>51.2</v>
      </c>
      <c r="B74" s="2">
        <v>43900</v>
      </c>
      <c r="C74" s="2">
        <v>857.42179999999996</v>
      </c>
      <c r="D74" s="2">
        <v>46973</v>
      </c>
    </row>
    <row r="75" spans="1:4" x14ac:dyDescent="0.2">
      <c r="A75" s="4" t="s">
        <v>14</v>
      </c>
      <c r="B75" s="2">
        <v>1383.3333333333333</v>
      </c>
      <c r="C75" s="2">
        <v>1195.25595</v>
      </c>
      <c r="D75" s="2">
        <v>1480.1666666666667</v>
      </c>
    </row>
    <row r="76" spans="1:4" x14ac:dyDescent="0.2">
      <c r="A76" s="5">
        <v>0.99</v>
      </c>
      <c r="B76" s="2">
        <v>1300</v>
      </c>
      <c r="C76" s="2">
        <v>1313.1313</v>
      </c>
      <c r="D76" s="2">
        <v>1391</v>
      </c>
    </row>
    <row r="77" spans="1:4" x14ac:dyDescent="0.2">
      <c r="A77" s="5">
        <v>1</v>
      </c>
      <c r="B77" s="2">
        <v>1300</v>
      </c>
      <c r="C77" s="2">
        <v>1300</v>
      </c>
      <c r="D77" s="2">
        <v>1391</v>
      </c>
    </row>
    <row r="78" spans="1:4" x14ac:dyDescent="0.2">
      <c r="A78" s="5">
        <v>1.08</v>
      </c>
      <c r="B78" s="2">
        <v>1300</v>
      </c>
      <c r="C78" s="2">
        <v>1203.7037</v>
      </c>
      <c r="D78" s="2">
        <v>1391</v>
      </c>
    </row>
    <row r="79" spans="1:4" x14ac:dyDescent="0.2">
      <c r="A79" s="5">
        <v>1.2</v>
      </c>
      <c r="B79" s="2">
        <v>1400</v>
      </c>
      <c r="C79" s="2">
        <v>1166.6666</v>
      </c>
      <c r="D79" s="2">
        <v>1498</v>
      </c>
    </row>
    <row r="80" spans="1:4" x14ac:dyDescent="0.2">
      <c r="A80" s="5">
        <v>1.3</v>
      </c>
      <c r="B80" s="2">
        <v>1400</v>
      </c>
      <c r="C80" s="2">
        <v>1076.923</v>
      </c>
      <c r="D80" s="2">
        <v>1498</v>
      </c>
    </row>
    <row r="81" spans="1:4" x14ac:dyDescent="0.2">
      <c r="A81" s="5">
        <v>1.44</v>
      </c>
      <c r="B81" s="2">
        <v>1600</v>
      </c>
      <c r="C81" s="2">
        <v>1111.1111000000001</v>
      </c>
      <c r="D81" s="2">
        <v>1712</v>
      </c>
    </row>
    <row r="82" spans="1:4" x14ac:dyDescent="0.2">
      <c r="A82" s="4" t="s">
        <v>15</v>
      </c>
      <c r="B82" s="2">
        <v>9218.5155072463785</v>
      </c>
      <c r="C82" s="2">
        <v>1137.2556637681157</v>
      </c>
      <c r="D82" s="2">
        <v>9863.8115927536219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156-84D9-43C2-9C32-F88550BB7AFC}">
  <dimension ref="A1:D62"/>
  <sheetViews>
    <sheetView workbookViewId="0">
      <pane ySplit="3" topLeftCell="A4" activePane="bottomLeft" state="frozen"/>
      <selection pane="bottomLeft" activeCell="B12" sqref="B12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1081.5</v>
      </c>
      <c r="C4" s="2">
        <v>1060.2941000000001</v>
      </c>
      <c r="D4" s="2">
        <v>1157.2049999999999</v>
      </c>
    </row>
    <row r="5" spans="1:4" x14ac:dyDescent="0.2">
      <c r="A5" s="5">
        <v>1.02</v>
      </c>
      <c r="B5" s="2">
        <v>1081.5</v>
      </c>
      <c r="C5" s="2">
        <v>1060.2941000000001</v>
      </c>
      <c r="D5" s="2">
        <v>1157.2049999999999</v>
      </c>
    </row>
    <row r="6" spans="1:4" x14ac:dyDescent="0.2">
      <c r="A6" s="4" t="s">
        <v>18</v>
      </c>
      <c r="B6" s="2">
        <v>824.4849999999999</v>
      </c>
      <c r="C6" s="2">
        <v>808.31854999999996</v>
      </c>
      <c r="D6" s="2">
        <v>882.19894999999997</v>
      </c>
    </row>
    <row r="7" spans="1:4" x14ac:dyDescent="0.2">
      <c r="A7" s="5">
        <v>1.02</v>
      </c>
      <c r="B7" s="2">
        <v>824.4849999999999</v>
      </c>
      <c r="C7" s="2">
        <v>808.31854999999996</v>
      </c>
      <c r="D7" s="2">
        <v>882.19894999999997</v>
      </c>
    </row>
    <row r="8" spans="1:4" x14ac:dyDescent="0.2">
      <c r="A8" s="4" t="s">
        <v>19</v>
      </c>
      <c r="B8" s="2">
        <v>863.42666666666662</v>
      </c>
      <c r="C8" s="2">
        <v>1312.3725999999999</v>
      </c>
      <c r="D8" s="2">
        <v>923.86653333333334</v>
      </c>
    </row>
    <row r="9" spans="1:4" x14ac:dyDescent="0.2">
      <c r="A9" s="5">
        <v>0.6</v>
      </c>
      <c r="B9" s="2">
        <v>801.12</v>
      </c>
      <c r="C9" s="2">
        <v>1335.1999499999999</v>
      </c>
      <c r="D9" s="2">
        <v>857.19839999999999</v>
      </c>
    </row>
    <row r="10" spans="1:4" x14ac:dyDescent="0.2">
      <c r="A10" s="5">
        <v>0.78</v>
      </c>
      <c r="B10" s="2">
        <v>988.04</v>
      </c>
      <c r="C10" s="2">
        <v>1266.7179000000001</v>
      </c>
      <c r="D10" s="2">
        <v>1057.2028</v>
      </c>
    </row>
    <row r="11" spans="1:4" x14ac:dyDescent="0.2">
      <c r="A11" s="4" t="s">
        <v>20</v>
      </c>
      <c r="B11" s="2">
        <v>847.85</v>
      </c>
      <c r="C11" s="2">
        <v>1241.0487000000001</v>
      </c>
      <c r="D11" s="2">
        <v>907.19949999999994</v>
      </c>
    </row>
    <row r="12" spans="1:4" x14ac:dyDescent="0.2">
      <c r="A12" s="5">
        <v>0.6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0.78</v>
      </c>
      <c r="B13" s="2">
        <v>894.58</v>
      </c>
      <c r="C13" s="2">
        <v>1146.8974000000001</v>
      </c>
      <c r="D13" s="2">
        <v>957.20060000000001</v>
      </c>
    </row>
    <row r="14" spans="1:4" x14ac:dyDescent="0.2">
      <c r="A14" s="4" t="s">
        <v>7</v>
      </c>
      <c r="B14" s="2">
        <v>0</v>
      </c>
      <c r="C14" s="2">
        <v>0</v>
      </c>
      <c r="D14" s="2">
        <v>0</v>
      </c>
    </row>
    <row r="15" spans="1:4" x14ac:dyDescent="0.2">
      <c r="A15" s="5">
        <v>0</v>
      </c>
      <c r="B15" s="2">
        <v>0</v>
      </c>
      <c r="C15" s="2">
        <v>0</v>
      </c>
      <c r="D15" s="2">
        <v>0</v>
      </c>
    </row>
    <row r="16" spans="1:4" x14ac:dyDescent="0.2">
      <c r="A16" s="4" t="s">
        <v>48</v>
      </c>
      <c r="B16" s="2">
        <v>93.46</v>
      </c>
      <c r="C16" s="2">
        <v>0</v>
      </c>
      <c r="D16" s="2">
        <v>100.0022</v>
      </c>
    </row>
    <row r="17" spans="1:4" x14ac:dyDescent="0.2">
      <c r="A17" s="5">
        <v>0</v>
      </c>
      <c r="B17" s="2">
        <v>93.46</v>
      </c>
      <c r="C17" s="2">
        <v>0</v>
      </c>
      <c r="D17" s="2">
        <v>100.0022</v>
      </c>
    </row>
    <row r="18" spans="1:4" x14ac:dyDescent="0.2">
      <c r="A18" s="4" t="s">
        <v>49</v>
      </c>
      <c r="B18" s="2">
        <v>46.73</v>
      </c>
      <c r="C18" s="2">
        <v>0</v>
      </c>
      <c r="D18" s="2">
        <v>50.001100000000001</v>
      </c>
    </row>
    <row r="19" spans="1:4" x14ac:dyDescent="0.2">
      <c r="A19" s="5">
        <v>0</v>
      </c>
      <c r="B19" s="2">
        <v>46.73</v>
      </c>
      <c r="C19" s="2">
        <v>0</v>
      </c>
      <c r="D19" s="2">
        <v>50.001100000000001</v>
      </c>
    </row>
    <row r="20" spans="1:4" x14ac:dyDescent="0.2">
      <c r="A20" s="4" t="s">
        <v>50</v>
      </c>
      <c r="B20" s="2">
        <v>2</v>
      </c>
      <c r="C20" s="2">
        <v>2</v>
      </c>
      <c r="D20" s="2">
        <v>2.14</v>
      </c>
    </row>
    <row r="21" spans="1:4" x14ac:dyDescent="0.2">
      <c r="A21" s="5">
        <v>1</v>
      </c>
      <c r="B21" s="2">
        <v>2</v>
      </c>
      <c r="C21" s="2">
        <v>2</v>
      </c>
      <c r="D21" s="2">
        <v>2.14</v>
      </c>
    </row>
    <row r="22" spans="1:4" x14ac:dyDescent="0.2">
      <c r="A22" s="4" t="s">
        <v>25</v>
      </c>
      <c r="B22" s="2">
        <v>15716.666666666666</v>
      </c>
      <c r="C22" s="2">
        <v>1128.2532333333331</v>
      </c>
      <c r="D22" s="2">
        <v>16816.833333333332</v>
      </c>
    </row>
    <row r="23" spans="1:4" x14ac:dyDescent="0.2">
      <c r="A23" s="5">
        <v>11.16</v>
      </c>
      <c r="B23" s="2">
        <v>12900</v>
      </c>
      <c r="C23" s="2">
        <v>1155.9139</v>
      </c>
      <c r="D23" s="2">
        <v>13803</v>
      </c>
    </row>
    <row r="24" spans="1:4" x14ac:dyDescent="0.2">
      <c r="A24" s="5">
        <v>11.61</v>
      </c>
      <c r="B24" s="2">
        <v>13300</v>
      </c>
      <c r="C24" s="2">
        <v>1145.5641000000001</v>
      </c>
      <c r="D24" s="2">
        <v>14231</v>
      </c>
    </row>
    <row r="25" spans="1:4" x14ac:dyDescent="0.2">
      <c r="A25" s="5">
        <v>13.6</v>
      </c>
      <c r="B25" s="2">
        <v>15200</v>
      </c>
      <c r="C25" s="2">
        <v>1117.6469999999999</v>
      </c>
      <c r="D25" s="2">
        <v>16264</v>
      </c>
    </row>
    <row r="26" spans="1:4" x14ac:dyDescent="0.2">
      <c r="A26" s="5">
        <v>14.06</v>
      </c>
      <c r="B26" s="2">
        <v>15700</v>
      </c>
      <c r="C26" s="2">
        <v>1116.6429000000001</v>
      </c>
      <c r="D26" s="2">
        <v>16799</v>
      </c>
    </row>
    <row r="27" spans="1:4" x14ac:dyDescent="0.2">
      <c r="A27" s="5">
        <v>15.54</v>
      </c>
      <c r="B27" s="2">
        <v>17300</v>
      </c>
      <c r="C27" s="2">
        <v>1113.2561000000001</v>
      </c>
      <c r="D27" s="2">
        <v>18511</v>
      </c>
    </row>
    <row r="28" spans="1:4" x14ac:dyDescent="0.2">
      <c r="A28" s="5">
        <v>17.760000000000002</v>
      </c>
      <c r="B28" s="2">
        <v>19900</v>
      </c>
      <c r="C28" s="2">
        <v>1120.4954</v>
      </c>
      <c r="D28" s="2">
        <v>21293</v>
      </c>
    </row>
    <row r="29" spans="1:4" x14ac:dyDescent="0.2">
      <c r="A29" s="4" t="s">
        <v>26</v>
      </c>
      <c r="B29" s="2">
        <v>9650</v>
      </c>
      <c r="C29" s="2">
        <v>1198.8301666666666</v>
      </c>
      <c r="D29" s="2">
        <v>10325.5</v>
      </c>
    </row>
    <row r="30" spans="1:4" x14ac:dyDescent="0.2">
      <c r="A30" s="5">
        <v>5</v>
      </c>
      <c r="B30" s="2">
        <v>6400</v>
      </c>
      <c r="C30" s="2">
        <v>1280</v>
      </c>
      <c r="D30" s="2">
        <v>6848</v>
      </c>
    </row>
    <row r="31" spans="1:4" x14ac:dyDescent="0.2">
      <c r="A31" s="5">
        <v>5.46</v>
      </c>
      <c r="B31" s="2">
        <v>6600</v>
      </c>
      <c r="C31" s="2">
        <v>1208.7911999999999</v>
      </c>
      <c r="D31" s="2">
        <v>7062</v>
      </c>
    </row>
    <row r="32" spans="1:4" x14ac:dyDescent="0.2">
      <c r="A32" s="5">
        <v>8</v>
      </c>
      <c r="B32" s="2">
        <v>9600</v>
      </c>
      <c r="C32" s="2">
        <v>1200</v>
      </c>
      <c r="D32" s="2">
        <v>10272</v>
      </c>
    </row>
    <row r="33" spans="1:4" x14ac:dyDescent="0.2">
      <c r="A33" s="5">
        <v>9.7200000000000006</v>
      </c>
      <c r="B33" s="2">
        <v>11500</v>
      </c>
      <c r="C33" s="2">
        <v>1183.1275000000001</v>
      </c>
      <c r="D33" s="2">
        <v>12305</v>
      </c>
    </row>
    <row r="34" spans="1:4" x14ac:dyDescent="0.2">
      <c r="A34" s="5">
        <v>10.15</v>
      </c>
      <c r="B34" s="2">
        <v>11900</v>
      </c>
      <c r="C34" s="2">
        <v>1172.4137000000001</v>
      </c>
      <c r="D34" s="2">
        <v>12733</v>
      </c>
    </row>
    <row r="35" spans="1:4" x14ac:dyDescent="0.2">
      <c r="A35" s="5">
        <v>10.36</v>
      </c>
      <c r="B35" s="2">
        <v>11900</v>
      </c>
      <c r="C35" s="2">
        <v>1148.6486</v>
      </c>
      <c r="D35" s="2">
        <v>12733</v>
      </c>
    </row>
    <row r="36" spans="1:4" x14ac:dyDescent="0.2">
      <c r="A36" s="4" t="s">
        <v>27</v>
      </c>
      <c r="B36" s="2">
        <v>4955.5555555555557</v>
      </c>
      <c r="C36" s="2">
        <v>1393.5434444444445</v>
      </c>
      <c r="D36" s="2">
        <v>5302.4444444444443</v>
      </c>
    </row>
    <row r="37" spans="1:4" x14ac:dyDescent="0.2">
      <c r="A37" s="5">
        <v>2.52</v>
      </c>
      <c r="B37" s="2">
        <v>3800</v>
      </c>
      <c r="C37" s="2">
        <v>1507.9365</v>
      </c>
      <c r="D37" s="2">
        <v>4066</v>
      </c>
    </row>
    <row r="38" spans="1:4" x14ac:dyDescent="0.2">
      <c r="A38" s="5">
        <v>2.7</v>
      </c>
      <c r="B38" s="2">
        <v>4100</v>
      </c>
      <c r="C38" s="2">
        <v>1518.5184999999999</v>
      </c>
      <c r="D38" s="2">
        <v>4387</v>
      </c>
    </row>
    <row r="39" spans="1:4" x14ac:dyDescent="0.2">
      <c r="A39" s="5">
        <v>2.94</v>
      </c>
      <c r="B39" s="2">
        <v>4300</v>
      </c>
      <c r="C39" s="2">
        <v>1462.585</v>
      </c>
      <c r="D39" s="2">
        <v>4601</v>
      </c>
    </row>
    <row r="40" spans="1:4" x14ac:dyDescent="0.2">
      <c r="A40" s="5">
        <v>3</v>
      </c>
      <c r="B40" s="2">
        <v>4300</v>
      </c>
      <c r="C40" s="2">
        <v>1433.3333</v>
      </c>
      <c r="D40" s="2">
        <v>4601</v>
      </c>
    </row>
    <row r="41" spans="1:4" x14ac:dyDescent="0.2">
      <c r="A41" s="5">
        <v>3.25</v>
      </c>
      <c r="B41" s="2">
        <v>4500</v>
      </c>
      <c r="C41" s="2">
        <v>1384.6152999999999</v>
      </c>
      <c r="D41" s="2">
        <v>4815</v>
      </c>
    </row>
    <row r="42" spans="1:4" x14ac:dyDescent="0.2">
      <c r="A42" s="5">
        <v>4</v>
      </c>
      <c r="B42" s="2">
        <v>5300</v>
      </c>
      <c r="C42" s="2">
        <v>1325</v>
      </c>
      <c r="D42" s="2">
        <v>5671</v>
      </c>
    </row>
    <row r="43" spans="1:4" x14ac:dyDescent="0.2">
      <c r="A43" s="5">
        <v>4.62</v>
      </c>
      <c r="B43" s="2">
        <v>6000</v>
      </c>
      <c r="C43" s="2">
        <v>1298.7012</v>
      </c>
      <c r="D43" s="2">
        <v>6420</v>
      </c>
    </row>
    <row r="44" spans="1:4" x14ac:dyDescent="0.2">
      <c r="A44" s="5">
        <v>4.8</v>
      </c>
      <c r="B44" s="2">
        <v>6300</v>
      </c>
      <c r="C44" s="2">
        <v>1312.5</v>
      </c>
      <c r="D44" s="2">
        <v>6741</v>
      </c>
    </row>
    <row r="45" spans="1:4" x14ac:dyDescent="0.2">
      <c r="A45" s="4" t="s">
        <v>28</v>
      </c>
      <c r="B45" s="2">
        <v>26966.666666666668</v>
      </c>
      <c r="C45" s="2">
        <v>1069.5461333333333</v>
      </c>
      <c r="D45" s="2">
        <v>28854.333333333332</v>
      </c>
    </row>
    <row r="46" spans="1:4" x14ac:dyDescent="0.2">
      <c r="A46" s="5">
        <v>24.96</v>
      </c>
      <c r="B46" s="2">
        <v>26800</v>
      </c>
      <c r="C46" s="2">
        <v>1073.7179000000001</v>
      </c>
      <c r="D46" s="2">
        <v>28676</v>
      </c>
    </row>
    <row r="47" spans="1:4" x14ac:dyDescent="0.2">
      <c r="A47" s="5">
        <v>25.2</v>
      </c>
      <c r="B47" s="2">
        <v>26800</v>
      </c>
      <c r="C47" s="2">
        <v>1063.492</v>
      </c>
      <c r="D47" s="2">
        <v>28676</v>
      </c>
    </row>
    <row r="48" spans="1:4" x14ac:dyDescent="0.2">
      <c r="A48" s="5">
        <v>25.48</v>
      </c>
      <c r="B48" s="2">
        <v>27300</v>
      </c>
      <c r="C48" s="2">
        <v>1071.4285</v>
      </c>
      <c r="D48" s="2">
        <v>29211</v>
      </c>
    </row>
    <row r="49" spans="1:4" x14ac:dyDescent="0.2">
      <c r="A49" s="4" t="s">
        <v>29</v>
      </c>
      <c r="B49" s="2">
        <v>3087.0714285714284</v>
      </c>
      <c r="C49" s="2">
        <v>1541.0422785714286</v>
      </c>
      <c r="D49" s="2">
        <v>3303.1664285714287</v>
      </c>
    </row>
    <row r="50" spans="1:4" x14ac:dyDescent="0.2">
      <c r="A50" s="5">
        <v>1.5</v>
      </c>
      <c r="B50" s="2">
        <v>2400</v>
      </c>
      <c r="C50" s="2">
        <v>1600</v>
      </c>
      <c r="D50" s="2">
        <v>2568</v>
      </c>
    </row>
    <row r="51" spans="1:4" x14ac:dyDescent="0.2">
      <c r="A51" s="5">
        <v>1.8</v>
      </c>
      <c r="B51" s="2">
        <v>3000</v>
      </c>
      <c r="C51" s="2">
        <v>1666.6666</v>
      </c>
      <c r="D51" s="2">
        <v>3210</v>
      </c>
    </row>
    <row r="52" spans="1:4" x14ac:dyDescent="0.2">
      <c r="A52" s="5">
        <v>1.9</v>
      </c>
      <c r="B52" s="2">
        <v>3100</v>
      </c>
      <c r="C52" s="2">
        <v>1631.5789</v>
      </c>
      <c r="D52" s="2">
        <v>3317</v>
      </c>
    </row>
    <row r="53" spans="1:4" x14ac:dyDescent="0.2">
      <c r="A53" s="5">
        <v>1.98</v>
      </c>
      <c r="B53" s="2">
        <v>3100</v>
      </c>
      <c r="C53" s="2">
        <v>1565.6565000000001</v>
      </c>
      <c r="D53" s="2">
        <v>3317</v>
      </c>
    </row>
    <row r="54" spans="1:4" x14ac:dyDescent="0.2">
      <c r="A54" s="5">
        <v>2</v>
      </c>
      <c r="B54" s="2">
        <v>3100</v>
      </c>
      <c r="C54" s="2">
        <v>1550</v>
      </c>
      <c r="D54" s="2">
        <v>3317</v>
      </c>
    </row>
    <row r="55" spans="1:4" x14ac:dyDescent="0.2">
      <c r="A55" s="5">
        <v>2.1</v>
      </c>
      <c r="B55" s="2">
        <v>2950</v>
      </c>
      <c r="C55" s="2">
        <v>1404.7618499999999</v>
      </c>
      <c r="D55" s="2">
        <v>3156.5</v>
      </c>
    </row>
    <row r="56" spans="1:4" x14ac:dyDescent="0.2">
      <c r="A56" s="5">
        <v>2.16</v>
      </c>
      <c r="B56" s="2">
        <v>3400</v>
      </c>
      <c r="C56" s="2">
        <v>1574.0740000000001</v>
      </c>
      <c r="D56" s="2">
        <v>3638</v>
      </c>
    </row>
    <row r="57" spans="1:4" x14ac:dyDescent="0.2">
      <c r="A57" s="5">
        <v>2.25</v>
      </c>
      <c r="B57" s="2">
        <v>3309.5</v>
      </c>
      <c r="C57" s="2">
        <v>1470.88885</v>
      </c>
      <c r="D57" s="2">
        <v>3541.165</v>
      </c>
    </row>
    <row r="58" spans="1:4" x14ac:dyDescent="0.2">
      <c r="A58" s="5">
        <v>2.34</v>
      </c>
      <c r="B58" s="2">
        <v>3400</v>
      </c>
      <c r="C58" s="2">
        <v>1452.9914000000001</v>
      </c>
      <c r="D58" s="2">
        <v>3638</v>
      </c>
    </row>
    <row r="59" spans="1:4" x14ac:dyDescent="0.2">
      <c r="A59" s="4" t="s">
        <v>31</v>
      </c>
      <c r="B59" s="2">
        <v>1178.8775000000001</v>
      </c>
      <c r="C59" s="2">
        <v>1186.744925</v>
      </c>
      <c r="D59" s="2">
        <v>1261.398925</v>
      </c>
    </row>
    <row r="60" spans="1:4" x14ac:dyDescent="0.2">
      <c r="A60" s="5">
        <v>0.99</v>
      </c>
      <c r="B60" s="2">
        <v>1038.5033333333333</v>
      </c>
      <c r="C60" s="2">
        <v>1048.9932333333334</v>
      </c>
      <c r="D60" s="2">
        <v>1111.1985666666667</v>
      </c>
    </row>
    <row r="61" spans="1:4" x14ac:dyDescent="0.2">
      <c r="A61" s="5">
        <v>1</v>
      </c>
      <c r="B61" s="2">
        <v>1600</v>
      </c>
      <c r="C61" s="2">
        <v>1600</v>
      </c>
      <c r="D61" s="2">
        <v>1712</v>
      </c>
    </row>
    <row r="62" spans="1:4" x14ac:dyDescent="0.2">
      <c r="A62" s="4" t="s">
        <v>15</v>
      </c>
      <c r="B62" s="2">
        <v>6050.8209090909095</v>
      </c>
      <c r="C62" s="2">
        <v>1184.2681418181817</v>
      </c>
      <c r="D62" s="2">
        <v>6474.378372727273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EFE-07B5-5946-AD3F-3E851564E6D4}">
  <dimension ref="A1:Q22"/>
  <sheetViews>
    <sheetView showGridLines="0" zoomScaleNormal="100" workbookViewId="0">
      <selection activeCell="B16" sqref="B16"/>
    </sheetView>
  </sheetViews>
  <sheetFormatPr baseColWidth="10" defaultColWidth="10.83203125" defaultRowHeight="15" x14ac:dyDescent="0.2"/>
  <cols>
    <col min="1" max="2" width="10.83203125" style="15"/>
    <col min="3" max="3" width="15.5" style="15" bestFit="1" customWidth="1"/>
    <col min="4" max="4" width="10.83203125" style="81"/>
    <col min="5" max="15" width="10.83203125" style="68"/>
    <col min="16" max="16" width="10.83203125" style="81"/>
    <col min="17" max="16384" width="10.83203125" style="15"/>
  </cols>
  <sheetData>
    <row r="1" spans="1:17" x14ac:dyDescent="0.2">
      <c r="E1" s="15"/>
      <c r="G1" s="70" t="s">
        <v>51</v>
      </c>
      <c r="H1" s="71" t="s">
        <v>80</v>
      </c>
      <c r="I1" s="70" t="s">
        <v>81</v>
      </c>
      <c r="J1" s="71" t="s">
        <v>82</v>
      </c>
      <c r="K1" s="70" t="s">
        <v>83</v>
      </c>
      <c r="L1" s="70" t="s">
        <v>84</v>
      </c>
      <c r="M1" s="71" t="s">
        <v>86</v>
      </c>
      <c r="N1" s="72" t="s">
        <v>85</v>
      </c>
      <c r="O1" s="73" t="s">
        <v>87</v>
      </c>
    </row>
    <row r="2" spans="1:17" x14ac:dyDescent="0.2">
      <c r="A2" s="35" t="s">
        <v>117</v>
      </c>
      <c r="B2" s="12"/>
      <c r="C2" s="13"/>
      <c r="D2" s="86"/>
      <c r="E2" s="69" t="s">
        <v>67</v>
      </c>
      <c r="F2" s="74"/>
      <c r="G2" s="76" t="s">
        <v>75</v>
      </c>
      <c r="H2" s="76" t="s">
        <v>75</v>
      </c>
      <c r="I2" s="76" t="s">
        <v>75</v>
      </c>
      <c r="J2" s="76" t="s">
        <v>75</v>
      </c>
      <c r="K2" s="76" t="s">
        <v>75</v>
      </c>
      <c r="L2" s="76" t="s">
        <v>75</v>
      </c>
      <c r="M2" s="76" t="s">
        <v>75</v>
      </c>
      <c r="N2" s="76" t="s">
        <v>75</v>
      </c>
      <c r="O2" s="76" t="s">
        <v>75</v>
      </c>
      <c r="P2" s="83" t="s">
        <v>112</v>
      </c>
    </row>
    <row r="3" spans="1:17" s="23" customFormat="1" x14ac:dyDescent="0.2">
      <c r="A3" s="67" t="s">
        <v>58</v>
      </c>
      <c r="B3" s="66" t="s">
        <v>59</v>
      </c>
      <c r="C3" s="65" t="s">
        <v>116</v>
      </c>
      <c r="D3" s="85" t="s">
        <v>112</v>
      </c>
      <c r="E3" s="77" t="s">
        <v>120</v>
      </c>
      <c r="F3" s="75" t="s">
        <v>88</v>
      </c>
      <c r="G3" s="78">
        <f>GETPIVOTDATA("Average of StandardRate",SKT!$A$3,"Type","Locker non air M upper","Area",0.6)</f>
        <v>567.48</v>
      </c>
      <c r="H3" s="78"/>
      <c r="I3" s="78">
        <f>GETPIVOTDATA("Average of StandardRate",RAM!$A$3,"Type","Locker non air L upper","Area",0.9)</f>
        <v>474.02</v>
      </c>
      <c r="J3" s="78"/>
      <c r="K3" s="78"/>
      <c r="L3" s="78">
        <f>GETPIVOTDATA("Average of StandardRate",PTG!$A$3,"Type","Locker non air S lower","Area",0.12)</f>
        <v>495</v>
      </c>
      <c r="M3" s="78"/>
      <c r="N3" s="78">
        <f>GETPIVOTDATA("Average of StandardRate",BGS!$A$3,"Type","Locker non air M lower","Area",0.6)</f>
        <v>707.66</v>
      </c>
      <c r="O3" s="78"/>
      <c r="P3" s="84">
        <f>SUM(G3:O3)/COUNT(G3:O3)/B4</f>
        <v>1246.7555555555555</v>
      </c>
      <c r="Q3" s="64">
        <f>P3/D4-1</f>
        <v>-1.5719298245614133E-2</v>
      </c>
    </row>
    <row r="4" spans="1:17" ht="16" customHeight="1" x14ac:dyDescent="0.2">
      <c r="A4" s="24" t="s">
        <v>52</v>
      </c>
      <c r="B4" s="25">
        <v>0.45</v>
      </c>
      <c r="C4" s="26">
        <v>570</v>
      </c>
      <c r="D4" s="87">
        <f>IFERROR(C4/B4, "")</f>
        <v>1266.6666666666667</v>
      </c>
      <c r="E4" s="77" t="s">
        <v>118</v>
      </c>
      <c r="F4" s="75" t="s">
        <v>119</v>
      </c>
      <c r="G4" s="79"/>
      <c r="H4" s="79"/>
      <c r="I4" s="79"/>
      <c r="J4" s="79"/>
      <c r="K4" s="79"/>
      <c r="L4" s="79"/>
      <c r="M4" s="79"/>
      <c r="N4" s="79"/>
      <c r="O4" s="79"/>
      <c r="P4" s="84" t="e">
        <f t="shared" ref="P4:P11" si="0">SUM(G4:O4)/COUNT(G4:O4)/B4</f>
        <v>#DIV/0!</v>
      </c>
      <c r="Q4" s="64" t="e">
        <f t="shared" ref="Q4:Q11" si="1">P4/D4-1</f>
        <v>#DIV/0!</v>
      </c>
    </row>
    <row r="5" spans="1:17" x14ac:dyDescent="0.2">
      <c r="A5" s="24" t="s">
        <v>64</v>
      </c>
      <c r="B5" s="25">
        <v>1.5</v>
      </c>
      <c r="C5" s="26">
        <v>1500</v>
      </c>
      <c r="D5" s="87">
        <f t="shared" ref="D5:D12" si="2">IFERROR(C5/B5, "")</f>
        <v>1000</v>
      </c>
      <c r="E5" s="77" t="s">
        <v>52</v>
      </c>
      <c r="F5" s="75" t="s">
        <v>89</v>
      </c>
      <c r="G5" s="79">
        <f>GETPIVOTDATA("Average of StandardRate",SKT!$A$3,"Type","Walk in non air  XS","Area",1.54)</f>
        <v>1500</v>
      </c>
      <c r="H5" s="79"/>
      <c r="I5" s="79">
        <f>GETPIVOTDATA("Average of StandardRate",RAM!$A$3,"Type","Walk in non air  XS","Area",1.5)</f>
        <v>1600</v>
      </c>
      <c r="J5" s="79"/>
      <c r="K5" s="79"/>
      <c r="L5" s="79">
        <f>GETPIVOTDATA("Average of StandardRate",PTG!$A$3,"Type","Walk in non air  XS","Area",2.07)</f>
        <v>2600</v>
      </c>
      <c r="M5" s="79"/>
      <c r="N5" s="79">
        <f>GETPIVOTDATA("Average of StandardRate",BGS!$A$3,"Type","Walk in non air  XXS","Area",1.44)</f>
        <v>1600</v>
      </c>
      <c r="O5" s="79"/>
      <c r="P5" s="84">
        <f t="shared" si="0"/>
        <v>1216.6666666666667</v>
      </c>
      <c r="Q5" s="64">
        <f t="shared" si="1"/>
        <v>0.21666666666666679</v>
      </c>
    </row>
    <row r="6" spans="1:17" x14ac:dyDescent="0.2">
      <c r="A6" s="24" t="s">
        <v>54</v>
      </c>
      <c r="B6" s="25">
        <v>4.5</v>
      </c>
      <c r="C6" s="26">
        <v>3000</v>
      </c>
      <c r="D6" s="87">
        <f t="shared" si="2"/>
        <v>666.66666666666663</v>
      </c>
      <c r="E6" s="77" t="s">
        <v>53</v>
      </c>
      <c r="F6" s="75" t="s">
        <v>90</v>
      </c>
      <c r="G6" s="79">
        <f>GETPIVOTDATA("Average of StandardRate",SKT!$A$3,"Type","Walk in non air  S","Area",4.6)</f>
        <v>4700</v>
      </c>
      <c r="H6" s="79"/>
      <c r="I6" s="79">
        <f>GETPIVOTDATA("Average of StandardRate",RAM!$A$3,"Type","Walk in non air  S","Area",4.4)</f>
        <v>4200</v>
      </c>
      <c r="J6" s="79"/>
      <c r="K6" s="79"/>
      <c r="L6" s="79">
        <f>GETPIVOTDATA("Average of StandardRate",PTG!$A$3,"Type","Walk in non air  S","Area",4.48)</f>
        <v>4200</v>
      </c>
      <c r="M6" s="79"/>
      <c r="N6" s="79">
        <f>GETPIVOTDATA("Average of StandardRate",BGS!$A$3,"Type","Walk in non air  M","Area",5.04)</f>
        <v>5200</v>
      </c>
      <c r="O6" s="79"/>
      <c r="P6" s="84">
        <f t="shared" si="0"/>
        <v>1016.6666666666666</v>
      </c>
      <c r="Q6" s="64">
        <f t="shared" si="1"/>
        <v>0.52500000000000013</v>
      </c>
    </row>
    <row r="7" spans="1:17" x14ac:dyDescent="0.2">
      <c r="A7" s="24" t="s">
        <v>55</v>
      </c>
      <c r="B7" s="25">
        <v>7.5</v>
      </c>
      <c r="C7" s="26">
        <v>4500</v>
      </c>
      <c r="D7" s="87">
        <f t="shared" si="2"/>
        <v>600</v>
      </c>
      <c r="E7" s="77" t="s">
        <v>54</v>
      </c>
      <c r="F7" s="75" t="s">
        <v>91</v>
      </c>
      <c r="G7" s="79">
        <f>GETPIVOTDATA("Average of StandardRate",SKT!$A$3,"Type","Walk in non air  M","Area",7.44)</f>
        <v>7800</v>
      </c>
      <c r="H7" s="79"/>
      <c r="I7" s="79">
        <f>GETPIVOTDATA("Average of StandardRate",RAM!$A$3,"Type","Walk in non air  M","Area",6.8)</f>
        <v>6500</v>
      </c>
      <c r="J7" s="79"/>
      <c r="K7" s="79"/>
      <c r="L7" s="79">
        <f>GETPIVOTDATA("Average of StandardRate",PTG!$A$3,"Type","Walk in non air  M","Area",7.5)</f>
        <v>6000</v>
      </c>
      <c r="M7" s="79"/>
      <c r="N7" s="79">
        <f>GETPIVOTDATA("Average of StandardRate",BGS!$A$3,"Type","Walk in non air  M","Area",7.29)</f>
        <v>7400</v>
      </c>
      <c r="O7" s="79"/>
      <c r="P7" s="84">
        <f t="shared" si="0"/>
        <v>923.33333333333337</v>
      </c>
      <c r="Q7" s="64">
        <f t="shared" si="1"/>
        <v>0.53888888888888897</v>
      </c>
    </row>
    <row r="8" spans="1:17" x14ac:dyDescent="0.2">
      <c r="A8" s="24" t="s">
        <v>56</v>
      </c>
      <c r="B8" s="25">
        <v>12</v>
      </c>
      <c r="C8" s="26">
        <v>6500</v>
      </c>
      <c r="D8" s="87">
        <f t="shared" si="2"/>
        <v>541.66666666666663</v>
      </c>
      <c r="E8" s="77" t="s">
        <v>55</v>
      </c>
      <c r="F8" s="75" t="s">
        <v>92</v>
      </c>
      <c r="G8" s="79">
        <f>GETPIVOTDATA("Average of StandardRate",SKT!$A$3,"Type","Walk in non air  L","Area",11.25)</f>
        <v>10500</v>
      </c>
      <c r="H8" s="79"/>
      <c r="I8" s="79">
        <f>GETPIVOTDATA("Average of StandardRate",RAM!$A$3,"Type","Walk in non air  L","Area",11.44)</f>
        <v>11000</v>
      </c>
      <c r="J8" s="79"/>
      <c r="K8" s="79"/>
      <c r="L8" s="79">
        <f>GETPIVOTDATA("Average of StandardRate",PTG!$A$3,"Type","Walk in non air  L","Area",12.21)</f>
        <v>8600</v>
      </c>
      <c r="M8" s="79"/>
      <c r="N8" s="79">
        <f>GETPIVOTDATA("Average of StandardRate",BGS!$A$3,"Type","Walk in non air  M","Area",10.32)</f>
        <v>10400</v>
      </c>
      <c r="O8" s="79"/>
      <c r="P8" s="84">
        <f t="shared" si="0"/>
        <v>843.75</v>
      </c>
      <c r="Q8" s="64">
        <f t="shared" si="1"/>
        <v>0.55769230769230771</v>
      </c>
    </row>
    <row r="9" spans="1:17" x14ac:dyDescent="0.2">
      <c r="A9" s="24" t="s">
        <v>57</v>
      </c>
      <c r="B9" s="25">
        <v>18</v>
      </c>
      <c r="C9" s="26">
        <v>9200</v>
      </c>
      <c r="D9" s="87">
        <f t="shared" si="2"/>
        <v>511.11111111111109</v>
      </c>
      <c r="E9" s="77"/>
      <c r="F9" s="77"/>
      <c r="G9" s="79"/>
      <c r="H9" s="79"/>
      <c r="I9" s="79"/>
      <c r="J9" s="79"/>
      <c r="K9" s="79"/>
      <c r="L9" s="79">
        <f>GETPIVOTDATA("Average of StandardRate",PTG!$A$3,"Type","Garage non air  XL","Area",19.52)</f>
        <v>13700</v>
      </c>
      <c r="M9" s="79"/>
      <c r="N9" s="79"/>
      <c r="O9" s="79"/>
      <c r="P9" s="84">
        <f t="shared" si="0"/>
        <v>761.11111111111109</v>
      </c>
      <c r="Q9" s="64">
        <f t="shared" si="1"/>
        <v>0.48913043478260865</v>
      </c>
    </row>
    <row r="10" spans="1:17" x14ac:dyDescent="0.2">
      <c r="A10" s="24" t="s">
        <v>113</v>
      </c>
      <c r="B10" s="25">
        <v>21</v>
      </c>
      <c r="C10" s="26" t="s">
        <v>114</v>
      </c>
      <c r="D10" s="87" t="str">
        <f t="shared" si="2"/>
        <v/>
      </c>
      <c r="E10" s="77" t="s">
        <v>56</v>
      </c>
      <c r="F10" s="75" t="s">
        <v>93</v>
      </c>
      <c r="G10" s="79">
        <f>GETPIVOTDATA("Average of StandardRate",SKT!$A$3,"Type","Walk in non air  XL","Area",21.56)</f>
        <v>20100</v>
      </c>
      <c r="H10" s="79"/>
      <c r="I10" s="79">
        <f>GETPIVOTDATA("Average of StandardRate",RAM!$A$3,"Type","Walk in non air  L","Area",19.8)</f>
        <v>15700</v>
      </c>
      <c r="J10" s="79"/>
      <c r="K10" s="79"/>
      <c r="L10" s="79">
        <f>GETPIVOTDATA("Average of StandardRate",PTG!$A$3,"Type","Garage non air  XL","Area",20.74)</f>
        <v>15000</v>
      </c>
      <c r="M10" s="79"/>
      <c r="N10" s="79">
        <f>GETPIVOTDATA("Average of StandardRate",BGS!$A$3,"Type","Walk in non air  XL","Area",25.9)</f>
        <v>24100</v>
      </c>
      <c r="O10" s="79"/>
      <c r="P10" s="84">
        <f t="shared" si="0"/>
        <v>891.66666666666663</v>
      </c>
      <c r="Q10" s="64" t="e">
        <f t="shared" si="1"/>
        <v>#VALUE!</v>
      </c>
    </row>
    <row r="11" spans="1:17" x14ac:dyDescent="0.2">
      <c r="A11" s="24" t="s">
        <v>113</v>
      </c>
      <c r="B11" s="25">
        <v>280</v>
      </c>
      <c r="C11" s="26" t="s">
        <v>114</v>
      </c>
      <c r="D11" s="87" t="str">
        <f t="shared" si="2"/>
        <v/>
      </c>
      <c r="E11" s="77" t="s">
        <v>57</v>
      </c>
      <c r="F11" s="75" t="s">
        <v>94</v>
      </c>
      <c r="G11" s="79"/>
      <c r="H11" s="79"/>
      <c r="I11" s="79"/>
      <c r="J11" s="79"/>
      <c r="K11" s="79"/>
      <c r="L11" s="79"/>
      <c r="M11" s="79"/>
      <c r="N11" s="79">
        <f>GETPIVOTDATA("Average of StandardRate",BGS!$A$3,"Type","Walk in non air  XXL","Area",51.2)</f>
        <v>43900</v>
      </c>
      <c r="O11" s="79"/>
      <c r="P11" s="84">
        <f t="shared" si="0"/>
        <v>156.78571428571428</v>
      </c>
      <c r="Q11" s="64" t="e">
        <f t="shared" si="1"/>
        <v>#VALUE!</v>
      </c>
    </row>
    <row r="12" spans="1:17" x14ac:dyDescent="0.2">
      <c r="A12" s="24" t="s">
        <v>113</v>
      </c>
      <c r="B12" s="25">
        <v>400</v>
      </c>
      <c r="C12" s="26" t="s">
        <v>114</v>
      </c>
      <c r="D12" s="87" t="str">
        <f t="shared" si="2"/>
        <v/>
      </c>
      <c r="E12" s="80" t="s">
        <v>76</v>
      </c>
      <c r="G12" s="76" t="s">
        <v>75</v>
      </c>
      <c r="H12" s="76" t="s">
        <v>75</v>
      </c>
      <c r="I12" s="76" t="s">
        <v>75</v>
      </c>
      <c r="J12" s="76" t="s">
        <v>75</v>
      </c>
      <c r="K12" s="76" t="s">
        <v>75</v>
      </c>
      <c r="L12" s="76" t="s">
        <v>75</v>
      </c>
      <c r="M12" s="76" t="s">
        <v>75</v>
      </c>
      <c r="N12" s="76" t="s">
        <v>75</v>
      </c>
      <c r="O12" s="76" t="s">
        <v>75</v>
      </c>
      <c r="P12" s="84"/>
      <c r="Q12" s="64"/>
    </row>
    <row r="13" spans="1:17" x14ac:dyDescent="0.2">
      <c r="A13" s="67" t="s">
        <v>58</v>
      </c>
      <c r="B13" s="66" t="s">
        <v>59</v>
      </c>
      <c r="C13" s="65" t="s">
        <v>115</v>
      </c>
      <c r="D13" s="85" t="s">
        <v>112</v>
      </c>
      <c r="E13" s="77" t="s">
        <v>120</v>
      </c>
      <c r="F13" s="75" t="s">
        <v>88</v>
      </c>
      <c r="G13" s="78"/>
      <c r="H13" s="78"/>
      <c r="I13" s="78"/>
      <c r="J13" s="78">
        <f>GETPIVOTDATA("Average of StandardRate",'RM9'!$A$3,"Type","Locker air cond L upper","Area",1)</f>
        <v>801.12</v>
      </c>
      <c r="K13" s="78">
        <f>GETPIVOTDATA("Average of StandardRate",LPR!$A$3,"Type","Locker air cond M upper","Area",0.6)</f>
        <v>801.12</v>
      </c>
      <c r="L13" s="78"/>
      <c r="M13" s="78">
        <f>GETPIVOTDATA("Average of StandardRate",PTY!$A$3,"Type","Locker air cond M upper","Area",0.6)</f>
        <v>801.12149999999997</v>
      </c>
      <c r="N13" s="78">
        <f>GETPIVOTDATA("Average of StandardRate",BGS!$A$3,"Type","Locker air cond M upper","Area",0.6)</f>
        <v>801.12</v>
      </c>
      <c r="O13" s="78">
        <f>GETPIVOTDATA("Average of StandardRate",RCD!$A$3,"Type","Locker air cond M lower","Area",0.6)</f>
        <v>801.12</v>
      </c>
      <c r="P13" s="84">
        <f>SUM(G13:O13)/COUNT(G13:O13)/B14</f>
        <v>1780.2673333333332</v>
      </c>
      <c r="Q13" s="64">
        <f>P13/D14-1</f>
        <v>8.2594999999999974E-2</v>
      </c>
    </row>
    <row r="14" spans="1:17" s="23" customFormat="1" x14ac:dyDescent="0.2">
      <c r="A14" s="24" t="s">
        <v>52</v>
      </c>
      <c r="B14" s="25">
        <v>0.45</v>
      </c>
      <c r="C14" s="26">
        <v>740</v>
      </c>
      <c r="D14" s="87">
        <f t="shared" ref="D14:D22" si="3">IFERROR(C14/B14, "")</f>
        <v>1644.4444444444443</v>
      </c>
      <c r="E14" s="77" t="s">
        <v>118</v>
      </c>
      <c r="F14" s="75" t="s">
        <v>119</v>
      </c>
      <c r="G14" s="79"/>
      <c r="H14" s="79">
        <f>GETPIVOTDATA("Average of StandardRate",SAM!$A$3,"Type","Locker air cond M upper","Area",0.6)</f>
        <v>731.03</v>
      </c>
      <c r="J14" s="79">
        <f>GETPIVOTDATA("Average of StandardRate",'RM9'!$A$3,"Type","Walk in air cond  XXS","Area",1)</f>
        <v>1500</v>
      </c>
      <c r="K14" s="79">
        <f>GETPIVOTDATA("Average of StandardRate",LPR!$A$3,"Type","Walk in air cond  XXS","Area",0.98)</f>
        <v>1800</v>
      </c>
      <c r="L14" s="79"/>
      <c r="M14" s="79">
        <f>GETPIVOTDATA("Average of StandardRate",PTY!$A$3,"Type","Walk in air cond  XXS","Area",0.88)</f>
        <v>1600</v>
      </c>
      <c r="N14" s="79">
        <f>GETPIVOTDATA("Average of StandardRate",BGS!$A$3,"Type","Walk in air cond  XXS","Area",1)</f>
        <v>1500</v>
      </c>
      <c r="O14" s="79">
        <f>GETPIVOTDATA("Average of StandardRate",RCD!$A$3,"Type","Locker air cond L upper","Area",1.02)</f>
        <v>824.4849999999999</v>
      </c>
      <c r="P14" s="84">
        <f t="shared" ref="P14:P21" si="4">SUM(G14:O14)/COUNT(G14:O14)/B14</f>
        <v>2946.4870370370368</v>
      </c>
      <c r="Q14" s="64">
        <f t="shared" ref="Q14:Q21" si="5">P14/D14-1</f>
        <v>0.79178265765765765</v>
      </c>
    </row>
    <row r="15" spans="1:17" s="23" customFormat="1" x14ac:dyDescent="0.2">
      <c r="A15" s="24" t="s">
        <v>64</v>
      </c>
      <c r="B15" s="25">
        <v>1.5</v>
      </c>
      <c r="C15" s="26">
        <v>1900</v>
      </c>
      <c r="D15" s="87">
        <f t="shared" si="3"/>
        <v>1266.6666666666667</v>
      </c>
      <c r="E15" s="77" t="s">
        <v>52</v>
      </c>
      <c r="F15" s="75" t="s">
        <v>89</v>
      </c>
      <c r="G15" s="79"/>
      <c r="H15" s="79">
        <f>GETPIVOTDATA("Average of StandardRate",SAM!$A$3,"Type","Walk in air cond  XS","Area",1.5)</f>
        <v>2100</v>
      </c>
      <c r="I15" s="79">
        <f>GETPIVOTDATA("Average of StandardRate",RAM!$A$3,"Type","Walk in air cond  XS","Area",1.7)</f>
        <v>1900</v>
      </c>
      <c r="J15" s="79">
        <f>GETPIVOTDATA("Average of StandardRate",'RM9'!$A$3,"Type","Walk in air cond  XXS","Area",1.44)</f>
        <v>2000</v>
      </c>
      <c r="K15" s="79">
        <f>GETPIVOTDATA("Average of StandardRate",LPR!$A$3,"Type","Walk in air cond  XS","Area",1.5)</f>
        <v>1850</v>
      </c>
      <c r="L15" s="79"/>
      <c r="M15" s="79">
        <f>GETPIVOTDATA("Average of StandardRate",PTY!$A$3,"Type","Walk in air cond  XS","Area",1.5)</f>
        <v>1775.7009</v>
      </c>
      <c r="N15" s="79">
        <f>GETPIVOTDATA("Average of StandardRate",BGS!$A$3,"Type","Walk in air cond  XXS","Area",1.44)</f>
        <v>1600</v>
      </c>
      <c r="O15" s="79">
        <f>GETPIVOTDATA("Average of StandardRate",RCD!$A$3,"Type","Walk in air cond  XS","Area",1.5)</f>
        <v>2400</v>
      </c>
      <c r="P15" s="84">
        <f t="shared" si="4"/>
        <v>1297.6858</v>
      </c>
      <c r="Q15" s="64">
        <f t="shared" si="5"/>
        <v>2.4488789473684047E-2</v>
      </c>
    </row>
    <row r="16" spans="1:17" ht="16" customHeight="1" x14ac:dyDescent="0.2">
      <c r="A16" s="24" t="s">
        <v>54</v>
      </c>
      <c r="B16" s="25">
        <v>4.5</v>
      </c>
      <c r="C16" s="26">
        <v>4000</v>
      </c>
      <c r="D16" s="87">
        <f t="shared" si="3"/>
        <v>888.88888888888891</v>
      </c>
      <c r="E16" s="77" t="s">
        <v>53</v>
      </c>
      <c r="F16" s="75" t="s">
        <v>90</v>
      </c>
      <c r="G16" s="79"/>
      <c r="H16" s="79">
        <f>GETPIVOTDATA("Average of StandardRate",SAM!$A$3,"Type","Walk in air cond  S","Area",4.5)</f>
        <v>6100</v>
      </c>
      <c r="I16" s="79">
        <f>GETPIVOTDATA("Average of StandardRate",RAM!$A$3,"Type","Walk in air cond  S","Area",4.2)</f>
        <v>4500</v>
      </c>
      <c r="J16" s="79">
        <f>GETPIVOTDATA("Average of StandardRate",'RM9'!$A$3,"Type","Walk in air cond  S","Area",4.32)</f>
        <v>6000</v>
      </c>
      <c r="K16" s="79">
        <f>GETPIVOTDATA("Average of StandardRate",LPR!$A$3,"Type","Walk in air cond  S","Area",4.6)</f>
        <v>5600</v>
      </c>
      <c r="L16" s="79"/>
      <c r="M16" s="79">
        <f>GETPIVOTDATA("Average of StandardRate",PTY!$A$3,"Type","Walk in air cond  S","Area",4.559)</f>
        <v>6000</v>
      </c>
      <c r="N16" s="79">
        <f>GETPIVOTDATA("Average of StandardRate",BGS!$A$3,"Type","Walk in air cond  M","Area",5.04)</f>
        <v>5400</v>
      </c>
      <c r="O16" s="79">
        <f>GETPIVOTDATA("Average of StandardRate",RCD!$A$3,"Type","Walk in air cond  M","Area",5)</f>
        <v>6400</v>
      </c>
      <c r="P16" s="84">
        <f t="shared" si="4"/>
        <v>1269.8412698412699</v>
      </c>
      <c r="Q16" s="64">
        <f t="shared" si="5"/>
        <v>0.4285714285714286</v>
      </c>
    </row>
    <row r="17" spans="1:17" x14ac:dyDescent="0.2">
      <c r="A17" s="24" t="s">
        <v>55</v>
      </c>
      <c r="B17" s="25">
        <v>7.5</v>
      </c>
      <c r="C17" s="26">
        <v>5500</v>
      </c>
      <c r="D17" s="87">
        <f t="shared" si="3"/>
        <v>733.33333333333337</v>
      </c>
      <c r="E17" s="77" t="s">
        <v>54</v>
      </c>
      <c r="F17" s="75" t="s">
        <v>91</v>
      </c>
      <c r="G17" s="79"/>
      <c r="H17" s="79">
        <f>GETPIVOTDATA("Average of StandardRate",SAM!$A$3,"Type","Walk in air cond  M","Area",7.2)</f>
        <v>8300</v>
      </c>
      <c r="I17" s="79">
        <f>GETPIVOTDATA("Average of StandardRate",RAM!$A$3,"Type","Walk in air cond  M","Area",6.15)</f>
        <v>7000</v>
      </c>
      <c r="J17" s="79">
        <f>GETPIVOTDATA("Average of StandardRate",'RM9'!$A$3,"Type","Walk in air cond  M","Area",7.65)</f>
        <v>9100</v>
      </c>
      <c r="K17" s="79">
        <f>GETPIVOTDATA("Average of StandardRate",LPR!$A$3,"Type","Walk in air cond  M","Area",7.56)</f>
        <v>9200</v>
      </c>
      <c r="L17" s="79"/>
      <c r="M17" s="79">
        <f>GETPIVOTDATA("Average of StandardRate",PTY!$A$3,"Type","Walk in air cond  M","Area",5.98)</f>
        <v>6600</v>
      </c>
      <c r="N17" s="79">
        <f>GETPIVOTDATA("Average of StandardRate",BGS!$A$3,"Type","Walk in air cond  M","Area",7.84)</f>
        <v>9000</v>
      </c>
      <c r="O17" s="79">
        <f>GETPIVOTDATA("Average of StandardRate",RCD!$A$3,"Type","Walk in air cond  M","Area",8)</f>
        <v>9600</v>
      </c>
      <c r="P17" s="84">
        <f t="shared" si="4"/>
        <v>1120</v>
      </c>
      <c r="Q17" s="64">
        <f t="shared" si="5"/>
        <v>0.52727272727272712</v>
      </c>
    </row>
    <row r="18" spans="1:17" x14ac:dyDescent="0.2">
      <c r="A18" s="24" t="s">
        <v>56</v>
      </c>
      <c r="B18" s="25">
        <v>12</v>
      </c>
      <c r="C18" s="26">
        <v>7800</v>
      </c>
      <c r="D18" s="87">
        <f t="shared" si="3"/>
        <v>650</v>
      </c>
      <c r="E18" s="77" t="s">
        <v>55</v>
      </c>
      <c r="F18" s="75" t="s">
        <v>92</v>
      </c>
      <c r="G18" s="79"/>
      <c r="H18" s="79">
        <f>GETPIVOTDATA("Average of StandardRate",SAM!$A$3,"Type","Walk in air cond  L","Area",11.76)</f>
        <v>14750</v>
      </c>
      <c r="I18" s="79">
        <f>GETPIVOTDATA("Average of StandardRate",RAM!$A$3,"Type","Walk in air cond  L","Area",12.42)</f>
        <v>14200</v>
      </c>
      <c r="J18" s="79">
        <f>GETPIVOTDATA("Average of StandardRate",'RM9'!$A$3,"Type","Walk in air cond  L","Area",12.35)</f>
        <v>16400</v>
      </c>
      <c r="K18" s="79">
        <f>GETPIVOTDATA("Average of StandardRate",LPR!$A$3,"Type","Walk in air cond  L","Area",14.85)</f>
        <v>18000</v>
      </c>
      <c r="L18" s="79"/>
      <c r="M18" s="79">
        <f>GETPIVOTDATA("Average of StandardRate",PTY!$A$3,"Type","Walk in air cond  M","Area",10.23)</f>
        <v>11588.785</v>
      </c>
      <c r="N18" s="79">
        <f>GETPIVOTDATA("Average of StandardRate",BGS!$A$3,"Type","Walk in air cond  M","Area",10.5)</f>
        <v>13000</v>
      </c>
      <c r="O18" s="79">
        <f>GETPIVOTDATA("Average of StandardRate",RCD!$A$3,"Type","Walk in air cond  L","Area",11.61)</f>
        <v>13300</v>
      </c>
      <c r="P18" s="84">
        <f t="shared" si="4"/>
        <v>1205.223630952381</v>
      </c>
      <c r="Q18" s="64">
        <f t="shared" si="5"/>
        <v>0.85419020146520142</v>
      </c>
    </row>
    <row r="19" spans="1:17" x14ac:dyDescent="0.2">
      <c r="A19" s="24" t="s">
        <v>57</v>
      </c>
      <c r="B19" s="25">
        <v>18</v>
      </c>
      <c r="C19" s="26">
        <v>11000</v>
      </c>
      <c r="D19" s="87">
        <f t="shared" si="3"/>
        <v>611.11111111111109</v>
      </c>
      <c r="E19" s="77"/>
      <c r="F19" s="77"/>
      <c r="G19" s="79"/>
      <c r="H19" s="79">
        <f>GETPIVOTDATA("Average of StandardRate",SAM!$A$3,"Type","Walk in air cond  L","Area",18.29)</f>
        <v>20900</v>
      </c>
      <c r="I19" s="79">
        <f>GETPIVOTDATA("Average of StandardRate",RAM!$A$3,"Type","Walk in air cond  L","Area",18.9)</f>
        <v>20600</v>
      </c>
      <c r="J19" s="79">
        <f>GETPIVOTDATA("Average of StandardRate",'RM9'!$A$3,"Type","Walk in air cond  L","Area",17.4)</f>
        <v>21000</v>
      </c>
      <c r="K19" s="79">
        <f>GETPIVOTDATA("Average of StandardRate",LPR!$A$3,"Type","Walk in air cond  L","Area",19.5)</f>
        <v>21000</v>
      </c>
      <c r="L19" s="79"/>
      <c r="M19" s="79">
        <f>GETPIVOTDATA("Average of StandardRate",PTY!$A$3,"Type","Walk in air cond  L","Area",16.77)</f>
        <v>13500</v>
      </c>
      <c r="N19" s="79">
        <f>GETPIVOTDATA("Average of StandardRate",BGS!$A$3,"Type","Walk in air cond  L","Area",17.5)</f>
        <v>20000</v>
      </c>
      <c r="O19" s="79">
        <f>GETPIVOTDATA("Average of StandardRate",RCD!$A$3,"Type","Walk in air cond  L","Area",17.76)</f>
        <v>19900</v>
      </c>
      <c r="P19" s="84">
        <f t="shared" si="4"/>
        <v>1086.5079365079366</v>
      </c>
      <c r="Q19" s="64">
        <f t="shared" si="5"/>
        <v>0.77792207792207813</v>
      </c>
    </row>
    <row r="20" spans="1:17" x14ac:dyDescent="0.2">
      <c r="A20" s="24" t="s">
        <v>113</v>
      </c>
      <c r="B20" s="25">
        <v>21</v>
      </c>
      <c r="C20" s="26" t="s">
        <v>114</v>
      </c>
      <c r="D20" s="87" t="str">
        <f t="shared" si="3"/>
        <v/>
      </c>
      <c r="E20" s="77" t="s">
        <v>56</v>
      </c>
      <c r="F20" s="75" t="s">
        <v>93</v>
      </c>
      <c r="G20" s="79"/>
      <c r="H20" s="79">
        <f>GETPIVOTDATA("Average of StandardRate",SAM!$A$3,"Type","Walk in air cond  XL","Area",20.68)</f>
        <v>23700</v>
      </c>
      <c r="I20" s="79"/>
      <c r="J20" s="79">
        <f>GETPIVOTDATA("Average of StandardRate",'RM9'!$A$3,"Type","Walk in air cond  XL","Area",20.8)</f>
        <v>23500</v>
      </c>
      <c r="K20" s="79"/>
      <c r="L20" s="79"/>
      <c r="M20" s="79">
        <f>GETPIVOTDATA("Average of StandardRate",PTY!$A$3,"Type","Walk in air cond  XL","Area",24.99)</f>
        <v>18800</v>
      </c>
      <c r="N20" s="79">
        <f>GETPIVOTDATA("Average of StandardRate",BGS!$A$3,"Type","Walk in air cond  XL","Area",26.25)</f>
        <v>26500</v>
      </c>
      <c r="O20" s="79">
        <f>GETPIVOTDATA("Average of StandardRate",RCD!$A$3,"Type","Walk in air cond  XL","Area",24.96)</f>
        <v>26800</v>
      </c>
      <c r="P20" s="84">
        <f t="shared" si="4"/>
        <v>1136.1904761904761</v>
      </c>
      <c r="Q20" s="64" t="e">
        <f t="shared" si="5"/>
        <v>#VALUE!</v>
      </c>
    </row>
    <row r="21" spans="1:17" x14ac:dyDescent="0.2">
      <c r="A21" s="24" t="s">
        <v>113</v>
      </c>
      <c r="B21" s="25">
        <v>280</v>
      </c>
      <c r="C21" s="26">
        <v>96100</v>
      </c>
      <c r="D21" s="87">
        <f t="shared" si="3"/>
        <v>343.21428571428572</v>
      </c>
      <c r="E21" s="77" t="s">
        <v>57</v>
      </c>
      <c r="F21" s="75" t="s">
        <v>94</v>
      </c>
      <c r="G21" s="79"/>
      <c r="H21" s="79"/>
      <c r="I21" s="79"/>
      <c r="J21" s="79"/>
      <c r="K21" s="79"/>
      <c r="L21" s="79"/>
      <c r="M21" s="79"/>
      <c r="N21" s="79"/>
      <c r="O21" s="79"/>
      <c r="P21" s="84" t="e">
        <f t="shared" si="4"/>
        <v>#DIV/0!</v>
      </c>
      <c r="Q21" s="64" t="e">
        <f t="shared" si="5"/>
        <v>#DIV/0!</v>
      </c>
    </row>
    <row r="22" spans="1:17" x14ac:dyDescent="0.2">
      <c r="A22" s="24" t="s">
        <v>113</v>
      </c>
      <c r="B22" s="25">
        <v>400</v>
      </c>
      <c r="C22" s="26">
        <v>138200</v>
      </c>
      <c r="D22" s="87">
        <f t="shared" si="3"/>
        <v>345.5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</sheetData>
  <conditionalFormatting sqref="C4:C12">
    <cfRule type="cellIs" dxfId="15" priority="10" operator="greaterThan">
      <formula>#REF!</formula>
    </cfRule>
  </conditionalFormatting>
  <conditionalFormatting sqref="C14:C22">
    <cfRule type="cellIs" dxfId="14" priority="9" operator="greaterThan">
      <formula>#REF!</formula>
    </cfRule>
  </conditionalFormatting>
  <conditionalFormatting sqref="P3:P21">
    <cfRule type="cellIs" dxfId="13" priority="3" operator="greaterThan">
      <formula>$I3</formula>
    </cfRule>
  </conditionalFormatting>
  <conditionalFormatting sqref="Q3:Q21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EF96-0C81-48D3-837B-7A7B4604C8DF}">
  <dimension ref="A1:W39"/>
  <sheetViews>
    <sheetView showGridLines="0" zoomScale="96" zoomScaleNormal="96" workbookViewId="0">
      <selection activeCell="H22" sqref="H22"/>
    </sheetView>
  </sheetViews>
  <sheetFormatPr baseColWidth="10" defaultColWidth="11.5" defaultRowHeight="15" x14ac:dyDescent="0.2"/>
  <cols>
    <col min="1" max="1" width="14.1640625" style="15" bestFit="1" customWidth="1"/>
    <col min="2" max="2" width="12.33203125" style="39" bestFit="1" customWidth="1"/>
    <col min="3" max="10" width="9.5" style="14" customWidth="1"/>
    <col min="11" max="11" width="18.33203125" style="14" bestFit="1" customWidth="1"/>
    <col min="12" max="12" width="16" style="15" hidden="1" customWidth="1"/>
    <col min="13" max="21" width="7.83203125" style="15" customWidth="1"/>
    <col min="22" max="22" width="10.6640625" style="81" bestFit="1" customWidth="1"/>
    <col min="23" max="16384" width="11.5" style="15"/>
  </cols>
  <sheetData>
    <row r="1" spans="1:23" x14ac:dyDescent="0.2">
      <c r="A1" s="11" t="s">
        <v>67</v>
      </c>
      <c r="B1" s="12"/>
      <c r="C1" s="13"/>
      <c r="D1" s="13"/>
      <c r="E1" s="13"/>
      <c r="F1" s="13"/>
      <c r="G1" s="13"/>
      <c r="H1" s="13"/>
      <c r="I1" s="13"/>
      <c r="K1" s="45" t="s">
        <v>67</v>
      </c>
      <c r="L1" s="12"/>
      <c r="M1" s="13"/>
      <c r="N1" s="13"/>
      <c r="O1" s="13"/>
      <c r="P1" s="13"/>
      <c r="Q1" s="13"/>
      <c r="R1" s="13"/>
      <c r="S1" s="13"/>
      <c r="T1" s="14"/>
      <c r="U1" s="14"/>
    </row>
    <row r="2" spans="1:23" s="16" customFormat="1" x14ac:dyDescent="0.2">
      <c r="B2" s="17"/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9"/>
      <c r="L2" s="17"/>
      <c r="M2" s="60" t="s">
        <v>51</v>
      </c>
      <c r="N2" s="18" t="s">
        <v>80</v>
      </c>
      <c r="O2" s="60" t="s">
        <v>81</v>
      </c>
      <c r="P2" s="18" t="s">
        <v>82</v>
      </c>
      <c r="Q2" s="60" t="s">
        <v>83</v>
      </c>
      <c r="R2" s="60" t="s">
        <v>84</v>
      </c>
      <c r="S2" s="18" t="s">
        <v>86</v>
      </c>
      <c r="T2" s="61" t="s">
        <v>85</v>
      </c>
      <c r="U2" s="19" t="s">
        <v>87</v>
      </c>
      <c r="V2" s="82"/>
    </row>
    <row r="3" spans="1:23" s="23" customFormat="1" x14ac:dyDescent="0.2">
      <c r="A3" s="20" t="s">
        <v>58</v>
      </c>
      <c r="B3" s="21" t="s">
        <v>59</v>
      </c>
      <c r="C3" s="22" t="s">
        <v>75</v>
      </c>
      <c r="D3" s="22" t="s">
        <v>75</v>
      </c>
      <c r="E3" s="22" t="s">
        <v>75</v>
      </c>
      <c r="F3" s="22" t="s">
        <v>75</v>
      </c>
      <c r="G3" s="22" t="s">
        <v>75</v>
      </c>
      <c r="H3" s="22" t="s">
        <v>75</v>
      </c>
      <c r="I3" s="22" t="s">
        <v>75</v>
      </c>
      <c r="J3" s="62" t="s">
        <v>112</v>
      </c>
      <c r="K3" s="40" t="s">
        <v>58</v>
      </c>
      <c r="L3" s="41" t="s">
        <v>59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42" t="s">
        <v>75</v>
      </c>
      <c r="T3" s="42" t="s">
        <v>75</v>
      </c>
      <c r="U3" s="42" t="s">
        <v>75</v>
      </c>
      <c r="V3" s="83" t="s">
        <v>112</v>
      </c>
    </row>
    <row r="4" spans="1:23" ht="16" customHeight="1" x14ac:dyDescent="0.2">
      <c r="A4" s="24" t="s">
        <v>60</v>
      </c>
      <c r="B4" s="25">
        <v>0.72</v>
      </c>
      <c r="C4" s="26">
        <v>1400</v>
      </c>
      <c r="D4" s="26">
        <v>0</v>
      </c>
      <c r="E4" s="26">
        <v>1400</v>
      </c>
      <c r="F4" s="26">
        <v>1200</v>
      </c>
      <c r="G4" s="26">
        <v>1400</v>
      </c>
      <c r="H4" s="26">
        <v>1300</v>
      </c>
      <c r="I4" s="57">
        <v>1200</v>
      </c>
      <c r="J4" s="63">
        <f>I4/B4</f>
        <v>1666.6666666666667</v>
      </c>
      <c r="K4" s="24" t="s">
        <v>105</v>
      </c>
      <c r="L4" s="10"/>
      <c r="M4" s="46">
        <f>GETPIVOTDATA("Average of StandardRate",SKT!$A$3,"Type","Locker non air M upper","Area",0.6)</f>
        <v>567.48</v>
      </c>
      <c r="N4" s="47"/>
      <c r="O4" s="46"/>
      <c r="P4" s="46"/>
      <c r="Q4" s="46"/>
      <c r="R4" s="46"/>
      <c r="S4" s="46"/>
      <c r="T4" s="46">
        <f>GETPIVOTDATA("Average of StandardRate",BGS!$A$3,"Type","Locker non air M upper","Area",0.6)</f>
        <v>614.21</v>
      </c>
      <c r="U4" s="46"/>
      <c r="V4" s="84">
        <f t="shared" ref="V4:V16" si="0">SUM(M4:U4)/COUNT(M4:U4)/B4</f>
        <v>820.61805555555566</v>
      </c>
      <c r="W4" s="64">
        <f>V4/J4-1</f>
        <v>-0.50762916666666658</v>
      </c>
    </row>
    <row r="5" spans="1:23" x14ac:dyDescent="0.2">
      <c r="A5" s="24" t="s">
        <v>61</v>
      </c>
      <c r="B5" s="25">
        <v>0.72</v>
      </c>
      <c r="C5" s="26">
        <v>1200</v>
      </c>
      <c r="D5" s="26">
        <v>0</v>
      </c>
      <c r="E5" s="26">
        <v>1200</v>
      </c>
      <c r="F5" s="26">
        <v>1400</v>
      </c>
      <c r="G5" s="26">
        <v>1200</v>
      </c>
      <c r="H5" s="26">
        <v>1100</v>
      </c>
      <c r="I5" s="57">
        <v>1000</v>
      </c>
      <c r="J5" s="63">
        <f t="shared" ref="J5:J16" si="1">I5/B5</f>
        <v>1388.8888888888889</v>
      </c>
      <c r="K5" s="24" t="s">
        <v>106</v>
      </c>
      <c r="L5" s="10"/>
      <c r="M5" s="46">
        <f>GETPIVOTDATA("Average of StandardRate",SKT!$A$3,"Type","Locker non air M lower","Area",0.6)</f>
        <v>660.93</v>
      </c>
      <c r="N5" s="47"/>
      <c r="O5" s="46"/>
      <c r="P5" s="46"/>
      <c r="Q5" s="46"/>
      <c r="R5" s="46"/>
      <c r="S5" s="46"/>
      <c r="T5" s="46">
        <f>GETPIVOTDATA("Average of StandardRate",BGS!$A$3,"Type","Locker non air M lower","Area",0.6)</f>
        <v>707.66</v>
      </c>
      <c r="U5" s="46"/>
      <c r="V5" s="84">
        <f t="shared" si="0"/>
        <v>950.40972222222217</v>
      </c>
      <c r="W5" s="64">
        <f t="shared" ref="W5:W16" si="2">V5/J5-1</f>
        <v>-0.31570500000000001</v>
      </c>
    </row>
    <row r="6" spans="1:23" x14ac:dyDescent="0.2">
      <c r="A6" s="24" t="s">
        <v>62</v>
      </c>
      <c r="B6" s="25">
        <v>1.3</v>
      </c>
      <c r="C6" s="26">
        <v>1900</v>
      </c>
      <c r="D6" s="26">
        <v>0</v>
      </c>
      <c r="E6" s="26">
        <v>1900</v>
      </c>
      <c r="F6" s="26">
        <v>1700</v>
      </c>
      <c r="G6" s="26">
        <v>1900</v>
      </c>
      <c r="H6" s="26">
        <v>1800</v>
      </c>
      <c r="I6" s="57">
        <v>1600</v>
      </c>
      <c r="J6" s="63">
        <f t="shared" si="1"/>
        <v>1230.7692307692307</v>
      </c>
      <c r="K6" s="24" t="s">
        <v>103</v>
      </c>
      <c r="L6" s="10" t="s">
        <v>88</v>
      </c>
      <c r="M6" s="46"/>
      <c r="N6" s="47"/>
      <c r="O6" s="46">
        <f>GETPIVOTDATA("Average of StandardRate",RAM!$A$3,"Type","Locker non air L upper","Area",0.9)</f>
        <v>474.02</v>
      </c>
      <c r="P6" s="46"/>
      <c r="Q6" s="46"/>
      <c r="R6" s="46">
        <f>GETPIVOTDATA("Average of StandardRate",PTG!$A$3,"Type","Locker non air L upper","Area",1)</f>
        <v>1495</v>
      </c>
      <c r="S6" s="46"/>
      <c r="T6" s="46"/>
      <c r="U6" s="46"/>
      <c r="V6" s="84">
        <f t="shared" si="0"/>
        <v>757.31538461538457</v>
      </c>
      <c r="W6" s="64">
        <f t="shared" si="2"/>
        <v>-0.38468124999999997</v>
      </c>
    </row>
    <row r="7" spans="1:23" x14ac:dyDescent="0.2">
      <c r="A7" s="24" t="s">
        <v>63</v>
      </c>
      <c r="B7" s="25">
        <v>1.3</v>
      </c>
      <c r="C7" s="26">
        <v>1700</v>
      </c>
      <c r="D7" s="26">
        <v>0</v>
      </c>
      <c r="E7" s="26">
        <v>1700</v>
      </c>
      <c r="F7" s="26">
        <v>1900</v>
      </c>
      <c r="G7" s="26">
        <v>1700</v>
      </c>
      <c r="H7" s="26">
        <v>1600</v>
      </c>
      <c r="I7" s="57">
        <v>1400</v>
      </c>
      <c r="J7" s="63">
        <f t="shared" si="1"/>
        <v>1076.9230769230769</v>
      </c>
      <c r="K7" s="24" t="s">
        <v>104</v>
      </c>
      <c r="L7" s="10" t="s">
        <v>88</v>
      </c>
      <c r="M7" s="46"/>
      <c r="N7" s="47"/>
      <c r="O7" s="46">
        <f>GETPIVOTDATA("Average of StandardRate",RAM!$A$3,"Type","Locker non air L lower","Area",0.9)</f>
        <v>567.48</v>
      </c>
      <c r="P7" s="46"/>
      <c r="Q7" s="46"/>
      <c r="R7" s="46">
        <f>GETPIVOTDATA("Average of StandardRate",PTG!$A$3,"Type","Locker non air L lower","Area",1)</f>
        <v>1395</v>
      </c>
      <c r="S7" s="46"/>
      <c r="T7" s="46"/>
      <c r="U7" s="46"/>
      <c r="V7" s="84">
        <f t="shared" si="0"/>
        <v>754.8</v>
      </c>
      <c r="W7" s="64">
        <f t="shared" si="2"/>
        <v>-0.29911428571428578</v>
      </c>
    </row>
    <row r="8" spans="1:23" x14ac:dyDescent="0.2">
      <c r="A8" s="295" t="s">
        <v>118</v>
      </c>
      <c r="B8" s="25"/>
      <c r="C8" s="26"/>
      <c r="D8" s="26"/>
      <c r="E8" s="26"/>
      <c r="F8" s="26"/>
      <c r="G8" s="26"/>
      <c r="H8" s="26"/>
      <c r="I8" s="57"/>
      <c r="J8" s="63"/>
      <c r="K8" s="295" t="s">
        <v>118</v>
      </c>
      <c r="L8" s="10"/>
      <c r="M8" s="46">
        <f>GETPIVOTDATA("Average of StandardRate",SKT!$A$3,"Type","Walk in non air  XXS","Area",1.4)</f>
        <v>1500</v>
      </c>
      <c r="N8" s="47"/>
      <c r="O8" s="46">
        <f>GETPIVOTDATA("Average of StandardRate",RAM!$A$3,"Type","Walk in non air  XXS","Area",1.4)</f>
        <v>1500</v>
      </c>
      <c r="P8" s="46"/>
      <c r="Q8" s="46"/>
      <c r="R8" s="46"/>
      <c r="S8" s="46"/>
      <c r="T8" s="46">
        <f>GETPIVOTDATA("Average of StandardRate",BGS!$A$3,"Type","Walk in non air  XXS","Area",1.44)</f>
        <v>1600</v>
      </c>
      <c r="U8" s="46"/>
      <c r="V8" s="84"/>
      <c r="W8" s="64"/>
    </row>
    <row r="9" spans="1:23" x14ac:dyDescent="0.2">
      <c r="A9" s="24" t="s">
        <v>52</v>
      </c>
      <c r="B9" s="25">
        <v>2.25</v>
      </c>
      <c r="C9" s="26">
        <v>3200</v>
      </c>
      <c r="D9" s="26">
        <v>0</v>
      </c>
      <c r="E9" s="26">
        <v>3200</v>
      </c>
      <c r="F9" s="26">
        <v>3200</v>
      </c>
      <c r="G9" s="26">
        <v>3200</v>
      </c>
      <c r="H9" s="26">
        <v>3000</v>
      </c>
      <c r="I9" s="57">
        <v>2700</v>
      </c>
      <c r="J9" s="63">
        <f t="shared" si="1"/>
        <v>1200</v>
      </c>
      <c r="K9" s="24" t="s">
        <v>96</v>
      </c>
      <c r="L9" s="10" t="s">
        <v>89</v>
      </c>
      <c r="M9" s="46">
        <f>GETPIVOTDATA("Average of StandardRate",SKT!$A$3,"Type","Walk in non air  XS","Area",2.09)</f>
        <v>2200</v>
      </c>
      <c r="N9" s="47"/>
      <c r="O9" s="46">
        <f>GETPIVOTDATA("Average of StandardRate",RAM!$A$3,"Type","Walk in non air  XS","Area",2.2)</f>
        <v>2100</v>
      </c>
      <c r="P9" s="46"/>
      <c r="Q9" s="46"/>
      <c r="R9" s="46">
        <f>GETPIVOTDATA("Average of StandardRate",PTG!$A$3,"Type","Walk in non air  XS","Area",2.16)</f>
        <v>2600</v>
      </c>
      <c r="S9" s="46"/>
      <c r="T9" s="46">
        <f>GETPIVOTDATA("Average of StandardRate",BGS!$A$3,"Type","Walk in non air  XS","Area",2.09)</f>
        <v>2200</v>
      </c>
      <c r="U9" s="46"/>
      <c r="V9" s="84">
        <f t="shared" si="0"/>
        <v>1011.1111111111111</v>
      </c>
      <c r="W9" s="64">
        <f t="shared" si="2"/>
        <v>-0.15740740740740744</v>
      </c>
    </row>
    <row r="10" spans="1:23" x14ac:dyDescent="0.2">
      <c r="A10" s="24" t="s">
        <v>64</v>
      </c>
      <c r="B10" s="25">
        <v>3</v>
      </c>
      <c r="C10" s="26">
        <v>4200</v>
      </c>
      <c r="D10" s="26">
        <v>0</v>
      </c>
      <c r="E10" s="26">
        <v>4200</v>
      </c>
      <c r="F10" s="26">
        <v>4200</v>
      </c>
      <c r="G10" s="26">
        <v>4200</v>
      </c>
      <c r="H10" s="26">
        <v>4000</v>
      </c>
      <c r="I10" s="57">
        <v>3600</v>
      </c>
      <c r="J10" s="63">
        <f t="shared" si="1"/>
        <v>1200</v>
      </c>
      <c r="K10" s="24" t="s">
        <v>95</v>
      </c>
      <c r="L10" s="10" t="s">
        <v>90</v>
      </c>
      <c r="M10" s="46">
        <f>GETPIVOTDATA("Average of StandardRate",SKT!$A$3,"Type","Walk in non air  S","Area",2.99)</f>
        <v>3600</v>
      </c>
      <c r="N10" s="47"/>
      <c r="O10" s="46">
        <f>GETPIVOTDATA("Average of StandardRate",RAM!$A$3,"Type","Walk in non air  S","Area",3)</f>
        <v>2600</v>
      </c>
      <c r="P10" s="46"/>
      <c r="Q10" s="46"/>
      <c r="R10" s="46">
        <f>GETPIVOTDATA("Average of StandardRate",PTG!$A$3,"Type","Walk in non air  S","Area",3.08)</f>
        <v>3100</v>
      </c>
      <c r="S10" s="46"/>
      <c r="T10" s="46">
        <f>GETPIVOTDATA("Average of StandardRate",BGS!$A$3,"Type","Walk in non air  S","Area",2.88)</f>
        <v>3100</v>
      </c>
      <c r="U10" s="46"/>
      <c r="V10" s="84">
        <f t="shared" si="0"/>
        <v>1033.3333333333333</v>
      </c>
      <c r="W10" s="64">
        <f t="shared" si="2"/>
        <v>-0.13888888888888895</v>
      </c>
    </row>
    <row r="11" spans="1:23" x14ac:dyDescent="0.2">
      <c r="A11" s="24" t="s">
        <v>54</v>
      </c>
      <c r="B11" s="25">
        <v>4.5</v>
      </c>
      <c r="C11" s="26">
        <v>5300</v>
      </c>
      <c r="D11" s="26">
        <v>0</v>
      </c>
      <c r="E11" s="26">
        <v>5300</v>
      </c>
      <c r="F11" s="26">
        <v>5300</v>
      </c>
      <c r="G11" s="26">
        <v>5300</v>
      </c>
      <c r="H11" s="26">
        <v>5000</v>
      </c>
      <c r="I11" s="57">
        <v>4500</v>
      </c>
      <c r="J11" s="63">
        <f t="shared" si="1"/>
        <v>1000</v>
      </c>
      <c r="K11" s="24" t="s">
        <v>97</v>
      </c>
      <c r="L11" s="10" t="s">
        <v>91</v>
      </c>
      <c r="M11" s="46">
        <f>GETPIVOTDATA("Average of StandardRate",SKT!$A$3,"Type","Walk in non air  S","Area",4.4)</f>
        <v>4700</v>
      </c>
      <c r="N11" s="47"/>
      <c r="O11" s="46">
        <f>GETPIVOTDATA("Average of StandardRate",RAM!$A$3,"Type","Walk in non air  S","Area",4.42)</f>
        <v>4200</v>
      </c>
      <c r="P11" s="46"/>
      <c r="Q11" s="46"/>
      <c r="R11" s="46">
        <f>GETPIVOTDATA("Average of StandardRate",PTG!$A$3,"Type","Walk in non air  S","Area",4.48)</f>
        <v>4200</v>
      </c>
      <c r="S11" s="46"/>
      <c r="T11" s="46">
        <f>GETPIVOTDATA("Average of StandardRate",BGS!$A$3,"Type","Walk in non air  M","Area",5.04)</f>
        <v>5200</v>
      </c>
      <c r="U11" s="46"/>
      <c r="V11" s="84">
        <f>SUM(M11:U11)/COUNT(M11:U11)/B11</f>
        <v>1016.6666666666666</v>
      </c>
      <c r="W11" s="64">
        <f>V11/J11-1</f>
        <v>1.6666666666666607E-2</v>
      </c>
    </row>
    <row r="12" spans="1:23" x14ac:dyDescent="0.2">
      <c r="A12" s="24" t="s">
        <v>55</v>
      </c>
      <c r="B12" s="25">
        <v>6</v>
      </c>
      <c r="C12" s="26">
        <v>7000</v>
      </c>
      <c r="D12" s="26">
        <v>0</v>
      </c>
      <c r="E12" s="26">
        <v>7000</v>
      </c>
      <c r="F12" s="26">
        <v>7000</v>
      </c>
      <c r="G12" s="26">
        <v>7000</v>
      </c>
      <c r="H12" s="26">
        <v>6500</v>
      </c>
      <c r="I12" s="57">
        <v>5800</v>
      </c>
      <c r="J12" s="63">
        <f t="shared" si="1"/>
        <v>966.66666666666663</v>
      </c>
      <c r="K12" s="24" t="s">
        <v>98</v>
      </c>
      <c r="L12" s="10" t="s">
        <v>92</v>
      </c>
      <c r="M12" s="46">
        <f>GETPIVOTDATA("Average of StandardRate",SKT!$A$3,"Type","Walk in non air  M","Area",5.98)</f>
        <v>6200</v>
      </c>
      <c r="N12" s="47"/>
      <c r="O12" s="46">
        <f>GETPIVOTDATA("Average of StandardRate",RAM!$A$3,"Type","Walk in non air  M","Area",5.72)</f>
        <v>5000</v>
      </c>
      <c r="P12" s="46"/>
      <c r="Q12" s="46"/>
      <c r="R12" s="46">
        <f>GETPIVOTDATA("Average of StandardRate",PTG!$A$3,"Type","Walk in non air  M","Area",5.94)</f>
        <v>5100</v>
      </c>
      <c r="S12" s="46"/>
      <c r="T12" s="46">
        <f>GETPIVOTDATA("Average of StandardRate",BGS!$A$3,"Type","Walk in non air  M","Area",5.75)</f>
        <v>6000</v>
      </c>
      <c r="U12" s="46"/>
      <c r="V12" s="84">
        <f t="shared" si="0"/>
        <v>929.16666666666663</v>
      </c>
      <c r="W12" s="64">
        <f t="shared" si="2"/>
        <v>-3.8793103448275912E-2</v>
      </c>
    </row>
    <row r="13" spans="1:23" x14ac:dyDescent="0.2">
      <c r="A13" s="24" t="s">
        <v>56</v>
      </c>
      <c r="B13" s="25">
        <v>9</v>
      </c>
      <c r="C13" s="26">
        <v>10000</v>
      </c>
      <c r="D13" s="26">
        <v>0</v>
      </c>
      <c r="E13" s="26">
        <v>10000</v>
      </c>
      <c r="F13" s="26">
        <v>10000</v>
      </c>
      <c r="G13" s="26">
        <v>10000</v>
      </c>
      <c r="H13" s="26">
        <v>9500</v>
      </c>
      <c r="I13" s="57">
        <v>8500</v>
      </c>
      <c r="J13" s="63">
        <f t="shared" si="1"/>
        <v>944.44444444444446</v>
      </c>
      <c r="K13" s="24" t="s">
        <v>99</v>
      </c>
      <c r="L13" s="10" t="s">
        <v>93</v>
      </c>
      <c r="M13" s="46">
        <f>GETPIVOTDATA("Average of StandardRate",SKT!$A$3,"Type","Walk in non air  M","Area",9.36)</f>
        <v>9300</v>
      </c>
      <c r="N13" s="47"/>
      <c r="O13" s="46">
        <f>GETPIVOTDATA("Average of StandardRate",RAM!$A$3,"Type","Walk in non air  M","Area",8.67)</f>
        <v>7500</v>
      </c>
      <c r="P13" s="46"/>
      <c r="Q13" s="46"/>
      <c r="R13" s="46">
        <f>GETPIVOTDATA("Average of StandardRate",PTG!$A$3,"Type","Walk in non air  M","Area",8.96)</f>
        <v>6700</v>
      </c>
      <c r="S13" s="46"/>
      <c r="T13" s="46">
        <f>GETPIVOTDATA("Average of StandardRate",BGS!$A$3,"Type","Walk in non air  M","Area",9.8)</f>
        <v>9900</v>
      </c>
      <c r="U13" s="46"/>
      <c r="V13" s="84">
        <f t="shared" si="0"/>
        <v>927.77777777777783</v>
      </c>
      <c r="W13" s="64">
        <f t="shared" si="2"/>
        <v>-1.7647058823529349E-2</v>
      </c>
    </row>
    <row r="14" spans="1:23" x14ac:dyDescent="0.2">
      <c r="A14" s="24" t="s">
        <v>57</v>
      </c>
      <c r="B14" s="25">
        <v>12.5</v>
      </c>
      <c r="C14" s="26">
        <v>0</v>
      </c>
      <c r="D14" s="26">
        <v>0</v>
      </c>
      <c r="E14" s="26">
        <v>0</v>
      </c>
      <c r="F14" s="26">
        <v>14000</v>
      </c>
      <c r="G14" s="26">
        <v>14000</v>
      </c>
      <c r="H14" s="26">
        <v>13500</v>
      </c>
      <c r="I14" s="57">
        <v>12000</v>
      </c>
      <c r="J14" s="63">
        <f t="shared" si="1"/>
        <v>960</v>
      </c>
      <c r="K14" s="24" t="s">
        <v>100</v>
      </c>
      <c r="L14" s="10" t="s">
        <v>94</v>
      </c>
      <c r="M14" s="46">
        <f>GETPIVOTDATA("Average of StandardRate",SKT!$A$3,"Type","Walk in non air  L","Area",13.5)</f>
        <v>12500</v>
      </c>
      <c r="N14" s="47"/>
      <c r="O14" s="46">
        <f>GETPIVOTDATA("Average of StandardRate",RAM!$A$3,"Type","Walk in non air  L","Area",11.44)</f>
        <v>11000</v>
      </c>
      <c r="P14" s="46"/>
      <c r="Q14" s="46"/>
      <c r="R14" s="46">
        <f>GETPIVOTDATA("Average of StandardRate",PTG!$A$3,"Type","Walk in non air  L","Area",12.6)</f>
        <v>8800</v>
      </c>
      <c r="S14" s="46"/>
      <c r="T14" s="46">
        <f>GETPIVOTDATA("Average of StandardRate",BGS!$A$3,"Type","Walk in non air  L","Area",14.1)</f>
        <v>15000</v>
      </c>
      <c r="U14" s="46"/>
      <c r="V14" s="84">
        <f t="shared" si="0"/>
        <v>946</v>
      </c>
      <c r="W14" s="64">
        <f t="shared" si="2"/>
        <v>-1.4583333333333282E-2</v>
      </c>
    </row>
    <row r="15" spans="1:23" x14ac:dyDescent="0.2">
      <c r="A15" s="24" t="s">
        <v>65</v>
      </c>
      <c r="B15" s="25">
        <v>19.8</v>
      </c>
      <c r="C15" s="26">
        <v>0</v>
      </c>
      <c r="D15" s="26">
        <v>0</v>
      </c>
      <c r="E15" s="26">
        <v>19000</v>
      </c>
      <c r="F15" s="26">
        <v>0</v>
      </c>
      <c r="G15" s="26">
        <v>19000</v>
      </c>
      <c r="H15" s="26">
        <v>0</v>
      </c>
      <c r="I15" s="57">
        <v>16000</v>
      </c>
      <c r="J15" s="63">
        <f t="shared" si="1"/>
        <v>808.08080808080808</v>
      </c>
      <c r="K15" s="24" t="s">
        <v>101</v>
      </c>
      <c r="L15" s="10"/>
      <c r="M15" s="46"/>
      <c r="N15" s="46"/>
      <c r="O15" s="46"/>
      <c r="P15" s="46"/>
      <c r="Q15" s="46">
        <f>GETPIVOTDATA("Average of StandardRate",LPR!$A$3,"Type","Garage non air  L","Area",19.08)</f>
        <v>19100</v>
      </c>
      <c r="R15" s="46">
        <f>GETPIVOTDATA("Average of StandardRate",PTG!$A$3,"Type","Garage non air  XL","Area",19.52)</f>
        <v>13700</v>
      </c>
      <c r="S15" s="46"/>
      <c r="T15" s="46">
        <f>GETPIVOTDATA("Average of StandardRate",BGS!$A$3,"Type","Garage non air  L","Area",15.08)</f>
        <v>15100</v>
      </c>
      <c r="U15" s="46"/>
      <c r="V15" s="84">
        <f t="shared" si="0"/>
        <v>806.39730639730635</v>
      </c>
      <c r="W15" s="64">
        <f t="shared" si="2"/>
        <v>-2.083333333333437E-3</v>
      </c>
    </row>
    <row r="16" spans="1:23" x14ac:dyDescent="0.2">
      <c r="A16" s="24" t="s">
        <v>66</v>
      </c>
      <c r="B16" s="25">
        <v>25</v>
      </c>
      <c r="C16" s="26">
        <v>0</v>
      </c>
      <c r="D16" s="26">
        <v>0</v>
      </c>
      <c r="E16" s="26">
        <v>0</v>
      </c>
      <c r="F16" s="26">
        <v>0</v>
      </c>
      <c r="G16" s="26">
        <v>21000</v>
      </c>
      <c r="H16" s="26">
        <v>20000</v>
      </c>
      <c r="I16" s="57">
        <v>18000</v>
      </c>
      <c r="J16" s="63">
        <f t="shared" si="1"/>
        <v>720</v>
      </c>
      <c r="K16" s="24" t="s">
        <v>102</v>
      </c>
      <c r="L16" s="10"/>
      <c r="M16" s="46"/>
      <c r="N16" s="46"/>
      <c r="O16" s="46"/>
      <c r="P16" s="46"/>
      <c r="Q16" s="46"/>
      <c r="R16" s="46">
        <f>GETPIVOTDATA("Average of StandardRate",PTG!$A$3,"Type","Garage non air  XL","Area",25.01)</f>
        <v>17500</v>
      </c>
      <c r="S16" s="46"/>
      <c r="T16" s="46"/>
      <c r="U16" s="46"/>
      <c r="V16" s="84">
        <f t="shared" si="0"/>
        <v>700</v>
      </c>
      <c r="W16" s="64">
        <f t="shared" si="2"/>
        <v>-2.777777777777779E-2</v>
      </c>
    </row>
    <row r="18" spans="1:23" s="16" customFormat="1" x14ac:dyDescent="0.2">
      <c r="A18" s="27" t="s">
        <v>76</v>
      </c>
      <c r="B18" s="28"/>
      <c r="C18" s="29"/>
      <c r="D18" s="29"/>
      <c r="E18" s="29"/>
      <c r="F18" s="29"/>
      <c r="G18" s="29"/>
      <c r="H18" s="29"/>
      <c r="I18" s="29"/>
      <c r="J18" s="19"/>
      <c r="K18" s="27" t="s">
        <v>76</v>
      </c>
      <c r="L18" s="12"/>
      <c r="M18" s="13"/>
      <c r="N18" s="13"/>
      <c r="O18" s="13"/>
      <c r="P18" s="13"/>
      <c r="Q18" s="13"/>
      <c r="R18" s="13"/>
      <c r="S18" s="13"/>
      <c r="T18" s="14"/>
      <c r="U18" s="14"/>
      <c r="V18" s="82"/>
    </row>
    <row r="19" spans="1:23" s="30" customFormat="1" x14ac:dyDescent="0.2">
      <c r="B19" s="31"/>
      <c r="C19" s="18" t="s">
        <v>68</v>
      </c>
      <c r="D19" s="18" t="s">
        <v>69</v>
      </c>
      <c r="E19" s="18" t="s">
        <v>70</v>
      </c>
      <c r="F19" s="18" t="s">
        <v>71</v>
      </c>
      <c r="G19" s="18" t="s">
        <v>72</v>
      </c>
      <c r="H19" s="18" t="s">
        <v>73</v>
      </c>
      <c r="I19" s="18" t="s">
        <v>74</v>
      </c>
      <c r="J19" s="18"/>
      <c r="K19" s="16"/>
      <c r="L19" s="17"/>
      <c r="M19" s="18" t="s">
        <v>51</v>
      </c>
      <c r="N19" s="59" t="s">
        <v>80</v>
      </c>
      <c r="O19" s="60" t="s">
        <v>81</v>
      </c>
      <c r="P19" s="60" t="s">
        <v>82</v>
      </c>
      <c r="Q19" s="60" t="s">
        <v>83</v>
      </c>
      <c r="R19" s="18" t="s">
        <v>84</v>
      </c>
      <c r="S19" s="60" t="s">
        <v>86</v>
      </c>
      <c r="T19" s="61" t="s">
        <v>85</v>
      </c>
      <c r="U19" s="61" t="s">
        <v>87</v>
      </c>
      <c r="V19" s="85"/>
    </row>
    <row r="20" spans="1:23" s="30" customFormat="1" x14ac:dyDescent="0.2">
      <c r="A20" s="32" t="s">
        <v>58</v>
      </c>
      <c r="B20" s="33" t="s">
        <v>59</v>
      </c>
      <c r="C20" s="34" t="s">
        <v>75</v>
      </c>
      <c r="D20" s="34" t="s">
        <v>75</v>
      </c>
      <c r="E20" s="34" t="s">
        <v>75</v>
      </c>
      <c r="F20" s="34" t="s">
        <v>75</v>
      </c>
      <c r="G20" s="34" t="s">
        <v>75</v>
      </c>
      <c r="H20" s="34" t="s">
        <v>75</v>
      </c>
      <c r="I20" s="34" t="s">
        <v>75</v>
      </c>
      <c r="J20" s="18" t="s">
        <v>112</v>
      </c>
      <c r="K20" s="40" t="s">
        <v>58</v>
      </c>
      <c r="L20" s="41" t="s">
        <v>59</v>
      </c>
      <c r="M20" s="42" t="s">
        <v>75</v>
      </c>
      <c r="N20" s="42" t="s">
        <v>75</v>
      </c>
      <c r="O20" s="42" t="s">
        <v>75</v>
      </c>
      <c r="P20" s="42" t="s">
        <v>75</v>
      </c>
      <c r="Q20" s="42" t="s">
        <v>75</v>
      </c>
      <c r="R20" s="42" t="s">
        <v>75</v>
      </c>
      <c r="S20" s="42" t="s">
        <v>75</v>
      </c>
      <c r="T20" s="42" t="s">
        <v>75</v>
      </c>
      <c r="U20" s="42" t="s">
        <v>75</v>
      </c>
      <c r="V20" s="85" t="s">
        <v>112</v>
      </c>
    </row>
    <row r="21" spans="1:23" x14ac:dyDescent="0.2">
      <c r="A21" s="24" t="s">
        <v>60</v>
      </c>
      <c r="B21" s="25">
        <v>0.72</v>
      </c>
      <c r="C21" s="26">
        <v>1400</v>
      </c>
      <c r="D21" s="26">
        <v>1400</v>
      </c>
      <c r="E21" s="26">
        <v>0</v>
      </c>
      <c r="F21" s="26">
        <v>1200</v>
      </c>
      <c r="G21" s="58">
        <v>1400</v>
      </c>
      <c r="H21" s="26">
        <v>0</v>
      </c>
      <c r="I21" s="57">
        <v>1200</v>
      </c>
      <c r="J21" s="63">
        <f>I21/B21</f>
        <v>1666.6666666666667</v>
      </c>
      <c r="K21" s="24" t="s">
        <v>105</v>
      </c>
      <c r="L21" s="10"/>
      <c r="M21" s="47"/>
      <c r="N21" s="46">
        <f>GETPIVOTDATA("Average of StandardRate",SAM!$A$3,"Type","Locker air cond M upper","Area",0.6)</f>
        <v>731.03</v>
      </c>
      <c r="O21" s="47"/>
      <c r="P21" s="47"/>
      <c r="Q21" s="47">
        <f>GETPIVOTDATA("Average of StandardRate",LPR!$A$3,"Type","Locker air cond M upper","Area",0.6)</f>
        <v>801.12</v>
      </c>
      <c r="R21" s="47"/>
      <c r="S21" s="47">
        <f>GETPIVOTDATA("Average of StandardRate",PTY!$A$3,"Type","Locker air cond M upper","Area",0.6)</f>
        <v>801.12149999999997</v>
      </c>
      <c r="T21" s="47">
        <f>GETPIVOTDATA("Average of StandardRate",BGS!$A$3,"Type","Locker air cond M upper","Area",0.6)</f>
        <v>801.12</v>
      </c>
      <c r="U21" s="47">
        <f>GETPIVOTDATA("Average of StandardRate",RCD!$A$3,"Type","Locker air cond M upper","Area",0.6)</f>
        <v>801.12</v>
      </c>
      <c r="V21" s="84">
        <f t="shared" ref="V21:V32" si="3">SUM(M21:U21)/COUNT(M21:U21)/B21</f>
        <v>1093.1976388888888</v>
      </c>
      <c r="W21" s="64">
        <f t="shared" ref="W21:W32" si="4">V21/J21-1</f>
        <v>-0.3440814166666667</v>
      </c>
    </row>
    <row r="22" spans="1:23" x14ac:dyDescent="0.2">
      <c r="A22" s="24" t="s">
        <v>61</v>
      </c>
      <c r="B22" s="25">
        <v>0.72</v>
      </c>
      <c r="C22" s="26">
        <v>1200</v>
      </c>
      <c r="D22" s="26">
        <v>1400</v>
      </c>
      <c r="E22" s="26">
        <v>0</v>
      </c>
      <c r="F22" s="26">
        <v>1400</v>
      </c>
      <c r="G22" s="58">
        <v>1200</v>
      </c>
      <c r="H22" s="26">
        <v>0</v>
      </c>
      <c r="I22" s="57">
        <v>1000</v>
      </c>
      <c r="J22" s="63">
        <f t="shared" ref="J22:J33" si="5">I22/B22</f>
        <v>1388.8888888888889</v>
      </c>
      <c r="K22" s="24" t="s">
        <v>106</v>
      </c>
      <c r="L22" s="10"/>
      <c r="M22" s="47"/>
      <c r="N22" s="46">
        <f>GETPIVOTDATA("Average of StandardRate",SAM!$A$3,"Type","Locker air cond M lower","Area",0.6)</f>
        <v>988.04</v>
      </c>
      <c r="O22" s="47"/>
      <c r="P22" s="47"/>
      <c r="Q22" s="47">
        <f>GETPIVOTDATA("Average of StandardRate",LPR!$A$3,"Type","Locker air cond M upper","Area",0.6)</f>
        <v>801.12</v>
      </c>
      <c r="R22" s="47"/>
      <c r="S22" s="47">
        <f>GETPIVOTDATA("Average of StandardRate",PTY!$A$3,"Type","Locker air cond M lower","Area",0.6)</f>
        <v>894.57939999999996</v>
      </c>
      <c r="T22" s="47">
        <f>GETPIVOTDATA("Average of StandardRate",BGS!$A$3,"Type","Locker air cond M lower","Area",0.6)</f>
        <v>894.58</v>
      </c>
      <c r="U22" s="47">
        <f>GETPIVOTDATA("Average of StandardRate",RCD!$A$3,"Type","Locker air cond M lower","Area",0.6)</f>
        <v>801.12</v>
      </c>
      <c r="V22" s="84">
        <f t="shared" si="3"/>
        <v>1216.5109444444445</v>
      </c>
      <c r="W22" s="64">
        <f t="shared" si="4"/>
        <v>-0.12411212000000005</v>
      </c>
    </row>
    <row r="23" spans="1:23" x14ac:dyDescent="0.2">
      <c r="A23" s="24" t="s">
        <v>62</v>
      </c>
      <c r="B23" s="25">
        <v>1.3</v>
      </c>
      <c r="C23" s="26">
        <v>1900</v>
      </c>
      <c r="D23" s="26">
        <v>1900</v>
      </c>
      <c r="E23" s="26">
        <v>0</v>
      </c>
      <c r="F23" s="26">
        <v>1700</v>
      </c>
      <c r="G23" s="58">
        <v>1900</v>
      </c>
      <c r="H23" s="26">
        <v>0</v>
      </c>
      <c r="I23" s="57">
        <v>1600</v>
      </c>
      <c r="J23" s="63">
        <f t="shared" si="5"/>
        <v>1230.7692307692307</v>
      </c>
      <c r="K23" s="24" t="s">
        <v>103</v>
      </c>
      <c r="L23" s="10" t="s">
        <v>88</v>
      </c>
      <c r="M23" s="47"/>
      <c r="N23" s="46">
        <f>GETPIVOTDATA("Average of StandardRate",SAM!$A$3,"Type","Locker air cond L upper","Area",1)</f>
        <v>847.85</v>
      </c>
      <c r="O23" s="47"/>
      <c r="P23" s="47">
        <f>GETPIVOTDATA("Average of StandardRate",'RM9'!$A$3,"Type","Locker air cond L upper","Area",1)</f>
        <v>801.12</v>
      </c>
      <c r="Q23" s="47"/>
      <c r="R23" s="47"/>
      <c r="S23" s="47"/>
      <c r="T23" s="47"/>
      <c r="U23" s="47">
        <f>GETPIVOTDATA("Average of StandardRate",RCD!$A$3,"Type","Locker air cond L upper","Area",1.02)</f>
        <v>824.4849999999999</v>
      </c>
      <c r="V23" s="84">
        <f t="shared" si="3"/>
        <v>634.21923076923076</v>
      </c>
      <c r="W23" s="64">
        <f t="shared" si="4"/>
        <v>-0.48469687500000003</v>
      </c>
    </row>
    <row r="24" spans="1:23" x14ac:dyDescent="0.2">
      <c r="A24" s="24" t="s">
        <v>63</v>
      </c>
      <c r="B24" s="25">
        <v>1.3</v>
      </c>
      <c r="C24" s="26">
        <v>1700</v>
      </c>
      <c r="D24" s="26">
        <v>1900</v>
      </c>
      <c r="E24" s="26">
        <v>0</v>
      </c>
      <c r="F24" s="26">
        <v>1900</v>
      </c>
      <c r="G24" s="58">
        <v>1700</v>
      </c>
      <c r="H24" s="26">
        <v>0</v>
      </c>
      <c r="I24" s="57">
        <v>1400</v>
      </c>
      <c r="J24" s="63">
        <f t="shared" si="5"/>
        <v>1076.9230769230769</v>
      </c>
      <c r="K24" s="24" t="s">
        <v>104</v>
      </c>
      <c r="L24" s="10" t="s">
        <v>88</v>
      </c>
      <c r="M24" s="47"/>
      <c r="N24" s="46">
        <f>GETPIVOTDATA("Average of StandardRate",SAM!$A$3,"Type","Locker air cond L lower","Area",1)</f>
        <v>988.04</v>
      </c>
      <c r="O24" s="47"/>
      <c r="P24" s="47">
        <f>GETPIVOTDATA("Average of StandardRate",'RM9'!$A$3,"Type","Locker air cond L lower","Area",1)</f>
        <v>894.58</v>
      </c>
      <c r="Q24" s="47"/>
      <c r="R24" s="47"/>
      <c r="S24" s="48"/>
      <c r="T24" s="47"/>
      <c r="U24" s="47">
        <f>GETPIVOTDATA("Average of StandardRate",RCD!$A$3,"Type","Locker air cond L lower","Area",1.02)</f>
        <v>1081.5</v>
      </c>
      <c r="V24" s="84">
        <f t="shared" si="3"/>
        <v>760.03076923076912</v>
      </c>
      <c r="W24" s="64">
        <f t="shared" si="4"/>
        <v>-0.29425714285714299</v>
      </c>
    </row>
    <row r="25" spans="1:23" x14ac:dyDescent="0.2">
      <c r="A25" s="295" t="s">
        <v>118</v>
      </c>
      <c r="B25" s="25"/>
      <c r="C25" s="26"/>
      <c r="D25" s="26"/>
      <c r="E25" s="26"/>
      <c r="F25" s="26"/>
      <c r="G25" s="58"/>
      <c r="H25" s="26"/>
      <c r="I25" s="57"/>
      <c r="J25" s="63"/>
      <c r="K25" s="295" t="s">
        <v>118</v>
      </c>
      <c r="L25" s="10"/>
      <c r="M25" s="47"/>
      <c r="N25" s="46">
        <f>GETPIVOTDATA("Average of StandardRate",SAM!$A$3,"Type","Walk in air cond  XXS","Area",1.44)</f>
        <v>2050</v>
      </c>
      <c r="O25" s="47">
        <f>GETPIVOTDATA("Average of StandardRate",RAM!$A$3,"Type","Walk in air cond  XXS","Area",1.1)</f>
        <v>1400</v>
      </c>
      <c r="P25" s="47">
        <f>GETPIVOTDATA("Average of StandardRate",'RM9'!$A$3,"Type","Walk in air cond  XXS","Area",1.44)</f>
        <v>2000</v>
      </c>
      <c r="Q25" s="47">
        <f>GETPIVOTDATA("Average of StandardRate",LPR!$A$3,"Type","Walk in air cond  XXS","Area",1.44)</f>
        <v>2100</v>
      </c>
      <c r="R25" s="47"/>
      <c r="S25" s="48">
        <f>GETPIVOTDATA("Average of StandardRate",PTY!$A$3,"Type","Walk in air cond  XXS","Area",1.35)</f>
        <v>1775.7009</v>
      </c>
      <c r="T25" s="47">
        <f>GETPIVOTDATA("Average of StandardRate",BGS!$A$3,"Type","Walk in air cond  XXS","Area",1.44)</f>
        <v>1600</v>
      </c>
      <c r="U25" s="47">
        <f>GETPIVOTDATA("Average of StandardRate",RCD!$A$3,"Type","Walk in air cond  XXS","Area",1)</f>
        <v>1600</v>
      </c>
      <c r="V25" s="84"/>
      <c r="W25" s="64"/>
    </row>
    <row r="26" spans="1:23" x14ac:dyDescent="0.2">
      <c r="A26" s="24" t="s">
        <v>52</v>
      </c>
      <c r="B26" s="25">
        <v>2.25</v>
      </c>
      <c r="C26" s="26">
        <v>3700</v>
      </c>
      <c r="D26" s="26">
        <v>3700</v>
      </c>
      <c r="E26" s="26">
        <v>0</v>
      </c>
      <c r="F26" s="26">
        <v>3700</v>
      </c>
      <c r="G26" s="58">
        <v>3700</v>
      </c>
      <c r="H26" s="26">
        <v>3500</v>
      </c>
      <c r="I26" s="57">
        <v>3000</v>
      </c>
      <c r="J26" s="63">
        <f t="shared" si="5"/>
        <v>1333.3333333333333</v>
      </c>
      <c r="K26" s="24" t="s">
        <v>96</v>
      </c>
      <c r="L26" s="10" t="s">
        <v>89</v>
      </c>
      <c r="M26" s="47"/>
      <c r="N26" s="46">
        <f>GETPIVOTDATA("Average of StandardRate",SAM!$A$3,"Type","Walk in air cond  XS","Area",2.25)</f>
        <v>3000</v>
      </c>
      <c r="O26" s="47">
        <f>GETPIVOTDATA("Average of StandardRate",RAM!$A$3,"Type","Walk in air cond  XS","Area",2.04)</f>
        <v>2200</v>
      </c>
      <c r="P26" s="47">
        <f>GETPIVOTDATA("Average of StandardRate",'RM9'!$A$3,"Type","Walk in air cond  XS","Area",2.08)</f>
        <v>2600</v>
      </c>
      <c r="Q26" s="47">
        <f>GETPIVOTDATA("Average of StandardRate",LPR!$A$3,"Type","Walk in air cond  XS","Area",2.16)</f>
        <v>2800</v>
      </c>
      <c r="R26" s="47"/>
      <c r="S26" s="47">
        <f>GETPIVOTDATA("Average of StandardRate",PTY!$A$3,"Type","Walk in air cond  XS","Area",2.1)</f>
        <v>2429.9065000000001</v>
      </c>
      <c r="T26" s="47">
        <f>GETPIVOTDATA("Average of StandardRate",BGS!$A$3,"Type","Walk in air cond  XS","Area",2.04)</f>
        <v>2500</v>
      </c>
      <c r="U26" s="47">
        <f>GETPIVOTDATA("Average of StandardRate",RCD!$A$3,"Type","Walk in air cond  XS","Area",2.16)</f>
        <v>3400</v>
      </c>
      <c r="V26" s="84">
        <f t="shared" si="3"/>
        <v>1201.8988253968255</v>
      </c>
      <c r="W26" s="64">
        <f t="shared" si="4"/>
        <v>-9.857588095238079E-2</v>
      </c>
    </row>
    <row r="27" spans="1:23" x14ac:dyDescent="0.2">
      <c r="A27" s="24" t="s">
        <v>53</v>
      </c>
      <c r="B27" s="25">
        <v>3</v>
      </c>
      <c r="C27" s="26">
        <v>4800</v>
      </c>
      <c r="D27" s="26">
        <v>4800</v>
      </c>
      <c r="E27" s="26">
        <v>5300</v>
      </c>
      <c r="F27" s="26">
        <v>4800</v>
      </c>
      <c r="G27" s="58">
        <v>4800</v>
      </c>
      <c r="H27" s="26">
        <v>4500</v>
      </c>
      <c r="I27" s="57">
        <v>4000</v>
      </c>
      <c r="J27" s="63">
        <f t="shared" si="5"/>
        <v>1333.3333333333333</v>
      </c>
      <c r="K27" s="24" t="s">
        <v>95</v>
      </c>
      <c r="L27" s="10" t="s">
        <v>90</v>
      </c>
      <c r="M27" s="47"/>
      <c r="N27" s="46">
        <f>GETPIVOTDATA("Average of StandardRate",SAM!$A$3,"Type","Walk in air cond  S","Area",3)</f>
        <v>3800</v>
      </c>
      <c r="O27" s="47">
        <f>GETPIVOTDATA("Average of StandardRate",RAM!$A$3,"Type","Walk in air cond  S","Area",3)</f>
        <v>3300</v>
      </c>
      <c r="P27" s="47">
        <f>GETPIVOTDATA("Average of StandardRate",'RM9'!$A$3,"Type","Walk in air cond  S","Area",2.99)</f>
        <v>3700</v>
      </c>
      <c r="Q27" s="47">
        <f>GETPIVOTDATA("Average of StandardRate",LPR!$A$3,"Type","Walk in air cond  S","Area",3.06)</f>
        <v>3900</v>
      </c>
      <c r="R27" s="47"/>
      <c r="S27" s="47">
        <f>GETPIVOTDATA("Average of StandardRate",PTY!$A$3,"Type","Walk in air cond  S","Area",3)</f>
        <v>4200</v>
      </c>
      <c r="T27" s="47">
        <f>GETPIVOTDATA("Average of StandardRate",BGS!$A$3,"Type","Walk in non air  S","Area",2.88)</f>
        <v>3100</v>
      </c>
      <c r="U27" s="47">
        <f>GETPIVOTDATA("Average of StandardRate",RCD!$A$3,"Type","Walk in air cond  S","Area",3)</f>
        <v>4300</v>
      </c>
      <c r="V27" s="84">
        <f t="shared" si="3"/>
        <v>1252.3809523809525</v>
      </c>
      <c r="W27" s="64">
        <f t="shared" si="4"/>
        <v>-6.071428571428561E-2</v>
      </c>
    </row>
    <row r="28" spans="1:23" x14ac:dyDescent="0.2">
      <c r="A28" s="24" t="s">
        <v>54</v>
      </c>
      <c r="B28" s="25">
        <v>4.5</v>
      </c>
      <c r="C28" s="26">
        <v>7000</v>
      </c>
      <c r="D28" s="26">
        <v>7000</v>
      </c>
      <c r="E28" s="26">
        <v>7000</v>
      </c>
      <c r="F28" s="26">
        <v>7000</v>
      </c>
      <c r="G28" s="58">
        <v>7000</v>
      </c>
      <c r="H28" s="26">
        <v>6500</v>
      </c>
      <c r="I28" s="57">
        <v>6000</v>
      </c>
      <c r="J28" s="63">
        <f t="shared" si="5"/>
        <v>1333.3333333333333</v>
      </c>
      <c r="K28" s="24" t="s">
        <v>97</v>
      </c>
      <c r="L28" s="10" t="s">
        <v>91</v>
      </c>
      <c r="M28" s="47"/>
      <c r="N28" s="46">
        <f>GETPIVOTDATA("Average of StandardRate",SAM!$A$3,"Type","Walk in air cond  S","Area",4.5)</f>
        <v>6100</v>
      </c>
      <c r="O28" s="47">
        <f>GETPIVOTDATA("Average of StandardRate",RAM!$A$3,"Type","Walk in air cond  S","Area",4.2)</f>
        <v>4500</v>
      </c>
      <c r="P28" s="47">
        <f>GETPIVOTDATA("Average of StandardRate",'RM9'!$A$3,"Type","Walk in air cond  S","Area",4.8)</f>
        <v>6200</v>
      </c>
      <c r="Q28" s="47">
        <f>GETPIVOTDATA("Average of StandardRate",LPR!$A$3,"Type","Walk in air cond  S","Area",4.6)</f>
        <v>5600</v>
      </c>
      <c r="R28" s="47"/>
      <c r="S28" s="47">
        <f>GETPIVOTDATA("Average of StandardRate",PTY!$A$3,"Type","Walk in air cond  S","Area",4.559)</f>
        <v>6000</v>
      </c>
      <c r="T28" s="47">
        <f>GETPIVOTDATA("Average of StandardRate",BGS!$A$3,"Type","Walk in air cond  M","Area",5.04)</f>
        <v>5400</v>
      </c>
      <c r="U28" s="47">
        <f>GETPIVOTDATA("Average of StandardRate",RCD!$A$3,"Type","Walk in air cond  S","Area",4.62)</f>
        <v>6000</v>
      </c>
      <c r="V28" s="84">
        <f t="shared" si="3"/>
        <v>1263.4920634920634</v>
      </c>
      <c r="W28" s="64">
        <f t="shared" si="4"/>
        <v>-5.2380952380952417E-2</v>
      </c>
    </row>
    <row r="29" spans="1:23" x14ac:dyDescent="0.2">
      <c r="A29" s="24" t="s">
        <v>55</v>
      </c>
      <c r="B29" s="25">
        <v>6</v>
      </c>
      <c r="C29" s="26">
        <v>8500</v>
      </c>
      <c r="D29" s="26">
        <v>8500</v>
      </c>
      <c r="E29" s="26">
        <v>8500</v>
      </c>
      <c r="F29" s="26">
        <v>8500</v>
      </c>
      <c r="G29" s="58">
        <v>8500</v>
      </c>
      <c r="H29" s="26">
        <v>8000</v>
      </c>
      <c r="I29" s="57">
        <v>7000</v>
      </c>
      <c r="J29" s="63">
        <f t="shared" si="5"/>
        <v>1166.6666666666667</v>
      </c>
      <c r="K29" s="24" t="s">
        <v>98</v>
      </c>
      <c r="L29" s="10" t="s">
        <v>92</v>
      </c>
      <c r="M29" s="47"/>
      <c r="N29" s="46">
        <f>GETPIVOTDATA("Average of StandardRate",SAM!$A$3,"Type","Walk in air cond  M","Area",6.12)</f>
        <v>7200</v>
      </c>
      <c r="O29" s="47">
        <f>GETPIVOTDATA("Average of StandardRate",RAM!$A$3,"Type","Walk in air cond  M","Area",6.15)</f>
        <v>7000</v>
      </c>
      <c r="P29" s="47">
        <f>GETPIVOTDATA("Average of StandardRate",'RM9'!$A$3,"Type","Walk in air cond  M","Area",6.12)</f>
        <v>7200</v>
      </c>
      <c r="Q29" s="47">
        <f>GETPIVOTDATA("Average of StandardRate",LPR!$A$3,"Type","Walk in air cond  M","Area",6.67)</f>
        <v>7533.333333333333</v>
      </c>
      <c r="R29" s="47"/>
      <c r="S29" s="47">
        <f>GETPIVOTDATA("Average of StandardRate",PTY!$A$3,"Type","Walk in air cond  M","Area",5.98)</f>
        <v>6600</v>
      </c>
      <c r="T29" s="47">
        <f>GETPIVOTDATA("Average of StandardRate",BGS!$A$3,"Type","Walk in air cond  M","Area",6)</f>
        <v>7200</v>
      </c>
      <c r="U29" s="47">
        <f>GETPIVOTDATA("Average of StandardRate",RCD!$A$3,"Type","Walk in air cond  M","Area",5.46)</f>
        <v>6600</v>
      </c>
      <c r="V29" s="84">
        <f t="shared" si="3"/>
        <v>1174.6031746031745</v>
      </c>
      <c r="W29" s="64">
        <f t="shared" si="4"/>
        <v>6.8027210884351597E-3</v>
      </c>
    </row>
    <row r="30" spans="1:23" x14ac:dyDescent="0.2">
      <c r="A30" s="24" t="s">
        <v>56</v>
      </c>
      <c r="B30" s="25">
        <v>9</v>
      </c>
      <c r="C30" s="26">
        <v>12000</v>
      </c>
      <c r="D30" s="26">
        <v>12000</v>
      </c>
      <c r="E30" s="26">
        <v>12000</v>
      </c>
      <c r="F30" s="26">
        <v>12000</v>
      </c>
      <c r="G30" s="58">
        <v>12000</v>
      </c>
      <c r="H30" s="26">
        <v>11000</v>
      </c>
      <c r="I30" s="57">
        <v>11000</v>
      </c>
      <c r="J30" s="63">
        <f t="shared" si="5"/>
        <v>1222.2222222222222</v>
      </c>
      <c r="K30" s="24" t="s">
        <v>99</v>
      </c>
      <c r="L30" s="10" t="s">
        <v>93</v>
      </c>
      <c r="M30" s="47"/>
      <c r="N30" s="46">
        <f>GETPIVOTDATA("Average of StandardRate",SAM!$A$3,"Type","Walk in air cond  M","Area",9.2)</f>
        <v>12000</v>
      </c>
      <c r="O30" s="47"/>
      <c r="P30" s="47">
        <f>GETPIVOTDATA("Average of StandardRate",'RM9'!$A$3,"Type","Walk in air cond  M","Area",8.99)</f>
        <v>11000</v>
      </c>
      <c r="Q30" s="47">
        <f>GETPIVOTDATA("Average of StandardRate",LPR!$A$3,"Type","Walk in air cond  M","Area",9.1)</f>
        <v>11000</v>
      </c>
      <c r="R30" s="47"/>
      <c r="S30" s="47">
        <f>GETPIVOTDATA("Average of StandardRate",PTY!$A$3,"Type","Walk in air cond  M","Area",9.6)</f>
        <v>11214.953299999999</v>
      </c>
      <c r="T30" s="47">
        <f>GETPIVOTDATA("Average of StandardRate",BGS!$A$3,"Type","Walk in air cond  M","Area",9.03)</f>
        <v>11200</v>
      </c>
      <c r="U30" s="47">
        <f>GETPIVOTDATA("Average of StandardRate",RCD!$A$3,"Type","Walk in air cond  M","Area",9.72)</f>
        <v>11500</v>
      </c>
      <c r="V30" s="84">
        <f t="shared" si="3"/>
        <v>1257.6843203703702</v>
      </c>
      <c r="W30" s="64">
        <f t="shared" si="4"/>
        <v>2.9014443939393786E-2</v>
      </c>
    </row>
    <row r="31" spans="1:23" x14ac:dyDescent="0.2">
      <c r="A31" s="24" t="s">
        <v>57</v>
      </c>
      <c r="B31" s="25">
        <v>12.5</v>
      </c>
      <c r="C31" s="26">
        <v>0</v>
      </c>
      <c r="D31" s="26">
        <v>0</v>
      </c>
      <c r="E31" s="26">
        <v>0</v>
      </c>
      <c r="F31" s="26">
        <v>17000</v>
      </c>
      <c r="G31" s="58">
        <v>17000</v>
      </c>
      <c r="H31" s="26">
        <v>0</v>
      </c>
      <c r="I31" s="57">
        <v>14000</v>
      </c>
      <c r="J31" s="63">
        <f t="shared" si="5"/>
        <v>1120</v>
      </c>
      <c r="K31" s="24" t="s">
        <v>100</v>
      </c>
      <c r="L31" s="10" t="s">
        <v>94</v>
      </c>
      <c r="M31" s="47"/>
      <c r="N31" s="46">
        <f>GETPIVOTDATA("Average of StandardRate",SAM!$A$3,"Type","Walk in air cond  L","Area",12.88)</f>
        <v>17300</v>
      </c>
      <c r="O31" s="47"/>
      <c r="P31" s="47">
        <f>GETPIVOTDATA("Average of StandardRate",'RM9'!$A$3,"Type","Walk in air cond  L","Area",12.35)</f>
        <v>16400</v>
      </c>
      <c r="Q31" s="47"/>
      <c r="R31" s="47"/>
      <c r="S31" s="47">
        <f>GETPIVOTDATA("Average of StandardRate",PTY!$A$3,"Type","Walk in air cond  M","Area",10.23)</f>
        <v>11588.785</v>
      </c>
      <c r="T31" s="47">
        <f>GETPIVOTDATA("Average of StandardRate",BGS!$A$3,"Type","Walk in air cond  L","Area",14.1)</f>
        <v>17000</v>
      </c>
      <c r="U31" s="47">
        <f>GETPIVOTDATA("Average of StandardRate",RCD!$A$3,"Type","Walk in air cond  L","Area",11.61)</f>
        <v>13300</v>
      </c>
      <c r="V31" s="84">
        <f t="shared" si="3"/>
        <v>1209.42056</v>
      </c>
      <c r="W31" s="64">
        <f t="shared" si="4"/>
        <v>7.9839785714285627E-2</v>
      </c>
    </row>
    <row r="32" spans="1:23" x14ac:dyDescent="0.2">
      <c r="A32" s="24" t="s">
        <v>65</v>
      </c>
      <c r="B32" s="25">
        <v>18</v>
      </c>
      <c r="C32" s="26">
        <v>0</v>
      </c>
      <c r="D32" s="26">
        <v>0</v>
      </c>
      <c r="E32" s="26">
        <v>25000</v>
      </c>
      <c r="F32" s="26">
        <v>0</v>
      </c>
      <c r="G32" s="58">
        <v>23000</v>
      </c>
      <c r="H32" s="26">
        <v>0</v>
      </c>
      <c r="I32" s="57">
        <v>18000</v>
      </c>
      <c r="J32" s="63">
        <f t="shared" si="5"/>
        <v>1000</v>
      </c>
      <c r="K32" s="24" t="s">
        <v>101</v>
      </c>
      <c r="L32" s="10"/>
      <c r="M32" s="47"/>
      <c r="N32" s="47"/>
      <c r="O32" s="47"/>
      <c r="P32" s="47"/>
      <c r="Q32" s="47"/>
      <c r="R32" s="47"/>
      <c r="S32" s="47"/>
      <c r="T32" s="47">
        <f>GETPIVOTDATA("Average of StandardRate",BGS!$A$3,"Type","Walk in air cond  L","Area",17.5)</f>
        <v>20000</v>
      </c>
      <c r="U32" s="47"/>
      <c r="V32" s="84">
        <f t="shared" si="3"/>
        <v>1111.1111111111111</v>
      </c>
      <c r="W32" s="64">
        <f t="shared" si="4"/>
        <v>0.11111111111111116</v>
      </c>
    </row>
    <row r="33" spans="1:22" x14ac:dyDescent="0.2">
      <c r="A33" s="24" t="s">
        <v>66</v>
      </c>
      <c r="B33" s="25">
        <v>25</v>
      </c>
      <c r="C33" s="26">
        <v>0</v>
      </c>
      <c r="D33" s="26">
        <v>0</v>
      </c>
      <c r="E33" s="26">
        <v>0</v>
      </c>
      <c r="F33" s="26">
        <v>0</v>
      </c>
      <c r="G33" s="58">
        <v>21000</v>
      </c>
      <c r="H33" s="26">
        <v>0</v>
      </c>
      <c r="I33" s="57">
        <v>22000</v>
      </c>
      <c r="J33" s="63">
        <f t="shared" si="5"/>
        <v>880</v>
      </c>
      <c r="K33" s="24" t="s">
        <v>102</v>
      </c>
      <c r="L33" s="10"/>
      <c r="M33" s="47"/>
      <c r="N33" s="47"/>
      <c r="O33" s="47"/>
      <c r="P33" s="47"/>
      <c r="Q33" s="47"/>
      <c r="R33" s="47"/>
      <c r="S33" s="47"/>
      <c r="T33" s="47"/>
      <c r="U33" s="47"/>
    </row>
    <row r="35" spans="1:22" s="16" customFormat="1" x14ac:dyDescent="0.2">
      <c r="A35" s="35" t="s">
        <v>77</v>
      </c>
      <c r="B35" s="28"/>
      <c r="C35" s="29"/>
      <c r="D35" s="29"/>
      <c r="E35" s="29"/>
      <c r="F35" s="29"/>
      <c r="G35" s="29"/>
      <c r="H35" s="29"/>
      <c r="I35" s="29"/>
      <c r="J35" s="19"/>
      <c r="K35" s="51" t="s">
        <v>77</v>
      </c>
      <c r="L35" s="28"/>
      <c r="M35" s="29"/>
      <c r="N35" s="29"/>
      <c r="O35" s="29"/>
      <c r="P35" s="29"/>
      <c r="Q35" s="29"/>
      <c r="R35" s="29"/>
      <c r="S35" s="29"/>
      <c r="V35" s="82"/>
    </row>
    <row r="36" spans="1:22" s="30" customFormat="1" x14ac:dyDescent="0.2">
      <c r="B36" s="31"/>
      <c r="C36" s="18" t="s">
        <v>68</v>
      </c>
      <c r="D36" s="18" t="s">
        <v>69</v>
      </c>
      <c r="E36" s="18" t="s">
        <v>70</v>
      </c>
      <c r="F36" s="18" t="s">
        <v>71</v>
      </c>
      <c r="G36" s="18" t="s">
        <v>72</v>
      </c>
      <c r="H36" s="18" t="s">
        <v>73</v>
      </c>
      <c r="I36" s="18" t="s">
        <v>74</v>
      </c>
      <c r="J36" s="18"/>
      <c r="L36" s="31"/>
      <c r="M36" s="18" t="s">
        <v>80</v>
      </c>
      <c r="N36" s="18"/>
      <c r="O36" s="18"/>
      <c r="P36" s="18"/>
      <c r="Q36" s="18"/>
      <c r="R36" s="18"/>
      <c r="S36" s="18"/>
      <c r="V36" s="85"/>
    </row>
    <row r="37" spans="1:22" s="30" customFormat="1" x14ac:dyDescent="0.2">
      <c r="A37" s="36" t="s">
        <v>58</v>
      </c>
      <c r="B37" s="37" t="s">
        <v>59</v>
      </c>
      <c r="C37" s="38" t="s">
        <v>75</v>
      </c>
      <c r="D37" s="38" t="s">
        <v>75</v>
      </c>
      <c r="E37" s="38" t="s">
        <v>75</v>
      </c>
      <c r="F37" s="38" t="s">
        <v>75</v>
      </c>
      <c r="G37" s="38" t="s">
        <v>75</v>
      </c>
      <c r="H37" s="38" t="s">
        <v>75</v>
      </c>
      <c r="I37" s="38" t="s">
        <v>75</v>
      </c>
      <c r="J37" s="18"/>
      <c r="K37" s="40" t="s">
        <v>58</v>
      </c>
      <c r="L37" s="41" t="s">
        <v>59</v>
      </c>
      <c r="M37" s="42" t="s">
        <v>75</v>
      </c>
      <c r="N37" s="343" t="s">
        <v>59</v>
      </c>
      <c r="O37" s="343"/>
      <c r="P37" s="42" t="s">
        <v>75</v>
      </c>
      <c r="R37" s="49"/>
      <c r="S37" s="49"/>
      <c r="V37" s="85"/>
    </row>
    <row r="38" spans="1:22" x14ac:dyDescent="0.2">
      <c r="A38" s="24" t="s">
        <v>78</v>
      </c>
      <c r="B38" s="25">
        <v>0.7</v>
      </c>
      <c r="C38" s="26">
        <v>3000</v>
      </c>
      <c r="D38" s="26">
        <v>0</v>
      </c>
      <c r="E38" s="26">
        <v>3300</v>
      </c>
      <c r="F38" s="26">
        <v>0</v>
      </c>
      <c r="G38" s="26">
        <v>0</v>
      </c>
      <c r="H38" s="26">
        <v>0</v>
      </c>
      <c r="I38" s="26">
        <v>0</v>
      </c>
      <c r="K38" s="44" t="s">
        <v>107</v>
      </c>
      <c r="L38" s="53" t="s">
        <v>110</v>
      </c>
      <c r="M38" s="52">
        <v>5500</v>
      </c>
      <c r="N38" s="53" t="s">
        <v>111</v>
      </c>
      <c r="O38" s="24"/>
      <c r="P38" s="52">
        <v>6300</v>
      </c>
      <c r="R38" s="50"/>
      <c r="S38" s="50"/>
    </row>
    <row r="39" spans="1:22" x14ac:dyDescent="0.2">
      <c r="A39" s="24" t="s">
        <v>79</v>
      </c>
      <c r="B39" s="25">
        <v>1.5</v>
      </c>
      <c r="C39" s="26">
        <v>6000</v>
      </c>
      <c r="D39" s="26">
        <v>0</v>
      </c>
      <c r="E39" s="26">
        <v>6300</v>
      </c>
      <c r="F39" s="26">
        <v>0</v>
      </c>
      <c r="G39" s="26">
        <v>0</v>
      </c>
      <c r="H39" s="26">
        <v>0</v>
      </c>
      <c r="I39" s="26">
        <v>0</v>
      </c>
      <c r="K39" s="44" t="s">
        <v>108</v>
      </c>
      <c r="L39" s="53" t="s">
        <v>109</v>
      </c>
      <c r="M39" s="52">
        <v>6900</v>
      </c>
      <c r="N39" s="54"/>
      <c r="O39" s="55"/>
      <c r="P39" s="56"/>
      <c r="R39" s="50"/>
      <c r="S39" s="50"/>
    </row>
  </sheetData>
  <mergeCells count="1">
    <mergeCell ref="N37:O37"/>
  </mergeCells>
  <conditionalFormatting sqref="M4:U16">
    <cfRule type="expression" dxfId="10" priority="14">
      <formula>AND(ISNUMBER(M4), M4 &gt; $I4)</formula>
    </cfRule>
    <cfRule type="expression" dxfId="9" priority="15">
      <formula>AND(ISNUMBER(M4), M4 &lt; $I4)</formula>
    </cfRule>
  </conditionalFormatting>
  <conditionalFormatting sqref="N21:N31">
    <cfRule type="expression" dxfId="8" priority="12">
      <formula>AND(ISNUMBER(N21), N21 &lt; $G21)</formula>
    </cfRule>
    <cfRule type="expression" dxfId="7" priority="13">
      <formula>AND(ISNUMBER(N21), N21 &gt; $G21)</formula>
    </cfRule>
  </conditionalFormatting>
  <conditionalFormatting sqref="O21:U32">
    <cfRule type="expression" dxfId="6" priority="10">
      <formula>AND(ISNUMBER(O21), O21 &gt; $I21)</formula>
    </cfRule>
    <cfRule type="expression" dxfId="5" priority="11">
      <formula>AND(ISNUMBER(O21), O21 &lt; $I21)</formula>
    </cfRule>
  </conditionalFormatting>
  <conditionalFormatting sqref="V4:V16">
    <cfRule type="cellIs" dxfId="4" priority="1" operator="greaterThan">
      <formula>$J4</formula>
    </cfRule>
  </conditionalFormatting>
  <conditionalFormatting sqref="V21:V32">
    <cfRule type="cellIs" dxfId="3" priority="6" operator="lessThan">
      <formula>$J21</formula>
    </cfRule>
    <cfRule type="cellIs" dxfId="2" priority="7" operator="greaterThan">
      <formula>$J21</formula>
    </cfRule>
  </conditionalFormatting>
  <conditionalFormatting sqref="W4:W32"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861-11A0-42B5-BE1F-D613E43931FC}">
  <sheetPr>
    <tabColor rgb="FFFF0000"/>
  </sheetPr>
  <dimension ref="A2:AA75"/>
  <sheetViews>
    <sheetView workbookViewId="0">
      <pane xSplit="2" ySplit="10" topLeftCell="C11" activePane="bottomRight" state="frozen"/>
      <selection activeCell="D48" sqref="D48"/>
      <selection pane="topRight" activeCell="D48" sqref="D48"/>
      <selection pane="bottomLeft" activeCell="D48" sqref="D48"/>
      <selection pane="bottomRight" activeCell="B31" sqref="B31:B35"/>
    </sheetView>
  </sheetViews>
  <sheetFormatPr baseColWidth="10" defaultColWidth="8.83203125" defaultRowHeight="15" x14ac:dyDescent="0.2"/>
  <cols>
    <col min="1" max="1" width="15" bestFit="1" customWidth="1"/>
  </cols>
  <sheetData>
    <row r="2" spans="1:27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7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7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7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7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7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7" x14ac:dyDescent="0.2">
      <c r="H8" s="308" t="s">
        <v>360</v>
      </c>
      <c r="I8" s="308"/>
    </row>
    <row r="9" spans="1:27" x14ac:dyDescent="0.2">
      <c r="A9" s="288" t="s">
        <v>67</v>
      </c>
      <c r="B9" s="17"/>
      <c r="Q9" s="290" t="str">
        <f>'Price List i-Store vs MSS'!K1</f>
        <v>Storage rooms without A/C</v>
      </c>
      <c r="R9" s="290"/>
      <c r="S9" s="290"/>
      <c r="T9" s="290"/>
      <c r="U9" s="290"/>
      <c r="V9" s="290"/>
      <c r="W9" s="290"/>
      <c r="X9" s="291"/>
      <c r="Y9" s="291"/>
    </row>
    <row r="10" spans="1:27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89" t="str">
        <f>'Price List i-Store vs MSS'!M2</f>
        <v>SKT</v>
      </c>
      <c r="R10" s="289" t="str">
        <f>'Price List i-Store vs MSS'!N2</f>
        <v>SAM</v>
      </c>
      <c r="S10" s="289" t="str">
        <f>'Price List i-Store vs MSS'!O2</f>
        <v>RAM</v>
      </c>
      <c r="T10" s="289" t="str">
        <f>'Price List i-Store vs MSS'!P2</f>
        <v>RM9</v>
      </c>
      <c r="U10" s="289" t="str">
        <f>'Price List i-Store vs MSS'!Q2</f>
        <v>LPR</v>
      </c>
      <c r="V10" s="289" t="str">
        <f>'Price List i-Store vs MSS'!R2</f>
        <v>PTG</v>
      </c>
      <c r="W10" s="289" t="str">
        <f>'Price List i-Store vs MSS'!S2</f>
        <v>PTY</v>
      </c>
      <c r="X10" s="289" t="str">
        <f>'Price List i-Store vs MSS'!T2</f>
        <v>BGS</v>
      </c>
      <c r="Y10" s="289" t="str">
        <f>'Price List i-Store vs MSS'!U2</f>
        <v>RCD</v>
      </c>
    </row>
    <row r="11" spans="1:27" x14ac:dyDescent="0.2">
      <c r="A11" s="348" t="s">
        <v>60</v>
      </c>
      <c r="B11" s="351">
        <v>0.72</v>
      </c>
      <c r="C11" s="244">
        <v>1</v>
      </c>
      <c r="D11" s="263">
        <f>'Price List i-Store vs MSS'!$C$4-('Price List i-Store vs MSS'!$C$4*'NET ISS vs MSS NA'!D3)</f>
        <v>1400</v>
      </c>
      <c r="E11" s="263">
        <f>'Price List i-Store vs MSS'!$D$4-('Price List i-Store vs MSS'!$D$4*'NET ISS vs MSS NA'!E3)</f>
        <v>0</v>
      </c>
      <c r="F11" s="263">
        <f>'Price List i-Store vs MSS'!$E$4-('Price List i-Store vs MSS'!$E$4*'NET ISS vs MSS NA'!F3)</f>
        <v>1400</v>
      </c>
      <c r="G11" s="263">
        <f>'Price List i-Store vs MSS'!$F$4-('Price List i-Store vs MSS'!$F$4*'NET ISS vs MSS NA'!G3)</f>
        <v>1200</v>
      </c>
      <c r="H11" s="263">
        <f>'Price List i-Store vs MSS'!$G$4-('Price List i-Store vs MSS'!$G$4*'NET ISS vs MSS NA'!H3)</f>
        <v>980</v>
      </c>
      <c r="I11" s="263">
        <f>'Price List i-Store vs MSS'!$H$4-('Price List i-Store vs MSS'!$H$4*'NET ISS vs MSS NA'!J3)</f>
        <v>1300</v>
      </c>
      <c r="J11" s="263">
        <f>'Price List i-Store vs MSS'!$I$4-('Price List i-Store vs MSS'!$I$4*'NET ISS vs MSS NA'!J3)</f>
        <v>1200</v>
      </c>
      <c r="K11" s="263"/>
      <c r="L11" s="263"/>
      <c r="M11" s="263"/>
      <c r="N11" s="263"/>
      <c r="O11" s="263"/>
      <c r="Q11" s="296">
        <f>'Price List i-Store vs MSS'!$M$4</f>
        <v>567.48</v>
      </c>
      <c r="R11" s="296"/>
      <c r="S11" s="296"/>
      <c r="T11" s="296"/>
      <c r="U11" s="296"/>
      <c r="V11" s="296"/>
      <c r="W11" s="296"/>
      <c r="X11" s="296">
        <f>'Price List i-Store vs MSS'!$T$4</f>
        <v>614.21</v>
      </c>
      <c r="Y11" s="296"/>
    </row>
    <row r="12" spans="1:27" x14ac:dyDescent="0.2">
      <c r="A12" s="349"/>
      <c r="B12" s="352"/>
      <c r="C12" s="245">
        <v>3</v>
      </c>
      <c r="D12" s="264">
        <f>'Price List i-Store vs MSS'!$C$4-('Price List i-Store vs MSS'!$C$4*'NET ISS vs MSS NA'!D4)</f>
        <v>1330</v>
      </c>
      <c r="E12" s="264">
        <f>'Price List i-Store vs MSS'!$D$4-('Price List i-Store vs MSS'!$D$4*'NET ISS vs MSS NA'!E4)</f>
        <v>0</v>
      </c>
      <c r="F12" s="264">
        <f>'Price List i-Store vs MSS'!$E$4-('Price List i-Store vs MSS'!$E$4*'NET ISS vs MSS NA'!F4)</f>
        <v>1400</v>
      </c>
      <c r="G12" s="264">
        <f>'Price List i-Store vs MSS'!$F$4-('Price List i-Store vs MSS'!$F$4*'NET ISS vs MSS NA'!G4)</f>
        <v>1140</v>
      </c>
      <c r="H12" s="264">
        <f>'Price List i-Store vs MSS'!$G$4-('Price List i-Store vs MSS'!$G$4*'NET ISS vs MSS NA'!H4)</f>
        <v>980</v>
      </c>
      <c r="I12" s="264">
        <f>'Price List i-Store vs MSS'!$H$4-('Price List i-Store vs MSS'!$H$4*'NET ISS vs MSS NA'!J4)</f>
        <v>1235</v>
      </c>
      <c r="J12" s="264">
        <f>'Price List i-Store vs MSS'!$I$4-('Price List i-Store vs MSS'!$I$4*'NET ISS vs MSS NA'!J4)</f>
        <v>1140</v>
      </c>
      <c r="K12" s="264"/>
      <c r="L12" s="264"/>
      <c r="M12" s="264"/>
      <c r="N12" s="264"/>
      <c r="O12" s="264"/>
      <c r="Q12" s="297">
        <f>'Price List i-Store vs MSS'!$M$4</f>
        <v>567.48</v>
      </c>
      <c r="R12" s="297"/>
      <c r="S12" s="297"/>
      <c r="T12" s="297"/>
      <c r="U12" s="297"/>
      <c r="V12" s="297"/>
      <c r="W12" s="297"/>
      <c r="X12" s="297">
        <f>'Price List i-Store vs MSS'!$T$4</f>
        <v>614.21</v>
      </c>
      <c r="Y12" s="297"/>
    </row>
    <row r="13" spans="1:27" x14ac:dyDescent="0.2">
      <c r="A13" s="349"/>
      <c r="B13" s="352"/>
      <c r="C13" s="245">
        <v>6</v>
      </c>
      <c r="D13" s="264">
        <f>'Price List i-Store vs MSS'!$C$4-('Price List i-Store vs MSS'!$C$4*'NET ISS vs MSS NA'!D5)</f>
        <v>1260</v>
      </c>
      <c r="E13" s="264">
        <f>'Price List i-Store vs MSS'!$D$4-('Price List i-Store vs MSS'!$D$4*'NET ISS vs MSS NA'!E5)</f>
        <v>0</v>
      </c>
      <c r="F13" s="264">
        <f>'Price List i-Store vs MSS'!$E$4-('Price List i-Store vs MSS'!$E$4*'NET ISS vs MSS NA'!F5)</f>
        <v>1330</v>
      </c>
      <c r="G13" s="264">
        <f>'Price List i-Store vs MSS'!$F$4-('Price List i-Store vs MSS'!$F$4*'NET ISS vs MSS NA'!G5)</f>
        <v>1080</v>
      </c>
      <c r="H13" s="264">
        <f>'Price List i-Store vs MSS'!$G$4-('Price List i-Store vs MSS'!$G$4*'NET ISS vs MSS NA'!H5)</f>
        <v>980</v>
      </c>
      <c r="I13" s="264">
        <f>'Price List i-Store vs MSS'!$H$4-('Price List i-Store vs MSS'!$H$4*'NET ISS vs MSS NA'!J5)</f>
        <v>1170</v>
      </c>
      <c r="J13" s="264">
        <f>'Price List i-Store vs MSS'!$I$4-('Price List i-Store vs MSS'!$I$4*'NET ISS vs MSS NA'!J5)</f>
        <v>1080</v>
      </c>
      <c r="K13" s="264"/>
      <c r="L13" s="264"/>
      <c r="M13" s="264"/>
      <c r="N13" s="264"/>
      <c r="O13" s="264"/>
      <c r="Q13" s="297">
        <f>'Price List i-Store vs MSS'!$M$4</f>
        <v>567.48</v>
      </c>
      <c r="R13" s="297"/>
      <c r="S13" s="297"/>
      <c r="T13" s="297"/>
      <c r="U13" s="297"/>
      <c r="V13" s="297"/>
      <c r="W13" s="297"/>
      <c r="X13" s="297">
        <f>'Price List i-Store vs MSS'!$T$4</f>
        <v>614.21</v>
      </c>
      <c r="Y13" s="297"/>
    </row>
    <row r="14" spans="1:27" x14ac:dyDescent="0.2">
      <c r="A14" s="349"/>
      <c r="B14" s="352"/>
      <c r="C14" s="245">
        <v>9</v>
      </c>
      <c r="D14" s="264">
        <f>'Price List i-Store vs MSS'!$C$4-('Price List i-Store vs MSS'!$C$4*'NET ISS vs MSS NA'!D6)</f>
        <v>1260</v>
      </c>
      <c r="E14" s="264">
        <f>'Price List i-Store vs MSS'!$D$4-('Price List i-Store vs MSS'!$D$4*'NET ISS vs MSS NA'!E6)</f>
        <v>0</v>
      </c>
      <c r="F14" s="264">
        <f>'Price List i-Store vs MSS'!$E$4-('Price List i-Store vs MSS'!$E$4*'NET ISS vs MSS NA'!F6)</f>
        <v>1330</v>
      </c>
      <c r="G14" s="264">
        <f>'Price List i-Store vs MSS'!$F$4-('Price List i-Store vs MSS'!$F$4*'NET ISS vs MSS NA'!G6)</f>
        <v>1080</v>
      </c>
      <c r="H14" s="264">
        <f>'Price List i-Store vs MSS'!$G$4-('Price List i-Store vs MSS'!$G$4*'NET ISS vs MSS NA'!H6)</f>
        <v>980</v>
      </c>
      <c r="I14" s="264">
        <f>'Price List i-Store vs MSS'!$H$4-('Price List i-Store vs MSS'!$H$4*'NET ISS vs MSS NA'!J6)</f>
        <v>1170</v>
      </c>
      <c r="J14" s="264">
        <f>'Price List i-Store vs MSS'!$I$4-('Price List i-Store vs MSS'!$I$4*'NET ISS vs MSS NA'!J6)</f>
        <v>1080</v>
      </c>
      <c r="K14" s="264"/>
      <c r="L14" s="264"/>
      <c r="M14" s="264"/>
      <c r="N14" s="264"/>
      <c r="O14" s="264"/>
      <c r="Q14" s="297">
        <f>'Price List i-Store vs MSS'!$M$4</f>
        <v>567.48</v>
      </c>
      <c r="R14" s="297"/>
      <c r="S14" s="297"/>
      <c r="T14" s="297"/>
      <c r="U14" s="297"/>
      <c r="V14" s="297"/>
      <c r="W14" s="297"/>
      <c r="X14" s="297">
        <f>'Price List i-Store vs MSS'!$T$4</f>
        <v>614.21</v>
      </c>
      <c r="Y14" s="297"/>
    </row>
    <row r="15" spans="1:27" x14ac:dyDescent="0.2">
      <c r="A15" s="350"/>
      <c r="B15" s="353"/>
      <c r="C15" s="246">
        <v>12</v>
      </c>
      <c r="D15" s="265">
        <f>'Price List i-Store vs MSS'!$C$4-('Price List i-Store vs MSS'!$C$4*'NET ISS vs MSS NA'!D7)</f>
        <v>1190</v>
      </c>
      <c r="E15" s="265">
        <f>'Price List i-Store vs MSS'!$D$4-('Price List i-Store vs MSS'!$D$4*'NET ISS vs MSS NA'!E7)</f>
        <v>0</v>
      </c>
      <c r="F15" s="265">
        <f>'Price List i-Store vs MSS'!$E$4-('Price List i-Store vs MSS'!$E$4*'NET ISS vs MSS NA'!F7)</f>
        <v>1260</v>
      </c>
      <c r="G15" s="265">
        <f>'Price List i-Store vs MSS'!$F$4-('Price List i-Store vs MSS'!$F$4*'NET ISS vs MSS NA'!G7)</f>
        <v>1020</v>
      </c>
      <c r="H15" s="265">
        <f>'Price List i-Store vs MSS'!$G$4-('Price List i-Store vs MSS'!$G$4*'NET ISS vs MSS NA'!H7)</f>
        <v>980</v>
      </c>
      <c r="I15" s="265">
        <f>'Price List i-Store vs MSS'!$H$4-('Price List i-Store vs MSS'!$H$4*'NET ISS vs MSS NA'!J7)</f>
        <v>1105</v>
      </c>
      <c r="J15" s="265">
        <f>'Price List i-Store vs MSS'!$I$4-('Price List i-Store vs MSS'!$I$4*'NET ISS vs MSS NA'!J7)</f>
        <v>1020</v>
      </c>
      <c r="K15" s="265"/>
      <c r="L15" s="265"/>
      <c r="M15" s="265"/>
      <c r="N15" s="265"/>
      <c r="O15" s="265"/>
      <c r="Q15" s="298">
        <f>'Price List i-Store vs MSS'!$M$4</f>
        <v>567.48</v>
      </c>
      <c r="R15" s="298"/>
      <c r="S15" s="298"/>
      <c r="T15" s="298"/>
      <c r="U15" s="298"/>
      <c r="V15" s="298"/>
      <c r="W15" s="298"/>
      <c r="X15" s="298">
        <f>'Price List i-Store vs MSS'!$T$4</f>
        <v>614.21</v>
      </c>
      <c r="Y15" s="298"/>
    </row>
    <row r="16" spans="1:27" x14ac:dyDescent="0.2">
      <c r="A16" s="348" t="s">
        <v>61</v>
      </c>
      <c r="B16" s="351">
        <v>0.72</v>
      </c>
      <c r="C16" s="244">
        <v>1</v>
      </c>
      <c r="D16" s="263">
        <f>'Price List i-Store vs MSS'!$C$5-('Price List i-Store vs MSS'!$C$5*'NET ISS vs MSS NA'!D3)</f>
        <v>1200</v>
      </c>
      <c r="E16" s="263">
        <f>'Price List i-Store vs MSS'!$D$5-('Price List i-Store vs MSS'!$D$5*'NET ISS vs MSS NA'!E3)</f>
        <v>0</v>
      </c>
      <c r="F16" s="263">
        <f>'Price List i-Store vs MSS'!$E$5-('Price List i-Store vs MSS'!$E$5*'NET ISS vs MSS NA'!F3)</f>
        <v>1200</v>
      </c>
      <c r="G16" s="263">
        <f>'Price List i-Store vs MSS'!$F$5-('Price List i-Store vs MSS'!$F$5*'NET ISS vs MSS NA'!G3)</f>
        <v>1400</v>
      </c>
      <c r="H16" s="263">
        <f>'Price List i-Store vs MSS'!$G$5-('Price List i-Store vs MSS'!$G$5*'NET ISS vs MSS NA'!H3)</f>
        <v>840</v>
      </c>
      <c r="I16" s="263">
        <f>'Price List i-Store vs MSS'!$H$5-('Price List i-Store vs MSS'!$H$5*'NET ISS vs MSS NA'!I3)</f>
        <v>770</v>
      </c>
      <c r="J16" s="263">
        <f>'Price List i-Store vs MSS'!$I$5-('Price List i-Store vs MSS'!$I$5*'NET ISS vs MSS NA'!J3)</f>
        <v>1000</v>
      </c>
      <c r="K16" s="263"/>
      <c r="L16" s="263"/>
      <c r="M16" s="263"/>
      <c r="N16" s="263"/>
      <c r="O16" s="263"/>
      <c r="Q16" s="296">
        <f>'Price List i-Store vs MSS'!$M$5</f>
        <v>660.93</v>
      </c>
      <c r="R16" s="296"/>
      <c r="S16" s="296"/>
      <c r="T16" s="296"/>
      <c r="U16" s="296"/>
      <c r="V16" s="296"/>
      <c r="W16" s="296"/>
      <c r="X16" s="296">
        <f>'Price List i-Store vs MSS'!$T$5</f>
        <v>707.66</v>
      </c>
      <c r="Y16" s="296"/>
      <c r="Z16" s="2"/>
      <c r="AA16" s="2"/>
    </row>
    <row r="17" spans="1:25" x14ac:dyDescent="0.2">
      <c r="A17" s="349"/>
      <c r="B17" s="352"/>
      <c r="C17" s="245">
        <v>3</v>
      </c>
      <c r="D17" s="264">
        <f>'Price List i-Store vs MSS'!$C$5-('Price List i-Store vs MSS'!$C$5*'NET ISS vs MSS NA'!D4)</f>
        <v>1140</v>
      </c>
      <c r="E17" s="264">
        <f>'Price List i-Store vs MSS'!$D$5-('Price List i-Store vs MSS'!$D$5*'NET ISS vs MSS NA'!E4)</f>
        <v>0</v>
      </c>
      <c r="F17" s="264">
        <f>'Price List i-Store vs MSS'!$E$5-('Price List i-Store vs MSS'!$E$5*'NET ISS vs MSS NA'!F4)</f>
        <v>1200</v>
      </c>
      <c r="G17" s="264">
        <f>'Price List i-Store vs MSS'!$F$5-('Price List i-Store vs MSS'!$F$5*'NET ISS vs MSS NA'!G4)</f>
        <v>1330</v>
      </c>
      <c r="H17" s="264">
        <f>'Price List i-Store vs MSS'!$G$5-('Price List i-Store vs MSS'!$G$5*'NET ISS vs MSS NA'!H4)</f>
        <v>840</v>
      </c>
      <c r="I17" s="264">
        <f>'Price List i-Store vs MSS'!$H$5-('Price List i-Store vs MSS'!$H$5*'NET ISS vs MSS NA'!I4)</f>
        <v>770</v>
      </c>
      <c r="J17" s="264">
        <f>'Price List i-Store vs MSS'!$I$5-('Price List i-Store vs MSS'!$I$5*'NET ISS vs MSS NA'!J4)</f>
        <v>950</v>
      </c>
      <c r="K17" s="264"/>
      <c r="L17" s="264"/>
      <c r="M17" s="264"/>
      <c r="N17" s="264"/>
      <c r="O17" s="264"/>
      <c r="Q17" s="297">
        <f>'Price List i-Store vs MSS'!$M$5</f>
        <v>660.93</v>
      </c>
      <c r="R17" s="297"/>
      <c r="S17" s="297"/>
      <c r="T17" s="297"/>
      <c r="U17" s="297"/>
      <c r="V17" s="297"/>
      <c r="W17" s="297"/>
      <c r="X17" s="297">
        <f>'Price List i-Store vs MSS'!$T$5</f>
        <v>707.66</v>
      </c>
      <c r="Y17" s="297"/>
    </row>
    <row r="18" spans="1:25" x14ac:dyDescent="0.2">
      <c r="A18" s="349"/>
      <c r="B18" s="352"/>
      <c r="C18" s="245">
        <v>6</v>
      </c>
      <c r="D18" s="264">
        <f>'Price List i-Store vs MSS'!$C$5-('Price List i-Store vs MSS'!$C$5*'NET ISS vs MSS NA'!D5)</f>
        <v>1080</v>
      </c>
      <c r="E18" s="264">
        <f>'Price List i-Store vs MSS'!$D$5-('Price List i-Store vs MSS'!$D$5*'NET ISS vs MSS NA'!E5)</f>
        <v>0</v>
      </c>
      <c r="F18" s="264">
        <f>'Price List i-Store vs MSS'!$E$5-('Price List i-Store vs MSS'!$E$5*'NET ISS vs MSS NA'!F5)</f>
        <v>1140</v>
      </c>
      <c r="G18" s="264">
        <f>'Price List i-Store vs MSS'!$F$5-('Price List i-Store vs MSS'!$F$5*'NET ISS vs MSS NA'!G5)</f>
        <v>1260</v>
      </c>
      <c r="H18" s="264">
        <f>'Price List i-Store vs MSS'!$G$5-('Price List i-Store vs MSS'!$G$5*'NET ISS vs MSS NA'!H5)</f>
        <v>840</v>
      </c>
      <c r="I18" s="264">
        <f>'Price List i-Store vs MSS'!$H$5-('Price List i-Store vs MSS'!$H$5*'NET ISS vs MSS NA'!I5)</f>
        <v>770</v>
      </c>
      <c r="J18" s="264">
        <f>'Price List i-Store vs MSS'!$I$5-('Price List i-Store vs MSS'!$I$5*'NET ISS vs MSS NA'!J5)</f>
        <v>900</v>
      </c>
      <c r="K18" s="264"/>
      <c r="L18" s="264"/>
      <c r="M18" s="264"/>
      <c r="N18" s="264"/>
      <c r="O18" s="264"/>
      <c r="Q18" s="297">
        <f>'Price List i-Store vs MSS'!$M$5</f>
        <v>660.93</v>
      </c>
      <c r="R18" s="297"/>
      <c r="S18" s="297"/>
      <c r="T18" s="297"/>
      <c r="U18" s="297"/>
      <c r="V18" s="297"/>
      <c r="W18" s="297"/>
      <c r="X18" s="297">
        <f>'Price List i-Store vs MSS'!$T$5</f>
        <v>707.66</v>
      </c>
      <c r="Y18" s="297"/>
    </row>
    <row r="19" spans="1:25" x14ac:dyDescent="0.2">
      <c r="A19" s="349"/>
      <c r="B19" s="352"/>
      <c r="C19" s="245">
        <v>9</v>
      </c>
      <c r="D19" s="264">
        <f>'Price List i-Store vs MSS'!$C$5-('Price List i-Store vs MSS'!$C$5*'NET ISS vs MSS NA'!D6)</f>
        <v>1080</v>
      </c>
      <c r="E19" s="264">
        <f>'Price List i-Store vs MSS'!$D$5-('Price List i-Store vs MSS'!$D$5*'NET ISS vs MSS NA'!E6)</f>
        <v>0</v>
      </c>
      <c r="F19" s="264">
        <f>'Price List i-Store vs MSS'!$E$5-('Price List i-Store vs MSS'!$E$5*'NET ISS vs MSS NA'!F6)</f>
        <v>1140</v>
      </c>
      <c r="G19" s="264">
        <f>'Price List i-Store vs MSS'!$F$5-('Price List i-Store vs MSS'!$F$5*'NET ISS vs MSS NA'!G6)</f>
        <v>1260</v>
      </c>
      <c r="H19" s="264">
        <f>'Price List i-Store vs MSS'!$G$5-('Price List i-Store vs MSS'!$G$5*'NET ISS vs MSS NA'!H6)</f>
        <v>840</v>
      </c>
      <c r="I19" s="264">
        <f>'Price List i-Store vs MSS'!$H$5-('Price List i-Store vs MSS'!$H$5*'NET ISS vs MSS NA'!I6)</f>
        <v>770</v>
      </c>
      <c r="J19" s="264">
        <f>'Price List i-Store vs MSS'!$I$5-('Price List i-Store vs MSS'!$I$5*'NET ISS vs MSS NA'!J6)</f>
        <v>900</v>
      </c>
      <c r="K19" s="264"/>
      <c r="L19" s="264"/>
      <c r="M19" s="264"/>
      <c r="N19" s="264"/>
      <c r="O19" s="264"/>
      <c r="Q19" s="297">
        <f>'Price List i-Store vs MSS'!$M$5</f>
        <v>660.93</v>
      </c>
      <c r="R19" s="297"/>
      <c r="S19" s="297"/>
      <c r="T19" s="297"/>
      <c r="U19" s="297"/>
      <c r="V19" s="297"/>
      <c r="W19" s="297"/>
      <c r="X19" s="297">
        <f>'Price List i-Store vs MSS'!$T$5</f>
        <v>707.66</v>
      </c>
      <c r="Y19" s="297"/>
    </row>
    <row r="20" spans="1:25" x14ac:dyDescent="0.2">
      <c r="A20" s="350"/>
      <c r="B20" s="353"/>
      <c r="C20" s="246">
        <v>12</v>
      </c>
      <c r="D20" s="265">
        <f>'Price List i-Store vs MSS'!$C$5-('Price List i-Store vs MSS'!$C$5*'NET ISS vs MSS NA'!D7)</f>
        <v>1020</v>
      </c>
      <c r="E20" s="265">
        <f>'Price List i-Store vs MSS'!$D$5-('Price List i-Store vs MSS'!$D$5*'NET ISS vs MSS NA'!E7)</f>
        <v>0</v>
      </c>
      <c r="F20" s="265">
        <f>'Price List i-Store vs MSS'!$E$5-('Price List i-Store vs MSS'!$E$5*'NET ISS vs MSS NA'!F7)</f>
        <v>1080</v>
      </c>
      <c r="G20" s="265">
        <f>'Price List i-Store vs MSS'!$F$5-('Price List i-Store vs MSS'!$F$5*'NET ISS vs MSS NA'!G7)</f>
        <v>1190</v>
      </c>
      <c r="H20" s="265">
        <f>'Price List i-Store vs MSS'!$G$5-('Price List i-Store vs MSS'!$G$5*'NET ISS vs MSS NA'!H7)</f>
        <v>840</v>
      </c>
      <c r="I20" s="265">
        <f>'Price List i-Store vs MSS'!$H$5-('Price List i-Store vs MSS'!$H$5*'NET ISS vs MSS NA'!I7)</f>
        <v>770</v>
      </c>
      <c r="J20" s="265">
        <f>'Price List i-Store vs MSS'!$I$5-('Price List i-Store vs MSS'!$I$5*'NET ISS vs MSS NA'!J7)</f>
        <v>850</v>
      </c>
      <c r="K20" s="265"/>
      <c r="L20" s="265"/>
      <c r="M20" s="265"/>
      <c r="N20" s="265"/>
      <c r="O20" s="265"/>
      <c r="Q20" s="298">
        <f>'Price List i-Store vs MSS'!$M$5</f>
        <v>660.93</v>
      </c>
      <c r="R20" s="298"/>
      <c r="S20" s="298"/>
      <c r="T20" s="298"/>
      <c r="U20" s="298"/>
      <c r="V20" s="298"/>
      <c r="W20" s="298"/>
      <c r="X20" s="298">
        <f>'Price List i-Store vs MSS'!$T$5</f>
        <v>707.66</v>
      </c>
      <c r="Y20" s="298"/>
    </row>
    <row r="21" spans="1:25" x14ac:dyDescent="0.2">
      <c r="A21" s="348" t="s">
        <v>62</v>
      </c>
      <c r="B21" s="351">
        <v>1.3</v>
      </c>
      <c r="C21" s="244">
        <v>1</v>
      </c>
      <c r="D21" s="263">
        <f>'Price List i-Store vs MSS'!$C$6-('Price List i-Store vs MSS'!$C$6*'NET ISS vs MSS NA'!D3)</f>
        <v>1900</v>
      </c>
      <c r="E21" s="263">
        <f>'Price List i-Store vs MSS'!$D$6-('Price List i-Store vs MSS'!$D$6*'NET ISS vs MSS NA'!E3)</f>
        <v>0</v>
      </c>
      <c r="F21" s="263">
        <f>'Price List i-Store vs MSS'!$E$6-('Price List i-Store vs MSS'!$E$6*'NET ISS vs MSS NA'!F3)</f>
        <v>1900</v>
      </c>
      <c r="G21" s="263">
        <f>'Price List i-Store vs MSS'!$F$6-('Price List i-Store vs MSS'!$F$6*'NET ISS vs MSS NA'!G3)</f>
        <v>1700</v>
      </c>
      <c r="H21" s="263">
        <f>'Price List i-Store vs MSS'!$G$6-('Price List i-Store vs MSS'!$G$6*'NET ISS vs MSS NA'!H3)</f>
        <v>1330</v>
      </c>
      <c r="I21" s="263">
        <f>'Price List i-Store vs MSS'!$H$6-('Price List i-Store vs MSS'!$H$6*'NET ISS vs MSS NA'!I3)</f>
        <v>1260</v>
      </c>
      <c r="J21" s="263">
        <f>'Price List i-Store vs MSS'!$I$6-('Price List i-Store vs MSS'!$I$6*'NET ISS vs MSS NA'!J3)</f>
        <v>1600</v>
      </c>
      <c r="K21" s="263"/>
      <c r="L21" s="263"/>
      <c r="M21" s="263"/>
      <c r="N21" s="263"/>
      <c r="O21" s="263"/>
      <c r="Q21" s="296"/>
      <c r="R21" s="296"/>
      <c r="S21" s="296">
        <f>'Price List i-Store vs MSS'!$O$6</f>
        <v>474.02</v>
      </c>
      <c r="T21" s="296"/>
      <c r="U21" s="296"/>
      <c r="V21" s="296">
        <f>'Price List i-Store vs MSS'!$R$6*1</f>
        <v>1495</v>
      </c>
      <c r="W21" s="296"/>
      <c r="X21" s="296"/>
      <c r="Y21" s="296"/>
    </row>
    <row r="22" spans="1:25" x14ac:dyDescent="0.2">
      <c r="A22" s="349"/>
      <c r="B22" s="352"/>
      <c r="C22" s="245">
        <v>3</v>
      </c>
      <c r="D22" s="264">
        <f>'Price List i-Store vs MSS'!$C$6-('Price List i-Store vs MSS'!$C$6*'NET ISS vs MSS NA'!D4)</f>
        <v>1805</v>
      </c>
      <c r="E22" s="264">
        <f>'Price List i-Store vs MSS'!$D$6-('Price List i-Store vs MSS'!$D$6*'NET ISS vs MSS NA'!E4)</f>
        <v>0</v>
      </c>
      <c r="F22" s="264">
        <f>'Price List i-Store vs MSS'!$E$6-('Price List i-Store vs MSS'!$E$6*'NET ISS vs MSS NA'!F4)</f>
        <v>1900</v>
      </c>
      <c r="G22" s="264">
        <f>'Price List i-Store vs MSS'!$F$6-('Price List i-Store vs MSS'!$F$6*'NET ISS vs MSS NA'!G4)</f>
        <v>1615</v>
      </c>
      <c r="H22" s="264">
        <f>'Price List i-Store vs MSS'!$G$6-('Price List i-Store vs MSS'!$G$6*'NET ISS vs MSS NA'!H4)</f>
        <v>1330</v>
      </c>
      <c r="I22" s="264">
        <f>'Price List i-Store vs MSS'!$H$6-('Price List i-Store vs MSS'!$H$6*'NET ISS vs MSS NA'!I4)</f>
        <v>1260</v>
      </c>
      <c r="J22" s="264">
        <f>'Price List i-Store vs MSS'!$I$6-('Price List i-Store vs MSS'!$I$6*'NET ISS vs MSS NA'!J4)</f>
        <v>1520</v>
      </c>
      <c r="K22" s="264"/>
      <c r="L22" s="264"/>
      <c r="M22" s="264"/>
      <c r="N22" s="264"/>
      <c r="O22" s="264"/>
      <c r="Q22" s="297"/>
      <c r="R22" s="297"/>
      <c r="S22" s="297">
        <f>'Price List i-Store vs MSS'!$O$6</f>
        <v>474.02</v>
      </c>
      <c r="T22" s="297"/>
      <c r="U22" s="297"/>
      <c r="V22" s="297">
        <f>'Price List i-Store vs MSS'!$R$6*0.8</f>
        <v>1196</v>
      </c>
      <c r="W22" s="297"/>
      <c r="X22" s="297"/>
      <c r="Y22" s="297"/>
    </row>
    <row r="23" spans="1:25" x14ac:dyDescent="0.2">
      <c r="A23" s="349"/>
      <c r="B23" s="352"/>
      <c r="C23" s="245">
        <v>6</v>
      </c>
      <c r="D23" s="264">
        <f>'Price List i-Store vs MSS'!$C$6-('Price List i-Store vs MSS'!$C$6*'NET ISS vs MSS NA'!D5)</f>
        <v>1710</v>
      </c>
      <c r="E23" s="264">
        <f>'Price List i-Store vs MSS'!$D$6-('Price List i-Store vs MSS'!$D$6*'NET ISS vs MSS NA'!E5)</f>
        <v>0</v>
      </c>
      <c r="F23" s="264">
        <f>'Price List i-Store vs MSS'!$E$6-('Price List i-Store vs MSS'!$E$6*'NET ISS vs MSS NA'!F5)</f>
        <v>1805</v>
      </c>
      <c r="G23" s="264">
        <f>'Price List i-Store vs MSS'!$F$6-('Price List i-Store vs MSS'!$F$6*'NET ISS vs MSS NA'!G5)</f>
        <v>1530</v>
      </c>
      <c r="H23" s="264">
        <f>'Price List i-Store vs MSS'!$G$6-('Price List i-Store vs MSS'!$G$6*'NET ISS vs MSS NA'!H5)</f>
        <v>1330</v>
      </c>
      <c r="I23" s="264">
        <f>'Price List i-Store vs MSS'!$H$6-('Price List i-Store vs MSS'!$H$6*'NET ISS vs MSS NA'!I5)</f>
        <v>1260</v>
      </c>
      <c r="J23" s="264">
        <f>'Price List i-Store vs MSS'!$I$6-('Price List i-Store vs MSS'!$I$6*'NET ISS vs MSS NA'!J5)</f>
        <v>1440</v>
      </c>
      <c r="K23" s="264"/>
      <c r="L23" s="264"/>
      <c r="M23" s="264"/>
      <c r="N23" s="264"/>
      <c r="O23" s="264"/>
      <c r="Q23" s="297"/>
      <c r="R23" s="297"/>
      <c r="S23" s="297">
        <f>'Price List i-Store vs MSS'!$O$6</f>
        <v>474.02</v>
      </c>
      <c r="T23" s="297"/>
      <c r="U23" s="297"/>
      <c r="V23" s="297">
        <f>'Price List i-Store vs MSS'!$R$6*0.75</f>
        <v>1121.25</v>
      </c>
      <c r="W23" s="297"/>
      <c r="X23" s="297"/>
      <c r="Y23" s="297"/>
    </row>
    <row r="24" spans="1:25" x14ac:dyDescent="0.2">
      <c r="A24" s="349"/>
      <c r="B24" s="352"/>
      <c r="C24" s="245">
        <v>9</v>
      </c>
      <c r="D24" s="264">
        <f>'Price List i-Store vs MSS'!$C$6-('Price List i-Store vs MSS'!$C$6*'NET ISS vs MSS NA'!D6)</f>
        <v>1710</v>
      </c>
      <c r="E24" s="264">
        <f>'Price List i-Store vs MSS'!$D$6-('Price List i-Store vs MSS'!$D$6*'NET ISS vs MSS NA'!E6)</f>
        <v>0</v>
      </c>
      <c r="F24" s="264">
        <f>'Price List i-Store vs MSS'!$E$6-('Price List i-Store vs MSS'!$E$6*'NET ISS vs MSS NA'!F6)</f>
        <v>1805</v>
      </c>
      <c r="G24" s="264">
        <f>'Price List i-Store vs MSS'!$F$6-('Price List i-Store vs MSS'!$F$6*'NET ISS vs MSS NA'!G6)</f>
        <v>1530</v>
      </c>
      <c r="H24" s="264">
        <f>'Price List i-Store vs MSS'!$G$6-('Price List i-Store vs MSS'!$G$6*'NET ISS vs MSS NA'!H6)</f>
        <v>1330</v>
      </c>
      <c r="I24" s="264">
        <f>'Price List i-Store vs MSS'!$H$6-('Price List i-Store vs MSS'!$H$6*'NET ISS vs MSS NA'!I6)</f>
        <v>1260</v>
      </c>
      <c r="J24" s="264">
        <f>'Price List i-Store vs MSS'!$I$6-('Price List i-Store vs MSS'!$I$6*'NET ISS vs MSS NA'!J6)</f>
        <v>1440</v>
      </c>
      <c r="K24" s="264"/>
      <c r="L24" s="264"/>
      <c r="M24" s="264"/>
      <c r="N24" s="264"/>
      <c r="O24" s="264"/>
      <c r="Q24" s="297"/>
      <c r="R24" s="297"/>
      <c r="S24" s="297">
        <f>'Price List i-Store vs MSS'!$O$6</f>
        <v>474.02</v>
      </c>
      <c r="T24" s="297"/>
      <c r="U24" s="297"/>
      <c r="V24" s="297">
        <f>'Price List i-Store vs MSS'!$R$6*0.7</f>
        <v>1046.5</v>
      </c>
      <c r="W24" s="297"/>
      <c r="X24" s="297"/>
      <c r="Y24" s="297"/>
    </row>
    <row r="25" spans="1:25" x14ac:dyDescent="0.2">
      <c r="A25" s="350"/>
      <c r="B25" s="353"/>
      <c r="C25" s="246">
        <v>12</v>
      </c>
      <c r="D25" s="265">
        <f>'Price List i-Store vs MSS'!$C$6-('Price List i-Store vs MSS'!$C$6*'NET ISS vs MSS NA'!D7)</f>
        <v>1615</v>
      </c>
      <c r="E25" s="265">
        <f>'Price List i-Store vs MSS'!$D$6-('Price List i-Store vs MSS'!$D$6*'NET ISS vs MSS NA'!E7)</f>
        <v>0</v>
      </c>
      <c r="F25" s="265">
        <f>'Price List i-Store vs MSS'!$E$6-('Price List i-Store vs MSS'!$E$6*'NET ISS vs MSS NA'!F7)</f>
        <v>1710</v>
      </c>
      <c r="G25" s="265">
        <f>'Price List i-Store vs MSS'!$F$6-('Price List i-Store vs MSS'!$F$6*'NET ISS vs MSS NA'!G7)</f>
        <v>1445</v>
      </c>
      <c r="H25" s="265">
        <f>'Price List i-Store vs MSS'!$G$6-('Price List i-Store vs MSS'!$G$6*'NET ISS vs MSS NA'!H7)</f>
        <v>1330</v>
      </c>
      <c r="I25" s="265">
        <f>'Price List i-Store vs MSS'!$H$6-('Price List i-Store vs MSS'!$H$6*'NET ISS vs MSS NA'!I7)</f>
        <v>1260</v>
      </c>
      <c r="J25" s="265">
        <f>'Price List i-Store vs MSS'!$I$6-('Price List i-Store vs MSS'!$I$6*'NET ISS vs MSS NA'!J7)</f>
        <v>1360</v>
      </c>
      <c r="K25" s="265"/>
      <c r="L25" s="265"/>
      <c r="M25" s="265"/>
      <c r="N25" s="265"/>
      <c r="O25" s="265"/>
      <c r="Q25" s="298"/>
      <c r="R25" s="298"/>
      <c r="S25" s="298">
        <f>'Price List i-Store vs MSS'!$O$6</f>
        <v>474.02</v>
      </c>
      <c r="T25" s="298"/>
      <c r="U25" s="298"/>
      <c r="V25" s="298">
        <f>'Price List i-Store vs MSS'!$R$6*0.65</f>
        <v>971.75</v>
      </c>
      <c r="W25" s="298"/>
      <c r="X25" s="298"/>
      <c r="Y25" s="298"/>
    </row>
    <row r="26" spans="1:25" x14ac:dyDescent="0.2">
      <c r="A26" s="348" t="s">
        <v>63</v>
      </c>
      <c r="B26" s="351">
        <v>1.3</v>
      </c>
      <c r="C26" s="244">
        <v>1</v>
      </c>
      <c r="D26" s="263">
        <f>'Price List i-Store vs MSS'!$C$7-('Price List i-Store vs MSS'!$C$7*'NET ISS vs MSS NA'!D3)</f>
        <v>1700</v>
      </c>
      <c r="E26" s="263">
        <f>'Price List i-Store vs MSS'!$D$7-('Price List i-Store vs MSS'!$D$7*'NET ISS vs MSS NA'!E3)</f>
        <v>0</v>
      </c>
      <c r="F26" s="263">
        <f>'Price List i-Store vs MSS'!$E$7-('Price List i-Store vs MSS'!$E$7*'NET ISS vs MSS NA'!F3)</f>
        <v>1700</v>
      </c>
      <c r="G26" s="263">
        <f>'Price List i-Store vs MSS'!$F$7-('Price List i-Store vs MSS'!$F$7*'NET ISS vs MSS NA'!G3)</f>
        <v>1900</v>
      </c>
      <c r="H26" s="263">
        <f>'Price List i-Store vs MSS'!$G$7-('Price List i-Store vs MSS'!$G$7*'NET ISS vs MSS NA'!H3)</f>
        <v>1190</v>
      </c>
      <c r="I26" s="263">
        <f>'Price List i-Store vs MSS'!$H$7-('Price List i-Store vs MSS'!$H$7*'NET ISS vs MSS NA'!I3)</f>
        <v>1120</v>
      </c>
      <c r="J26" s="263">
        <f>'Price List i-Store vs MSS'!$I$7-('Price List i-Store vs MSS'!$I$7*'NET ISS vs MSS NA'!J3)</f>
        <v>1400</v>
      </c>
      <c r="K26" s="263"/>
      <c r="L26" s="263"/>
      <c r="M26" s="263"/>
      <c r="N26" s="263"/>
      <c r="O26" s="263"/>
      <c r="Q26" s="296"/>
      <c r="R26" s="296"/>
      <c r="S26" s="296">
        <f>'Price List i-Store vs MSS'!$O$7</f>
        <v>567.48</v>
      </c>
      <c r="T26" s="296"/>
      <c r="U26" s="296"/>
      <c r="V26" s="296">
        <f>'Price List i-Store vs MSS'!$R$7*1</f>
        <v>1395</v>
      </c>
      <c r="W26" s="296"/>
      <c r="X26" s="296"/>
      <c r="Y26" s="296"/>
    </row>
    <row r="27" spans="1:25" x14ac:dyDescent="0.2">
      <c r="A27" s="349"/>
      <c r="B27" s="352"/>
      <c r="C27" s="245">
        <v>3</v>
      </c>
      <c r="D27" s="264">
        <f>'Price List i-Store vs MSS'!$C$7-('Price List i-Store vs MSS'!$C$7*'NET ISS vs MSS NA'!D4)</f>
        <v>1615</v>
      </c>
      <c r="E27" s="264">
        <f>'Price List i-Store vs MSS'!$D$7-('Price List i-Store vs MSS'!$D$7*'NET ISS vs MSS NA'!E4)</f>
        <v>0</v>
      </c>
      <c r="F27" s="264">
        <f>'Price List i-Store vs MSS'!$E$7-('Price List i-Store vs MSS'!$E$7*'NET ISS vs MSS NA'!F4)</f>
        <v>1700</v>
      </c>
      <c r="G27" s="264">
        <f>'Price List i-Store vs MSS'!$F$7-('Price List i-Store vs MSS'!$F$7*'NET ISS vs MSS NA'!G4)</f>
        <v>1805</v>
      </c>
      <c r="H27" s="264">
        <f>'Price List i-Store vs MSS'!$G$7-('Price List i-Store vs MSS'!$G$7*'NET ISS vs MSS NA'!H4)</f>
        <v>1190</v>
      </c>
      <c r="I27" s="264">
        <f>'Price List i-Store vs MSS'!$H$7-('Price List i-Store vs MSS'!$H$7*'NET ISS vs MSS NA'!I4)</f>
        <v>1120</v>
      </c>
      <c r="J27" s="264">
        <f>'Price List i-Store vs MSS'!$I$7-('Price List i-Store vs MSS'!$I$7*'NET ISS vs MSS NA'!J4)</f>
        <v>1330</v>
      </c>
      <c r="K27" s="264"/>
      <c r="L27" s="264"/>
      <c r="M27" s="264"/>
      <c r="N27" s="264"/>
      <c r="O27" s="264"/>
      <c r="Q27" s="297"/>
      <c r="R27" s="297"/>
      <c r="S27" s="297">
        <f>'Price List i-Store vs MSS'!$O$7</f>
        <v>567.48</v>
      </c>
      <c r="T27" s="297"/>
      <c r="U27" s="297"/>
      <c r="V27" s="297">
        <f>'Price List i-Store vs MSS'!$R$7*0.8</f>
        <v>1116</v>
      </c>
      <c r="W27" s="297"/>
      <c r="X27" s="297"/>
      <c r="Y27" s="297"/>
    </row>
    <row r="28" spans="1:25" x14ac:dyDescent="0.2">
      <c r="A28" s="349"/>
      <c r="B28" s="352"/>
      <c r="C28" s="245">
        <v>6</v>
      </c>
      <c r="D28" s="264">
        <f>'Price List i-Store vs MSS'!$C$7-('Price List i-Store vs MSS'!$C$7*'NET ISS vs MSS NA'!D5)</f>
        <v>1530</v>
      </c>
      <c r="E28" s="264">
        <f>'Price List i-Store vs MSS'!$D$7-('Price List i-Store vs MSS'!$D$7*'NET ISS vs MSS NA'!E5)</f>
        <v>0</v>
      </c>
      <c r="F28" s="264">
        <f>'Price List i-Store vs MSS'!$E$7-('Price List i-Store vs MSS'!$E$7*'NET ISS vs MSS NA'!F5)</f>
        <v>1615</v>
      </c>
      <c r="G28" s="264">
        <f>'Price List i-Store vs MSS'!$F$7-('Price List i-Store vs MSS'!$F$7*'NET ISS vs MSS NA'!G5)</f>
        <v>1710</v>
      </c>
      <c r="H28" s="264">
        <f>'Price List i-Store vs MSS'!$G$7-('Price List i-Store vs MSS'!$G$7*'NET ISS vs MSS NA'!H5)</f>
        <v>1190</v>
      </c>
      <c r="I28" s="264">
        <f>'Price List i-Store vs MSS'!$H$7-('Price List i-Store vs MSS'!$H$7*'NET ISS vs MSS NA'!I5)</f>
        <v>1120</v>
      </c>
      <c r="J28" s="264">
        <f>'Price List i-Store vs MSS'!$I$7-('Price List i-Store vs MSS'!$I$7*'NET ISS vs MSS NA'!J5)</f>
        <v>1260</v>
      </c>
      <c r="K28" s="264"/>
      <c r="L28" s="264"/>
      <c r="M28" s="264"/>
      <c r="N28" s="264"/>
      <c r="O28" s="264"/>
      <c r="Q28" s="297"/>
      <c r="R28" s="297"/>
      <c r="S28" s="297">
        <f>'Price List i-Store vs MSS'!$O$7</f>
        <v>567.48</v>
      </c>
      <c r="T28" s="297"/>
      <c r="U28" s="297"/>
      <c r="V28" s="297">
        <f>'Price List i-Store vs MSS'!$R$7*0.75</f>
        <v>1046.25</v>
      </c>
      <c r="W28" s="297"/>
      <c r="X28" s="297"/>
      <c r="Y28" s="297"/>
    </row>
    <row r="29" spans="1:25" x14ac:dyDescent="0.2">
      <c r="A29" s="349"/>
      <c r="B29" s="352"/>
      <c r="C29" s="245">
        <v>9</v>
      </c>
      <c r="D29" s="264">
        <f>'Price List i-Store vs MSS'!$C$7-('Price List i-Store vs MSS'!$C$7*'NET ISS vs MSS NA'!D6)</f>
        <v>1530</v>
      </c>
      <c r="E29" s="264">
        <f>'Price List i-Store vs MSS'!$D$7-('Price List i-Store vs MSS'!$D$7*'NET ISS vs MSS NA'!E6)</f>
        <v>0</v>
      </c>
      <c r="F29" s="264">
        <f>'Price List i-Store vs MSS'!$E$7-('Price List i-Store vs MSS'!$E$7*'NET ISS vs MSS NA'!F6)</f>
        <v>1615</v>
      </c>
      <c r="G29" s="264">
        <f>'Price List i-Store vs MSS'!$F$7-('Price List i-Store vs MSS'!$F$7*'NET ISS vs MSS NA'!G6)</f>
        <v>1710</v>
      </c>
      <c r="H29" s="264">
        <f>'Price List i-Store vs MSS'!$G$7-('Price List i-Store vs MSS'!$G$7*'NET ISS vs MSS NA'!H6)</f>
        <v>1190</v>
      </c>
      <c r="I29" s="264">
        <f>'Price List i-Store vs MSS'!$H$7-('Price List i-Store vs MSS'!$H$7*'NET ISS vs MSS NA'!I6)</f>
        <v>1120</v>
      </c>
      <c r="J29" s="264">
        <f>'Price List i-Store vs MSS'!$I$7-('Price List i-Store vs MSS'!$I$7*'NET ISS vs MSS NA'!J6)</f>
        <v>1260</v>
      </c>
      <c r="K29" s="264"/>
      <c r="L29" s="264"/>
      <c r="M29" s="264"/>
      <c r="N29" s="264"/>
      <c r="O29" s="264"/>
      <c r="Q29" s="297"/>
      <c r="R29" s="297"/>
      <c r="S29" s="297">
        <f>'Price List i-Store vs MSS'!$O$7</f>
        <v>567.48</v>
      </c>
      <c r="T29" s="297"/>
      <c r="U29" s="297"/>
      <c r="V29" s="297">
        <f>'Price List i-Store vs MSS'!$R$7*0.7</f>
        <v>976.49999999999989</v>
      </c>
      <c r="W29" s="297"/>
      <c r="X29" s="297"/>
      <c r="Y29" s="297"/>
    </row>
    <row r="30" spans="1:25" x14ac:dyDescent="0.2">
      <c r="A30" s="350"/>
      <c r="B30" s="353"/>
      <c r="C30" s="246">
        <v>12</v>
      </c>
      <c r="D30" s="265">
        <f>'Price List i-Store vs MSS'!$C$7-('Price List i-Store vs MSS'!$C$7*'NET ISS vs MSS NA'!D7)</f>
        <v>1445</v>
      </c>
      <c r="E30" s="265">
        <f>'Price List i-Store vs MSS'!$D$7-('Price List i-Store vs MSS'!$D$7*'NET ISS vs MSS NA'!E7)</f>
        <v>0</v>
      </c>
      <c r="F30" s="265">
        <f>'Price List i-Store vs MSS'!$E$7-('Price List i-Store vs MSS'!$E$7*'NET ISS vs MSS NA'!F7)</f>
        <v>1530</v>
      </c>
      <c r="G30" s="265">
        <f>'Price List i-Store vs MSS'!$F$7-('Price List i-Store vs MSS'!$F$7*'NET ISS vs MSS NA'!G7)</f>
        <v>1615</v>
      </c>
      <c r="H30" s="265">
        <f>'Price List i-Store vs MSS'!$G$7-('Price List i-Store vs MSS'!$G$7*'NET ISS vs MSS NA'!H7)</f>
        <v>1190</v>
      </c>
      <c r="I30" s="265">
        <f>'Price List i-Store vs MSS'!$H$7-('Price List i-Store vs MSS'!$H$7*'NET ISS vs MSS NA'!I7)</f>
        <v>1120</v>
      </c>
      <c r="J30" s="265">
        <f>'Price List i-Store vs MSS'!$I$7-('Price List i-Store vs MSS'!$I$7*'NET ISS vs MSS NA'!J7)</f>
        <v>1190</v>
      </c>
      <c r="K30" s="265"/>
      <c r="L30" s="265"/>
      <c r="M30" s="265"/>
      <c r="N30" s="265"/>
      <c r="O30" s="265"/>
      <c r="Q30" s="298"/>
      <c r="R30" s="298"/>
      <c r="S30" s="298">
        <f>'Price List i-Store vs MSS'!$O$7</f>
        <v>567.48</v>
      </c>
      <c r="T30" s="298"/>
      <c r="U30" s="298"/>
      <c r="V30" s="298">
        <f>'Price List i-Store vs MSS'!$R$7*0.65</f>
        <v>906.75</v>
      </c>
      <c r="W30" s="298"/>
      <c r="X30" s="298"/>
      <c r="Y30" s="298"/>
    </row>
    <row r="31" spans="1:25" x14ac:dyDescent="0.2">
      <c r="A31" s="354" t="s">
        <v>118</v>
      </c>
      <c r="B31" s="351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6">
        <f>'Price List i-Store vs MSS'!$M$8*1</f>
        <v>1500</v>
      </c>
      <c r="R31" s="296"/>
      <c r="S31" s="296">
        <f>'Price List i-Store vs MSS'!$O$8*1</f>
        <v>1500</v>
      </c>
      <c r="T31" s="296"/>
      <c r="U31" s="296"/>
      <c r="V31" s="296"/>
      <c r="W31" s="296"/>
      <c r="X31" s="296">
        <f>'Price List i-Store vs MSS'!$T$8*1</f>
        <v>1600</v>
      </c>
      <c r="Y31" s="296"/>
    </row>
    <row r="32" spans="1:25" x14ac:dyDescent="0.2">
      <c r="A32" s="349"/>
      <c r="B32" s="352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297">
        <f>'Price List i-Store vs MSS'!$M$8*0.85</f>
        <v>1275</v>
      </c>
      <c r="R32" s="297"/>
      <c r="S32" s="297">
        <f>'Price List i-Store vs MSS'!$O$8*0.8</f>
        <v>1200</v>
      </c>
      <c r="T32" s="297"/>
      <c r="U32" s="297"/>
      <c r="V32" s="297"/>
      <c r="W32" s="297"/>
      <c r="X32" s="297">
        <f>'Price List i-Store vs MSS'!$T$8*0.85</f>
        <v>1360</v>
      </c>
      <c r="Y32" s="297"/>
    </row>
    <row r="33" spans="1:25" x14ac:dyDescent="0.2">
      <c r="A33" s="349"/>
      <c r="B33" s="352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297">
        <f>'Price List i-Store vs MSS'!$M$8*0.8</f>
        <v>1200</v>
      </c>
      <c r="R33" s="297"/>
      <c r="S33" s="297">
        <f>'Price List i-Store vs MSS'!$O$8*0.75</f>
        <v>1125</v>
      </c>
      <c r="T33" s="297"/>
      <c r="U33" s="297"/>
      <c r="V33" s="297"/>
      <c r="W33" s="297"/>
      <c r="X33" s="297">
        <f>'Price List i-Store vs MSS'!$T$8*0.8</f>
        <v>1280</v>
      </c>
      <c r="Y33" s="297"/>
    </row>
    <row r="34" spans="1:25" x14ac:dyDescent="0.2">
      <c r="A34" s="349"/>
      <c r="B34" s="352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297">
        <f>'Price List i-Store vs MSS'!$M$8*0.75</f>
        <v>1125</v>
      </c>
      <c r="R34" s="297"/>
      <c r="S34" s="297">
        <f>'Price List i-Store vs MSS'!$O$8*0.7</f>
        <v>1050</v>
      </c>
      <c r="T34" s="297"/>
      <c r="U34" s="297"/>
      <c r="V34" s="297"/>
      <c r="W34" s="297"/>
      <c r="X34" s="297">
        <f>'Price List i-Store vs MSS'!$T$8*0.75</f>
        <v>1200</v>
      </c>
      <c r="Y34" s="297"/>
    </row>
    <row r="35" spans="1:25" x14ac:dyDescent="0.2">
      <c r="A35" s="350"/>
      <c r="B35" s="353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298">
        <f>'Price List i-Store vs MSS'!$M$8*0.7</f>
        <v>1050</v>
      </c>
      <c r="R35" s="298"/>
      <c r="S35" s="298">
        <f>'Price List i-Store vs MSS'!$O$8*0.65</f>
        <v>975</v>
      </c>
      <c r="T35" s="298"/>
      <c r="U35" s="298"/>
      <c r="V35" s="298"/>
      <c r="W35" s="298"/>
      <c r="X35" s="298">
        <f>'Price List i-Store vs MSS'!$T$8*0.7</f>
        <v>1120</v>
      </c>
      <c r="Y35" s="298"/>
    </row>
    <row r="36" spans="1:25" x14ac:dyDescent="0.2">
      <c r="A36" s="348" t="s">
        <v>52</v>
      </c>
      <c r="B36" s="351">
        <v>2.25</v>
      </c>
      <c r="C36" s="244">
        <v>1</v>
      </c>
      <c r="D36" s="263">
        <f>'Price List i-Store vs MSS'!$C$9-('Price List i-Store vs MSS'!$C$9*'NET ISS vs MSS NA'!D3)</f>
        <v>3200</v>
      </c>
      <c r="E36" s="263">
        <f>'Price List i-Store vs MSS'!$D$9-('Price List i-Store vs MSS'!$D$9*'NET ISS vs MSS NA'!E3)</f>
        <v>0</v>
      </c>
      <c r="F36" s="263">
        <f>'Price List i-Store vs MSS'!$E$9-('Price List i-Store vs MSS'!$E$9*'NET ISS vs MSS NA'!F3)</f>
        <v>3200</v>
      </c>
      <c r="G36" s="263">
        <f>'Price List i-Store vs MSS'!$F$9-('Price List i-Store vs MSS'!$F$9*'NET ISS vs MSS NA'!G3)</f>
        <v>3200</v>
      </c>
      <c r="H36" s="263">
        <f>'Price List i-Store vs MSS'!$G$9-('Price List i-Store vs MSS'!$G$9*'NET ISS vs MSS NA'!H3)</f>
        <v>2240</v>
      </c>
      <c r="I36" s="263">
        <f>'Price List i-Store vs MSS'!$H$9-('Price List i-Store vs MSS'!$H$9*'NET ISS vs MSS NA'!I3)</f>
        <v>2100</v>
      </c>
      <c r="J36" s="263">
        <f>'Price List i-Store vs MSS'!$I$9-('Price List i-Store vs MSS'!$I$9*'NET ISS vs MSS NA'!J3)</f>
        <v>2700</v>
      </c>
      <c r="K36" s="263"/>
      <c r="L36" s="263"/>
      <c r="M36" s="263"/>
      <c r="N36" s="263"/>
      <c r="O36" s="263"/>
      <c r="Q36" s="296">
        <f>'Price List i-Store vs MSS'!$M$9*0.9</f>
        <v>1980</v>
      </c>
      <c r="R36" s="296"/>
      <c r="S36" s="296">
        <f>'Price List i-Store vs MSS'!$O$9*0.9</f>
        <v>1890</v>
      </c>
      <c r="T36" s="296"/>
      <c r="U36" s="296"/>
      <c r="V36" s="296">
        <f>'Price List i-Store vs MSS'!$R$9*1</f>
        <v>2600</v>
      </c>
      <c r="W36" s="296"/>
      <c r="X36" s="296">
        <f>'Price List i-Store vs MSS'!$T$9*0.9</f>
        <v>1980</v>
      </c>
      <c r="Y36" s="296"/>
    </row>
    <row r="37" spans="1:25" x14ac:dyDescent="0.2">
      <c r="A37" s="349"/>
      <c r="B37" s="352"/>
      <c r="C37" s="245">
        <v>3</v>
      </c>
      <c r="D37" s="264">
        <f>'Price List i-Store vs MSS'!$C$9-('Price List i-Store vs MSS'!$C$9*'NET ISS vs MSS NA'!D4)</f>
        <v>3040</v>
      </c>
      <c r="E37" s="264">
        <f>'Price List i-Store vs MSS'!$D$9-('Price List i-Store vs MSS'!$D$9*'NET ISS vs MSS NA'!E4)</f>
        <v>0</v>
      </c>
      <c r="F37" s="264">
        <f>'Price List i-Store vs MSS'!$E$9-('Price List i-Store vs MSS'!$E$9*'NET ISS vs MSS NA'!F4)</f>
        <v>3200</v>
      </c>
      <c r="G37" s="264">
        <f>'Price List i-Store vs MSS'!$F$9-('Price List i-Store vs MSS'!$F$9*'NET ISS vs MSS NA'!G4)</f>
        <v>3040</v>
      </c>
      <c r="H37" s="264">
        <f>'Price List i-Store vs MSS'!$G$9-('Price List i-Store vs MSS'!$G$9*'NET ISS vs MSS NA'!H4)</f>
        <v>2240</v>
      </c>
      <c r="I37" s="264">
        <f>'Price List i-Store vs MSS'!$H$9-('Price List i-Store vs MSS'!$H$9*'NET ISS vs MSS NA'!I4)</f>
        <v>2100</v>
      </c>
      <c r="J37" s="264">
        <f>'Price List i-Store vs MSS'!$I$9-('Price List i-Store vs MSS'!$I$9*'NET ISS vs MSS NA'!J4)</f>
        <v>2565</v>
      </c>
      <c r="K37" s="264"/>
      <c r="L37" s="264"/>
      <c r="M37" s="264"/>
      <c r="N37" s="264"/>
      <c r="O37" s="264"/>
      <c r="Q37" s="297">
        <f>'Price List i-Store vs MSS'!$M$9*0.75</f>
        <v>1650</v>
      </c>
      <c r="R37" s="297"/>
      <c r="S37" s="297">
        <f>'Price List i-Store vs MSS'!$O$9*0.75</f>
        <v>1575</v>
      </c>
      <c r="T37" s="297"/>
      <c r="U37" s="297"/>
      <c r="V37" s="297">
        <f>'Price List i-Store vs MSS'!$R$9*0.8</f>
        <v>2080</v>
      </c>
      <c r="W37" s="297"/>
      <c r="X37" s="297">
        <f>'Price List i-Store vs MSS'!$T$9*0.75</f>
        <v>1650</v>
      </c>
      <c r="Y37" s="297"/>
    </row>
    <row r="38" spans="1:25" x14ac:dyDescent="0.2">
      <c r="A38" s="349"/>
      <c r="B38" s="352"/>
      <c r="C38" s="245">
        <v>6</v>
      </c>
      <c r="D38" s="264">
        <f>'Price List i-Store vs MSS'!$C$9-('Price List i-Store vs MSS'!$C$9*'NET ISS vs MSS NA'!D5)</f>
        <v>2880</v>
      </c>
      <c r="E38" s="264">
        <f>'Price List i-Store vs MSS'!$D$9-('Price List i-Store vs MSS'!$D$9*'NET ISS vs MSS NA'!E5)</f>
        <v>0</v>
      </c>
      <c r="F38" s="264">
        <f>'Price List i-Store vs MSS'!$E$9-('Price List i-Store vs MSS'!$E$9*'NET ISS vs MSS NA'!F5)</f>
        <v>3040</v>
      </c>
      <c r="G38" s="264">
        <f>'Price List i-Store vs MSS'!$F$9-('Price List i-Store vs MSS'!$F$9*'NET ISS vs MSS NA'!G5)</f>
        <v>2880</v>
      </c>
      <c r="H38" s="264">
        <f>'Price List i-Store vs MSS'!$G$9-('Price List i-Store vs MSS'!$G$9*'NET ISS vs MSS NA'!H5)</f>
        <v>2240</v>
      </c>
      <c r="I38" s="264">
        <f>'Price List i-Store vs MSS'!$H$9-('Price List i-Store vs MSS'!$H$9*'NET ISS vs MSS NA'!I5)</f>
        <v>2100</v>
      </c>
      <c r="J38" s="264">
        <f>'Price List i-Store vs MSS'!$I$9-('Price List i-Store vs MSS'!$I$9*'NET ISS vs MSS NA'!J5)</f>
        <v>2430</v>
      </c>
      <c r="K38" s="264"/>
      <c r="L38" s="264"/>
      <c r="M38" s="264"/>
      <c r="N38" s="264"/>
      <c r="O38" s="264"/>
      <c r="Q38" s="297">
        <f>'Price List i-Store vs MSS'!$M$9*0.7</f>
        <v>1540</v>
      </c>
      <c r="R38" s="297"/>
      <c r="S38" s="297">
        <f>'Price List i-Store vs MSS'!$O$9*0.7</f>
        <v>1470</v>
      </c>
      <c r="T38" s="297"/>
      <c r="U38" s="297"/>
      <c r="V38" s="297">
        <f>'Price List i-Store vs MSS'!$R$9*0.75</f>
        <v>1950</v>
      </c>
      <c r="W38" s="297"/>
      <c r="X38" s="297">
        <f>'Price List i-Store vs MSS'!$T$9*0.7</f>
        <v>1540</v>
      </c>
      <c r="Y38" s="297"/>
    </row>
    <row r="39" spans="1:25" x14ac:dyDescent="0.2">
      <c r="A39" s="349"/>
      <c r="B39" s="352"/>
      <c r="C39" s="245">
        <v>9</v>
      </c>
      <c r="D39" s="264">
        <f>'Price List i-Store vs MSS'!$C$9-('Price List i-Store vs MSS'!$C$9*'NET ISS vs MSS NA'!D6)</f>
        <v>2880</v>
      </c>
      <c r="E39" s="264">
        <f>'Price List i-Store vs MSS'!$D$9-('Price List i-Store vs MSS'!$D$9*'NET ISS vs MSS NA'!E6)</f>
        <v>0</v>
      </c>
      <c r="F39" s="264">
        <f>'Price List i-Store vs MSS'!$E$9-('Price List i-Store vs MSS'!$E$9*'NET ISS vs MSS NA'!F6)</f>
        <v>3040</v>
      </c>
      <c r="G39" s="264">
        <f>'Price List i-Store vs MSS'!$F$9-('Price List i-Store vs MSS'!$F$9*'NET ISS vs MSS NA'!G6)</f>
        <v>2880</v>
      </c>
      <c r="H39" s="264">
        <f>'Price List i-Store vs MSS'!$G$9-('Price List i-Store vs MSS'!$G$9*'NET ISS vs MSS NA'!H6)</f>
        <v>2240</v>
      </c>
      <c r="I39" s="264">
        <f>'Price List i-Store vs MSS'!$H$9-('Price List i-Store vs MSS'!$H$9*'NET ISS vs MSS NA'!I6)</f>
        <v>2100</v>
      </c>
      <c r="J39" s="264">
        <f>'Price List i-Store vs MSS'!$I$9-('Price List i-Store vs MSS'!$I$9*'NET ISS vs MSS NA'!J6)</f>
        <v>2430</v>
      </c>
      <c r="K39" s="264"/>
      <c r="L39" s="264"/>
      <c r="M39" s="264"/>
      <c r="N39" s="264"/>
      <c r="O39" s="264"/>
      <c r="Q39" s="297">
        <f>'Price List i-Store vs MSS'!$M$9*0.65</f>
        <v>1430</v>
      </c>
      <c r="R39" s="297"/>
      <c r="S39" s="297">
        <f>'Price List i-Store vs MSS'!$O$9*0.65</f>
        <v>1365</v>
      </c>
      <c r="T39" s="297"/>
      <c r="U39" s="297"/>
      <c r="V39" s="297">
        <f>'Price List i-Store vs MSS'!$R$9*0.7</f>
        <v>1819.9999999999998</v>
      </c>
      <c r="W39" s="297"/>
      <c r="X39" s="297">
        <f>'Price List i-Store vs MSS'!$T$9*0.65</f>
        <v>1430</v>
      </c>
      <c r="Y39" s="297"/>
    </row>
    <row r="40" spans="1:25" x14ac:dyDescent="0.2">
      <c r="A40" s="350"/>
      <c r="B40" s="353"/>
      <c r="C40" s="246">
        <v>12</v>
      </c>
      <c r="D40" s="265">
        <f>'Price List i-Store vs MSS'!$C$9-('Price List i-Store vs MSS'!$C$9*'NET ISS vs MSS NA'!D7)</f>
        <v>2720</v>
      </c>
      <c r="E40" s="265">
        <f>'Price List i-Store vs MSS'!$D$9-('Price List i-Store vs MSS'!$D$9*'NET ISS vs MSS NA'!E7)</f>
        <v>0</v>
      </c>
      <c r="F40" s="265">
        <f>'Price List i-Store vs MSS'!$E$9-('Price List i-Store vs MSS'!$E$9*'NET ISS vs MSS NA'!F7)</f>
        <v>2880</v>
      </c>
      <c r="G40" s="265">
        <f>'Price List i-Store vs MSS'!$F$9-('Price List i-Store vs MSS'!$F$9*'NET ISS vs MSS NA'!G7)</f>
        <v>2720</v>
      </c>
      <c r="H40" s="265">
        <f>'Price List i-Store vs MSS'!$G$9-('Price List i-Store vs MSS'!$G$9*'NET ISS vs MSS NA'!H7)</f>
        <v>2240</v>
      </c>
      <c r="I40" s="265">
        <f>'Price List i-Store vs MSS'!$H$9-('Price List i-Store vs MSS'!$H$9*'NET ISS vs MSS NA'!I7)</f>
        <v>2100</v>
      </c>
      <c r="J40" s="265">
        <f>'Price List i-Store vs MSS'!$I$9-('Price List i-Store vs MSS'!$I$9*'NET ISS vs MSS NA'!J7)</f>
        <v>2295</v>
      </c>
      <c r="K40" s="265"/>
      <c r="L40" s="265"/>
      <c r="M40" s="265"/>
      <c r="N40" s="265"/>
      <c r="O40" s="265"/>
      <c r="Q40" s="298">
        <f>'Price List i-Store vs MSS'!$M$9*0.6</f>
        <v>1320</v>
      </c>
      <c r="R40" s="298"/>
      <c r="S40" s="298">
        <f>'Price List i-Store vs MSS'!$O$9*0.6</f>
        <v>1260</v>
      </c>
      <c r="T40" s="298"/>
      <c r="U40" s="298"/>
      <c r="V40" s="298">
        <f>'Price List i-Store vs MSS'!$R$9*0.65</f>
        <v>1690</v>
      </c>
      <c r="W40" s="298"/>
      <c r="X40" s="298">
        <f>'Price List i-Store vs MSS'!$T$9*0.6</f>
        <v>1320</v>
      </c>
      <c r="Y40" s="298"/>
    </row>
    <row r="41" spans="1:25" x14ac:dyDescent="0.2">
      <c r="A41" s="348" t="s">
        <v>64</v>
      </c>
      <c r="B41" s="351">
        <v>3</v>
      </c>
      <c r="C41" s="244">
        <v>1</v>
      </c>
      <c r="D41" s="263">
        <f>'Price List i-Store vs MSS'!$C$10-('Price List i-Store vs MSS'!$C$10*'NET ISS vs MSS NA'!D3)</f>
        <v>4200</v>
      </c>
      <c r="E41" s="263">
        <f>'Price List i-Store vs MSS'!$D$10-('Price List i-Store vs MSS'!$D$10*'NET ISS vs MSS NA'!E3)</f>
        <v>0</v>
      </c>
      <c r="F41" s="263">
        <f>'Price List i-Store vs MSS'!$E$10-('Price List i-Store vs MSS'!$E$10*'NET ISS vs MSS NA'!F3)</f>
        <v>4200</v>
      </c>
      <c r="G41" s="263">
        <f>'Price List i-Store vs MSS'!$F$10-('Price List i-Store vs MSS'!$F$10*'NET ISS vs MSS NA'!G3)</f>
        <v>4200</v>
      </c>
      <c r="H41" s="263">
        <f>'Price List i-Store vs MSS'!$G$10-('Price List i-Store vs MSS'!$G$10*'NET ISS vs MSS NA'!H3)</f>
        <v>2940</v>
      </c>
      <c r="I41" s="263">
        <f>'Price List i-Store vs MSS'!$H$10-('Price List i-Store vs MSS'!$H$10*'NET ISS vs MSS NA'!I3)</f>
        <v>2800</v>
      </c>
      <c r="J41" s="263">
        <f>'Price List i-Store vs MSS'!$I$10-('Price List i-Store vs MSS'!$I$10*'NET ISS vs MSS NA'!J3)</f>
        <v>3600</v>
      </c>
      <c r="K41" s="263"/>
      <c r="L41" s="263"/>
      <c r="M41" s="263"/>
      <c r="N41" s="263"/>
      <c r="O41" s="263"/>
      <c r="Q41" s="296">
        <f>'Price List i-Store vs MSS'!$M$10*0.9</f>
        <v>3240</v>
      </c>
      <c r="R41" s="296"/>
      <c r="S41" s="296">
        <f>'Price List i-Store vs MSS'!$O$10</f>
        <v>2600</v>
      </c>
      <c r="T41" s="296"/>
      <c r="U41" s="296"/>
      <c r="V41" s="296">
        <f>'Price List i-Store vs MSS'!$R$10*1</f>
        <v>3100</v>
      </c>
      <c r="W41" s="296"/>
      <c r="X41" s="296">
        <f>'Price List i-Store vs MSS'!$T$10*1</f>
        <v>3100</v>
      </c>
      <c r="Y41" s="296"/>
    </row>
    <row r="42" spans="1:25" x14ac:dyDescent="0.2">
      <c r="A42" s="349"/>
      <c r="B42" s="352"/>
      <c r="C42" s="245">
        <v>3</v>
      </c>
      <c r="D42" s="264">
        <f>'Price List i-Store vs MSS'!$C$10-('Price List i-Store vs MSS'!$C$10*'NET ISS vs MSS NA'!D4)</f>
        <v>3990</v>
      </c>
      <c r="E42" s="264">
        <f>'Price List i-Store vs MSS'!$D$10-('Price List i-Store vs MSS'!$D$10*'NET ISS vs MSS NA'!E4)</f>
        <v>0</v>
      </c>
      <c r="F42" s="264">
        <f>'Price List i-Store vs MSS'!$E$10-('Price List i-Store vs MSS'!$E$10*'NET ISS vs MSS NA'!F4)</f>
        <v>4200</v>
      </c>
      <c r="G42" s="264">
        <f>'Price List i-Store vs MSS'!$F$10-('Price List i-Store vs MSS'!$F$10*'NET ISS vs MSS NA'!G4)</f>
        <v>3990</v>
      </c>
      <c r="H42" s="264">
        <f>'Price List i-Store vs MSS'!$G$10-('Price List i-Store vs MSS'!$G$10*'NET ISS vs MSS NA'!H4)</f>
        <v>2940</v>
      </c>
      <c r="I42" s="264">
        <f>'Price List i-Store vs MSS'!$H$10-('Price List i-Store vs MSS'!$H$10*'NET ISS vs MSS NA'!I4)</f>
        <v>2800</v>
      </c>
      <c r="J42" s="264">
        <f>'Price List i-Store vs MSS'!$I$10-('Price List i-Store vs MSS'!$I$10*'NET ISS vs MSS NA'!J4)</f>
        <v>3420</v>
      </c>
      <c r="K42" s="264"/>
      <c r="L42" s="264"/>
      <c r="M42" s="264"/>
      <c r="N42" s="264"/>
      <c r="O42" s="264"/>
      <c r="Q42" s="297">
        <f>'Price List i-Store vs MSS'!$M$10*0.75</f>
        <v>2700</v>
      </c>
      <c r="R42" s="297"/>
      <c r="S42" s="297">
        <f>'Price List i-Store vs MSS'!$O$10</f>
        <v>2600</v>
      </c>
      <c r="T42" s="297"/>
      <c r="U42" s="297"/>
      <c r="V42" s="297">
        <f>'Price List i-Store vs MSS'!$R$10*0.8</f>
        <v>2480</v>
      </c>
      <c r="W42" s="297"/>
      <c r="X42" s="297">
        <f>'Price List i-Store vs MSS'!$T$10*0.85</f>
        <v>2635</v>
      </c>
      <c r="Y42" s="297"/>
    </row>
    <row r="43" spans="1:25" x14ac:dyDescent="0.2">
      <c r="A43" s="349"/>
      <c r="B43" s="352"/>
      <c r="C43" s="245">
        <v>6</v>
      </c>
      <c r="D43" s="264">
        <f>'Price List i-Store vs MSS'!$C$10-('Price List i-Store vs MSS'!$C$10*'NET ISS vs MSS NA'!D5)</f>
        <v>3780</v>
      </c>
      <c r="E43" s="264">
        <f>'Price List i-Store vs MSS'!$D$10-('Price List i-Store vs MSS'!$D$10*'NET ISS vs MSS NA'!E5)</f>
        <v>0</v>
      </c>
      <c r="F43" s="264">
        <f>'Price List i-Store vs MSS'!$E$10-('Price List i-Store vs MSS'!$E$10*'NET ISS vs MSS NA'!F5)</f>
        <v>3990</v>
      </c>
      <c r="G43" s="264">
        <f>'Price List i-Store vs MSS'!$F$10-('Price List i-Store vs MSS'!$F$10*'NET ISS vs MSS NA'!G5)</f>
        <v>3780</v>
      </c>
      <c r="H43" s="264">
        <f>'Price List i-Store vs MSS'!$G$10-('Price List i-Store vs MSS'!$G$10*'NET ISS vs MSS NA'!H5)</f>
        <v>2940</v>
      </c>
      <c r="I43" s="264">
        <f>'Price List i-Store vs MSS'!$H$10-('Price List i-Store vs MSS'!$H$10*'NET ISS vs MSS NA'!I5)</f>
        <v>2800</v>
      </c>
      <c r="J43" s="264">
        <f>'Price List i-Store vs MSS'!$I$10-('Price List i-Store vs MSS'!$I$10*'NET ISS vs MSS NA'!J5)</f>
        <v>3240</v>
      </c>
      <c r="K43" s="264"/>
      <c r="L43" s="264"/>
      <c r="M43" s="264"/>
      <c r="N43" s="264"/>
      <c r="O43" s="264"/>
      <c r="Q43" s="297">
        <f>'Price List i-Store vs MSS'!$M$10*0.7</f>
        <v>2520</v>
      </c>
      <c r="R43" s="297"/>
      <c r="S43" s="297">
        <f>'Price List i-Store vs MSS'!$O$10</f>
        <v>2600</v>
      </c>
      <c r="T43" s="297"/>
      <c r="U43" s="297"/>
      <c r="V43" s="297">
        <f>'Price List i-Store vs MSS'!$R$10*0.75</f>
        <v>2325</v>
      </c>
      <c r="W43" s="297"/>
      <c r="X43" s="297">
        <f>'Price List i-Store vs MSS'!$T$10*0.8</f>
        <v>2480</v>
      </c>
      <c r="Y43" s="297"/>
    </row>
    <row r="44" spans="1:25" x14ac:dyDescent="0.2">
      <c r="A44" s="349"/>
      <c r="B44" s="352"/>
      <c r="C44" s="245">
        <v>9</v>
      </c>
      <c r="D44" s="264">
        <f>'Price List i-Store vs MSS'!$C$10-('Price List i-Store vs MSS'!$C$10*'NET ISS vs MSS NA'!D6)</f>
        <v>3780</v>
      </c>
      <c r="E44" s="264">
        <f>'Price List i-Store vs MSS'!$D$10-('Price List i-Store vs MSS'!$D$10*'NET ISS vs MSS NA'!E6)</f>
        <v>0</v>
      </c>
      <c r="F44" s="264">
        <f>'Price List i-Store vs MSS'!$E$10-('Price List i-Store vs MSS'!$E$10*'NET ISS vs MSS NA'!F6)</f>
        <v>3990</v>
      </c>
      <c r="G44" s="264">
        <f>'Price List i-Store vs MSS'!$F$10-('Price List i-Store vs MSS'!$F$10*'NET ISS vs MSS NA'!G6)</f>
        <v>3780</v>
      </c>
      <c r="H44" s="264">
        <f>'Price List i-Store vs MSS'!$G$10-('Price List i-Store vs MSS'!$G$10*'NET ISS vs MSS NA'!H6)</f>
        <v>2940</v>
      </c>
      <c r="I44" s="264">
        <f>'Price List i-Store vs MSS'!$H$10-('Price List i-Store vs MSS'!$H$10*'NET ISS vs MSS NA'!I6)</f>
        <v>2800</v>
      </c>
      <c r="J44" s="264">
        <f>'Price List i-Store vs MSS'!$I$10-('Price List i-Store vs MSS'!$I$10*'NET ISS vs MSS NA'!J6)</f>
        <v>3240</v>
      </c>
      <c r="K44" s="264"/>
      <c r="L44" s="264"/>
      <c r="M44" s="264"/>
      <c r="N44" s="264"/>
      <c r="O44" s="264"/>
      <c r="Q44" s="297">
        <f>'Price List i-Store vs MSS'!$M$10*0.65</f>
        <v>2340</v>
      </c>
      <c r="R44" s="297"/>
      <c r="S44" s="297">
        <f>'Price List i-Store vs MSS'!$O$10</f>
        <v>2600</v>
      </c>
      <c r="T44" s="297"/>
      <c r="U44" s="297"/>
      <c r="V44" s="297">
        <f>'Price List i-Store vs MSS'!$R$10*0.7</f>
        <v>2170</v>
      </c>
      <c r="W44" s="297"/>
      <c r="X44" s="297">
        <f>'Price List i-Store vs MSS'!$T$10*0.75</f>
        <v>2325</v>
      </c>
      <c r="Y44" s="297"/>
    </row>
    <row r="45" spans="1:25" x14ac:dyDescent="0.2">
      <c r="A45" s="350"/>
      <c r="B45" s="353"/>
      <c r="C45" s="246">
        <v>12</v>
      </c>
      <c r="D45" s="265">
        <f>'Price List i-Store vs MSS'!$C$10-('Price List i-Store vs MSS'!$C$10*'NET ISS vs MSS NA'!D7)</f>
        <v>3570</v>
      </c>
      <c r="E45" s="265">
        <f>'Price List i-Store vs MSS'!$D$10-('Price List i-Store vs MSS'!$D$10*'NET ISS vs MSS NA'!E7)</f>
        <v>0</v>
      </c>
      <c r="F45" s="265">
        <f>'Price List i-Store vs MSS'!$E$10-('Price List i-Store vs MSS'!$E$10*'NET ISS vs MSS NA'!F7)</f>
        <v>3780</v>
      </c>
      <c r="G45" s="265">
        <f>'Price List i-Store vs MSS'!$F$10-('Price List i-Store vs MSS'!$F$10*'NET ISS vs MSS NA'!G7)</f>
        <v>3570</v>
      </c>
      <c r="H45" s="265">
        <f>'Price List i-Store vs MSS'!$G$10-('Price List i-Store vs MSS'!$G$10*'NET ISS vs MSS NA'!H7)</f>
        <v>2940</v>
      </c>
      <c r="I45" s="265">
        <f>'Price List i-Store vs MSS'!$H$10-('Price List i-Store vs MSS'!$H$10*'NET ISS vs MSS NA'!I7)</f>
        <v>2800</v>
      </c>
      <c r="J45" s="265">
        <f>'Price List i-Store vs MSS'!$I$10-('Price List i-Store vs MSS'!$I$10*'NET ISS vs MSS NA'!J7)</f>
        <v>3060</v>
      </c>
      <c r="K45" s="265"/>
      <c r="L45" s="265"/>
      <c r="M45" s="265"/>
      <c r="N45" s="265"/>
      <c r="O45" s="265"/>
      <c r="Q45" s="298">
        <f>'Price List i-Store vs MSS'!$M$10*0.6</f>
        <v>2160</v>
      </c>
      <c r="R45" s="298"/>
      <c r="S45" s="298">
        <f>'Price List i-Store vs MSS'!$O$10</f>
        <v>2600</v>
      </c>
      <c r="T45" s="298"/>
      <c r="U45" s="298"/>
      <c r="V45" s="298">
        <f>'Price List i-Store vs MSS'!$R$10*0.65</f>
        <v>2015</v>
      </c>
      <c r="W45" s="298"/>
      <c r="X45" s="298">
        <f>'Price List i-Store vs MSS'!$T$10*0.7</f>
        <v>2170</v>
      </c>
      <c r="Y45" s="298"/>
    </row>
    <row r="46" spans="1:25" x14ac:dyDescent="0.2">
      <c r="A46" s="348" t="s">
        <v>54</v>
      </c>
      <c r="B46" s="351">
        <v>4.5</v>
      </c>
      <c r="C46" s="244">
        <v>1</v>
      </c>
      <c r="D46" s="263">
        <f>'Price List i-Store vs MSS'!$C$11-('Price List i-Store vs MSS'!$C$11*'NET ISS vs MSS NA'!D3)</f>
        <v>5300</v>
      </c>
      <c r="E46" s="263">
        <f>'Price List i-Store vs MSS'!$D$11-('Price List i-Store vs MSS'!$D$11*'NET ISS vs MSS NA'!E3)</f>
        <v>0</v>
      </c>
      <c r="F46" s="263">
        <f>'Price List i-Store vs MSS'!$E$11-('Price List i-Store vs MSS'!$E$11*'NET ISS vs MSS NA'!F3)</f>
        <v>5300</v>
      </c>
      <c r="G46" s="263">
        <f>'Price List i-Store vs MSS'!$F$11-('Price List i-Store vs MSS'!$F$11*'NET ISS vs MSS NA'!G3)</f>
        <v>5300</v>
      </c>
      <c r="H46" s="263">
        <f>'Price List i-Store vs MSS'!$G$11-('Price List i-Store vs MSS'!$G$11*'NET ISS vs MSS NA'!H3)</f>
        <v>3710</v>
      </c>
      <c r="I46" s="263">
        <f>'Price List i-Store vs MSS'!$H$11-('Price List i-Store vs MSS'!$H$11*'NET ISS vs MSS NA'!I3)</f>
        <v>3500</v>
      </c>
      <c r="J46" s="263">
        <f>'Price List i-Store vs MSS'!$I$11-('Price List i-Store vs MSS'!$I$11*'NET ISS vs MSS NA'!J3)</f>
        <v>4500</v>
      </c>
      <c r="K46" s="263"/>
      <c r="L46" s="263"/>
      <c r="M46" s="263"/>
      <c r="N46" s="263"/>
      <c r="O46" s="263"/>
      <c r="Q46" s="296">
        <f>'Price List i-Store vs MSS'!$M$11*0.9</f>
        <v>4230</v>
      </c>
      <c r="R46" s="296"/>
      <c r="S46" s="296">
        <f>'Price List i-Store vs MSS'!$O$11*1</f>
        <v>4200</v>
      </c>
      <c r="T46" s="296"/>
      <c r="U46" s="296"/>
      <c r="V46" s="296">
        <f>'Price List i-Store vs MSS'!$R$11*1</f>
        <v>4200</v>
      </c>
      <c r="W46" s="296"/>
      <c r="X46" s="296">
        <f>'Price List i-Store vs MSS'!$T$11*0.9</f>
        <v>4680</v>
      </c>
      <c r="Y46" s="296"/>
    </row>
    <row r="47" spans="1:25" x14ac:dyDescent="0.2">
      <c r="A47" s="349"/>
      <c r="B47" s="352"/>
      <c r="C47" s="245">
        <v>3</v>
      </c>
      <c r="D47" s="264">
        <f>'Price List i-Store vs MSS'!$C$11-('Price List i-Store vs MSS'!$C$11*'NET ISS vs MSS NA'!D4)</f>
        <v>5035</v>
      </c>
      <c r="E47" s="264">
        <f>'Price List i-Store vs MSS'!$D$11-('Price List i-Store vs MSS'!$D$11*'NET ISS vs MSS NA'!E4)</f>
        <v>0</v>
      </c>
      <c r="F47" s="264">
        <f>'Price List i-Store vs MSS'!$E$11-('Price List i-Store vs MSS'!$E$11*'NET ISS vs MSS NA'!F4)</f>
        <v>5300</v>
      </c>
      <c r="G47" s="264">
        <f>'Price List i-Store vs MSS'!$F$11-('Price List i-Store vs MSS'!$F$11*'NET ISS vs MSS NA'!G4)</f>
        <v>5035</v>
      </c>
      <c r="H47" s="264">
        <f>'Price List i-Store vs MSS'!$G$11-('Price List i-Store vs MSS'!$G$11*'NET ISS vs MSS NA'!H4)</f>
        <v>3710</v>
      </c>
      <c r="I47" s="264">
        <f>'Price List i-Store vs MSS'!$H$11-('Price List i-Store vs MSS'!$H$11*'NET ISS vs MSS NA'!I4)</f>
        <v>3500</v>
      </c>
      <c r="J47" s="264">
        <f>'Price List i-Store vs MSS'!$I$11-('Price List i-Store vs MSS'!$I$11*'NET ISS vs MSS NA'!J4)</f>
        <v>4275</v>
      </c>
      <c r="K47" s="264"/>
      <c r="L47" s="264"/>
      <c r="M47" s="264"/>
      <c r="N47" s="264"/>
      <c r="O47" s="264"/>
      <c r="Q47" s="297">
        <f>'Price List i-Store vs MSS'!$M$11*0.75</f>
        <v>3525</v>
      </c>
      <c r="R47" s="297"/>
      <c r="S47" s="297">
        <f>'Price List i-Store vs MSS'!$O$11*0.8</f>
        <v>3360</v>
      </c>
      <c r="T47" s="297"/>
      <c r="U47" s="297"/>
      <c r="V47" s="297">
        <f>'Price List i-Store vs MSS'!$R$11*0.8</f>
        <v>3360</v>
      </c>
      <c r="W47" s="297"/>
      <c r="X47" s="297">
        <f>'Price List i-Store vs MSS'!$T$11*0.75</f>
        <v>3900</v>
      </c>
      <c r="Y47" s="297"/>
    </row>
    <row r="48" spans="1:25" x14ac:dyDescent="0.2">
      <c r="A48" s="349"/>
      <c r="B48" s="352"/>
      <c r="C48" s="245">
        <v>6</v>
      </c>
      <c r="D48" s="264">
        <f>'Price List i-Store vs MSS'!$C$11-('Price List i-Store vs MSS'!$C$11*'NET ISS vs MSS NA'!D5)</f>
        <v>4770</v>
      </c>
      <c r="E48" s="264">
        <f>'Price List i-Store vs MSS'!$D$11-('Price List i-Store vs MSS'!$D$11*'NET ISS vs MSS NA'!E5)</f>
        <v>0</v>
      </c>
      <c r="F48" s="264">
        <f>'Price List i-Store vs MSS'!$E$11-('Price List i-Store vs MSS'!$E$11*'NET ISS vs MSS NA'!F5)</f>
        <v>5035</v>
      </c>
      <c r="G48" s="264">
        <f>'Price List i-Store vs MSS'!$F$11-('Price List i-Store vs MSS'!$F$11*'NET ISS vs MSS NA'!G5)</f>
        <v>4770</v>
      </c>
      <c r="H48" s="264">
        <f>'Price List i-Store vs MSS'!$G$11-('Price List i-Store vs MSS'!$G$11*'NET ISS vs MSS NA'!H5)</f>
        <v>3710</v>
      </c>
      <c r="I48" s="264">
        <f>'Price List i-Store vs MSS'!$H$11-('Price List i-Store vs MSS'!$H$11*'NET ISS vs MSS NA'!I5)</f>
        <v>3500</v>
      </c>
      <c r="J48" s="264">
        <f>'Price List i-Store vs MSS'!$I$11-('Price List i-Store vs MSS'!$I$11*'NET ISS vs MSS NA'!J5)</f>
        <v>4050</v>
      </c>
      <c r="K48" s="264"/>
      <c r="L48" s="264"/>
      <c r="M48" s="264"/>
      <c r="N48" s="264"/>
      <c r="O48" s="264"/>
      <c r="Q48" s="297">
        <f>'Price List i-Store vs MSS'!$M$11*0.7</f>
        <v>3290</v>
      </c>
      <c r="R48" s="297"/>
      <c r="S48" s="297">
        <f>'Price List i-Store vs MSS'!$O$11*0.75</f>
        <v>3150</v>
      </c>
      <c r="T48" s="297"/>
      <c r="U48" s="297"/>
      <c r="V48" s="297">
        <f>'Price List i-Store vs MSS'!$R$11*0.75</f>
        <v>3150</v>
      </c>
      <c r="W48" s="297"/>
      <c r="X48" s="297">
        <f>'Price List i-Store vs MSS'!$T$11*0.7</f>
        <v>3639.9999999999995</v>
      </c>
      <c r="Y48" s="297"/>
    </row>
    <row r="49" spans="1:25" x14ac:dyDescent="0.2">
      <c r="A49" s="349"/>
      <c r="B49" s="352"/>
      <c r="C49" s="245">
        <v>9</v>
      </c>
      <c r="D49" s="264">
        <f>'Price List i-Store vs MSS'!$C$11-('Price List i-Store vs MSS'!$C$11*'NET ISS vs MSS NA'!D6)</f>
        <v>4770</v>
      </c>
      <c r="E49" s="264">
        <f>'Price List i-Store vs MSS'!$D$11-('Price List i-Store vs MSS'!$D$11*'NET ISS vs MSS NA'!E6)</f>
        <v>0</v>
      </c>
      <c r="F49" s="264">
        <f>'Price List i-Store vs MSS'!$E$11-('Price List i-Store vs MSS'!$E$11*'NET ISS vs MSS NA'!F6)</f>
        <v>5035</v>
      </c>
      <c r="G49" s="264">
        <f>'Price List i-Store vs MSS'!$F$11-('Price List i-Store vs MSS'!$F$11*'NET ISS vs MSS NA'!G6)</f>
        <v>4770</v>
      </c>
      <c r="H49" s="264">
        <f>'Price List i-Store vs MSS'!$G$11-('Price List i-Store vs MSS'!$G$11*'NET ISS vs MSS NA'!H6)</f>
        <v>3710</v>
      </c>
      <c r="I49" s="264">
        <f>'Price List i-Store vs MSS'!$H$11-('Price List i-Store vs MSS'!$H$11*'NET ISS vs MSS NA'!I6)</f>
        <v>3500</v>
      </c>
      <c r="J49" s="264">
        <f>'Price List i-Store vs MSS'!$I$11-('Price List i-Store vs MSS'!$I$11*'NET ISS vs MSS NA'!J6)</f>
        <v>4050</v>
      </c>
      <c r="K49" s="264"/>
      <c r="L49" s="264"/>
      <c r="M49" s="264"/>
      <c r="N49" s="264"/>
      <c r="O49" s="264"/>
      <c r="Q49" s="297">
        <f>'Price List i-Store vs MSS'!$M$11*0.65</f>
        <v>3055</v>
      </c>
      <c r="R49" s="297"/>
      <c r="S49" s="297">
        <f>'Price List i-Store vs MSS'!$O$11*0.7</f>
        <v>2940</v>
      </c>
      <c r="T49" s="297"/>
      <c r="U49" s="297"/>
      <c r="V49" s="297">
        <f>'Price List i-Store vs MSS'!$R$11*0.7</f>
        <v>2940</v>
      </c>
      <c r="W49" s="297"/>
      <c r="X49" s="297">
        <f>'Price List i-Store vs MSS'!$T$11*0.65</f>
        <v>3380</v>
      </c>
      <c r="Y49" s="297"/>
    </row>
    <row r="50" spans="1:25" x14ac:dyDescent="0.2">
      <c r="A50" s="350"/>
      <c r="B50" s="353"/>
      <c r="C50" s="246">
        <v>12</v>
      </c>
      <c r="D50" s="265">
        <f>'Price List i-Store vs MSS'!$C$11-('Price List i-Store vs MSS'!$C$11*'NET ISS vs MSS NA'!D7)</f>
        <v>4505</v>
      </c>
      <c r="E50" s="265">
        <f>'Price List i-Store vs MSS'!$D$11-('Price List i-Store vs MSS'!$D$11*'NET ISS vs MSS NA'!E7)</f>
        <v>0</v>
      </c>
      <c r="F50" s="265">
        <f>'Price List i-Store vs MSS'!$E$11-('Price List i-Store vs MSS'!$E$11*'NET ISS vs MSS NA'!F7)</f>
        <v>4770</v>
      </c>
      <c r="G50" s="265">
        <f>'Price List i-Store vs MSS'!$F$11-('Price List i-Store vs MSS'!$F$11*'NET ISS vs MSS NA'!G7)</f>
        <v>4505</v>
      </c>
      <c r="H50" s="265">
        <f>'Price List i-Store vs MSS'!$G$11-('Price List i-Store vs MSS'!$G$11*'NET ISS vs MSS NA'!H7)</f>
        <v>3710</v>
      </c>
      <c r="I50" s="265">
        <f>'Price List i-Store vs MSS'!$H$11-('Price List i-Store vs MSS'!$H$11*'NET ISS vs MSS NA'!I7)</f>
        <v>3500</v>
      </c>
      <c r="J50" s="265">
        <f>'Price List i-Store vs MSS'!$I$11-('Price List i-Store vs MSS'!$I$11*'NET ISS vs MSS NA'!J7)</f>
        <v>3825</v>
      </c>
      <c r="K50" s="265"/>
      <c r="L50" s="265"/>
      <c r="M50" s="265"/>
      <c r="N50" s="265"/>
      <c r="O50" s="265"/>
      <c r="Q50" s="298">
        <f>'Price List i-Store vs MSS'!$M$11*0.6</f>
        <v>2820</v>
      </c>
      <c r="R50" s="298"/>
      <c r="S50" s="298">
        <f>'Price List i-Store vs MSS'!$O$11*0.65</f>
        <v>2730</v>
      </c>
      <c r="T50" s="298"/>
      <c r="U50" s="298"/>
      <c r="V50" s="298">
        <f>'Price List i-Store vs MSS'!$R$11*0.65</f>
        <v>2730</v>
      </c>
      <c r="W50" s="298"/>
      <c r="X50" s="298">
        <f>'Price List i-Store vs MSS'!$T$11*0.6</f>
        <v>3120</v>
      </c>
      <c r="Y50" s="298"/>
    </row>
    <row r="51" spans="1:25" x14ac:dyDescent="0.2">
      <c r="A51" s="348" t="s">
        <v>55</v>
      </c>
      <c r="B51" s="351">
        <v>6</v>
      </c>
      <c r="C51" s="244">
        <v>1</v>
      </c>
      <c r="D51" s="263">
        <f>'Price List i-Store vs MSS'!$C$12-('Price List i-Store vs MSS'!$C$12*'NET ISS vs MSS NA'!D3)</f>
        <v>7000</v>
      </c>
      <c r="E51" s="263">
        <f>'Price List i-Store vs MSS'!$D$12-('Price List i-Store vs MSS'!$D$12*'NET ISS vs MSS NA'!E3)</f>
        <v>0</v>
      </c>
      <c r="F51" s="263">
        <f>'Price List i-Store vs MSS'!$E$12-('Price List i-Store vs MSS'!$E$12*'NET ISS vs MSS NA'!F3)</f>
        <v>7000</v>
      </c>
      <c r="G51" s="263">
        <f>'Price List i-Store vs MSS'!$F$12-('Price List i-Store vs MSS'!$F$12*'NET ISS vs MSS NA'!G3)</f>
        <v>7000</v>
      </c>
      <c r="H51" s="263">
        <f>'Price List i-Store vs MSS'!$G$12-('Price List i-Store vs MSS'!$G$12*'NET ISS vs MSS NA'!H3)</f>
        <v>4900</v>
      </c>
      <c r="I51" s="263">
        <f>'Price List i-Store vs MSS'!$H$12-('Price List i-Store vs MSS'!$H$12*'NET ISS vs MSS NA'!I3)</f>
        <v>4550</v>
      </c>
      <c r="J51" s="263">
        <f>'Price List i-Store vs MSS'!$I$12-('Price List i-Store vs MSS'!$I$12*'NET ISS vs MSS NA'!J3)</f>
        <v>5800</v>
      </c>
      <c r="K51" s="263"/>
      <c r="L51" s="263"/>
      <c r="M51" s="263"/>
      <c r="N51" s="263"/>
      <c r="O51" s="263"/>
      <c r="Q51" s="296">
        <f>'Price List i-Store vs MSS'!$M$12*0.9</f>
        <v>5580</v>
      </c>
      <c r="R51" s="296"/>
      <c r="S51" s="296">
        <f>'Price List i-Store vs MSS'!$O$12*1</f>
        <v>5000</v>
      </c>
      <c r="T51" s="296"/>
      <c r="U51" s="296"/>
      <c r="V51" s="296">
        <f>'Price List i-Store vs MSS'!$R$12*1</f>
        <v>5100</v>
      </c>
      <c r="W51" s="296"/>
      <c r="X51" s="296">
        <f>'Price List i-Store vs MSS'!$T$12*0.9</f>
        <v>5400</v>
      </c>
      <c r="Y51" s="296"/>
    </row>
    <row r="52" spans="1:25" x14ac:dyDescent="0.2">
      <c r="A52" s="349"/>
      <c r="B52" s="352"/>
      <c r="C52" s="245">
        <v>3</v>
      </c>
      <c r="D52" s="264">
        <f>'Price List i-Store vs MSS'!$C$12-('Price List i-Store vs MSS'!$C$12*'NET ISS vs MSS NA'!D4)</f>
        <v>6650</v>
      </c>
      <c r="E52" s="264">
        <f>'Price List i-Store vs MSS'!$D$12-('Price List i-Store vs MSS'!$D$12*'NET ISS vs MSS NA'!E4)</f>
        <v>0</v>
      </c>
      <c r="F52" s="264">
        <f>'Price List i-Store vs MSS'!$E$12-('Price List i-Store vs MSS'!$E$12*'NET ISS vs MSS NA'!F4)</f>
        <v>7000</v>
      </c>
      <c r="G52" s="264">
        <f>'Price List i-Store vs MSS'!$F$12-('Price List i-Store vs MSS'!$F$12*'NET ISS vs MSS NA'!G4)</f>
        <v>6650</v>
      </c>
      <c r="H52" s="264">
        <f>'Price List i-Store vs MSS'!$G$12-('Price List i-Store vs MSS'!$G$12*'NET ISS vs MSS NA'!H4)</f>
        <v>4900</v>
      </c>
      <c r="I52" s="264">
        <f>'Price List i-Store vs MSS'!$H$12-('Price List i-Store vs MSS'!$H$12*'NET ISS vs MSS NA'!I4)</f>
        <v>4550</v>
      </c>
      <c r="J52" s="264">
        <f>'Price List i-Store vs MSS'!$I$12-('Price List i-Store vs MSS'!$I$12*'NET ISS vs MSS NA'!J4)</f>
        <v>5510</v>
      </c>
      <c r="K52" s="264"/>
      <c r="L52" s="264"/>
      <c r="M52" s="264"/>
      <c r="N52" s="264"/>
      <c r="O52" s="264"/>
      <c r="Q52" s="297">
        <f>'Price List i-Store vs MSS'!$M$12*0.75</f>
        <v>4650</v>
      </c>
      <c r="R52" s="297"/>
      <c r="S52" s="297">
        <f>'Price List i-Store vs MSS'!$O$12*0.8</f>
        <v>4000</v>
      </c>
      <c r="T52" s="297"/>
      <c r="U52" s="297"/>
      <c r="V52" s="297">
        <f>'Price List i-Store vs MSS'!$R$12*0.8</f>
        <v>4080</v>
      </c>
      <c r="W52" s="297"/>
      <c r="X52" s="297">
        <f>'Price List i-Store vs MSS'!$T$12*0.75</f>
        <v>4500</v>
      </c>
      <c r="Y52" s="297"/>
    </row>
    <row r="53" spans="1:25" x14ac:dyDescent="0.2">
      <c r="A53" s="349"/>
      <c r="B53" s="352"/>
      <c r="C53" s="245">
        <v>6</v>
      </c>
      <c r="D53" s="264">
        <f>'Price List i-Store vs MSS'!$C$12-('Price List i-Store vs MSS'!$C$12*'NET ISS vs MSS NA'!D5)</f>
        <v>6300</v>
      </c>
      <c r="E53" s="264">
        <f>'Price List i-Store vs MSS'!$D$12-('Price List i-Store vs MSS'!$D$12*'NET ISS vs MSS NA'!E5)</f>
        <v>0</v>
      </c>
      <c r="F53" s="264">
        <f>'Price List i-Store vs MSS'!$E$12-('Price List i-Store vs MSS'!$E$12*'NET ISS vs MSS NA'!F5)</f>
        <v>6650</v>
      </c>
      <c r="G53" s="264">
        <f>'Price List i-Store vs MSS'!$F$12-('Price List i-Store vs MSS'!$F$12*'NET ISS vs MSS NA'!G5)</f>
        <v>6300</v>
      </c>
      <c r="H53" s="264">
        <f>'Price List i-Store vs MSS'!$G$12-('Price List i-Store vs MSS'!$G$12*'NET ISS vs MSS NA'!H5)</f>
        <v>4900</v>
      </c>
      <c r="I53" s="264">
        <f>'Price List i-Store vs MSS'!$H$12-('Price List i-Store vs MSS'!$H$12*'NET ISS vs MSS NA'!I5)</f>
        <v>4550</v>
      </c>
      <c r="J53" s="264">
        <f>'Price List i-Store vs MSS'!$I$12-('Price List i-Store vs MSS'!$I$12*'NET ISS vs MSS NA'!J5)</f>
        <v>5220</v>
      </c>
      <c r="K53" s="264"/>
      <c r="L53" s="264"/>
      <c r="M53" s="264"/>
      <c r="N53" s="264"/>
      <c r="O53" s="264"/>
      <c r="Q53" s="297">
        <f>'Price List i-Store vs MSS'!$M$12*0.7</f>
        <v>4340</v>
      </c>
      <c r="R53" s="297"/>
      <c r="S53" s="297">
        <f>'Price List i-Store vs MSS'!$O$12*0.75</f>
        <v>3750</v>
      </c>
      <c r="T53" s="297"/>
      <c r="U53" s="297"/>
      <c r="V53" s="297">
        <f>'Price List i-Store vs MSS'!$R$12*0.75</f>
        <v>3825</v>
      </c>
      <c r="W53" s="297"/>
      <c r="X53" s="297">
        <f>'Price List i-Store vs MSS'!$T$12*0.7</f>
        <v>4200</v>
      </c>
      <c r="Y53" s="297"/>
    </row>
    <row r="54" spans="1:25" x14ac:dyDescent="0.2">
      <c r="A54" s="349"/>
      <c r="B54" s="352"/>
      <c r="C54" s="245">
        <v>9</v>
      </c>
      <c r="D54" s="264">
        <f>'Price List i-Store vs MSS'!$C$12-('Price List i-Store vs MSS'!$C$12*'NET ISS vs MSS NA'!D6)</f>
        <v>6300</v>
      </c>
      <c r="E54" s="264">
        <f>'Price List i-Store vs MSS'!$D$12-('Price List i-Store vs MSS'!$D$12*'NET ISS vs MSS NA'!E6)</f>
        <v>0</v>
      </c>
      <c r="F54" s="264">
        <f>'Price List i-Store vs MSS'!$E$12-('Price List i-Store vs MSS'!$E$12*'NET ISS vs MSS NA'!F6)</f>
        <v>6650</v>
      </c>
      <c r="G54" s="264">
        <f>'Price List i-Store vs MSS'!$F$12-('Price List i-Store vs MSS'!$F$12*'NET ISS vs MSS NA'!G6)</f>
        <v>6300</v>
      </c>
      <c r="H54" s="264">
        <f>'Price List i-Store vs MSS'!$G$12-('Price List i-Store vs MSS'!$G$12*'NET ISS vs MSS NA'!H6)</f>
        <v>4900</v>
      </c>
      <c r="I54" s="264">
        <f>'Price List i-Store vs MSS'!$H$12-('Price List i-Store vs MSS'!$H$12*'NET ISS vs MSS NA'!I6)</f>
        <v>4550</v>
      </c>
      <c r="J54" s="264">
        <f>'Price List i-Store vs MSS'!$I$12-('Price List i-Store vs MSS'!$I$12*'NET ISS vs MSS NA'!J6)</f>
        <v>5220</v>
      </c>
      <c r="K54" s="264"/>
      <c r="L54" s="264"/>
      <c r="M54" s="264"/>
      <c r="N54" s="264"/>
      <c r="O54" s="264"/>
      <c r="Q54" s="297">
        <f>'Price List i-Store vs MSS'!$M$12*0.65</f>
        <v>4030</v>
      </c>
      <c r="R54" s="297"/>
      <c r="S54" s="297">
        <f>'Price List i-Store vs MSS'!$O$12*0.7</f>
        <v>3500</v>
      </c>
      <c r="T54" s="297"/>
      <c r="U54" s="297"/>
      <c r="V54" s="297">
        <f>'Price List i-Store vs MSS'!$R$12*0.7</f>
        <v>3570</v>
      </c>
      <c r="W54" s="297"/>
      <c r="X54" s="297">
        <f>'Price List i-Store vs MSS'!$T$12*0.65</f>
        <v>3900</v>
      </c>
      <c r="Y54" s="297"/>
    </row>
    <row r="55" spans="1:25" x14ac:dyDescent="0.2">
      <c r="A55" s="350"/>
      <c r="B55" s="353"/>
      <c r="C55" s="246">
        <v>12</v>
      </c>
      <c r="D55" s="265">
        <f>'Price List i-Store vs MSS'!$C$12-('Price List i-Store vs MSS'!$C$12*'NET ISS vs MSS NA'!D7)</f>
        <v>5950</v>
      </c>
      <c r="E55" s="265">
        <f>'Price List i-Store vs MSS'!$D$12-('Price List i-Store vs MSS'!$D$12*'NET ISS vs MSS NA'!E7)</f>
        <v>0</v>
      </c>
      <c r="F55" s="265">
        <f>'Price List i-Store vs MSS'!$E$12-('Price List i-Store vs MSS'!$E$12*'NET ISS vs MSS NA'!F7)</f>
        <v>6300</v>
      </c>
      <c r="G55" s="265">
        <f>'Price List i-Store vs MSS'!$F$12-('Price List i-Store vs MSS'!$F$12*'NET ISS vs MSS NA'!G7)</f>
        <v>5950</v>
      </c>
      <c r="H55" s="265">
        <f>'Price List i-Store vs MSS'!$G$12-('Price List i-Store vs MSS'!$G$12*'NET ISS vs MSS NA'!H7)</f>
        <v>4900</v>
      </c>
      <c r="I55" s="265">
        <f>'Price List i-Store vs MSS'!$H$12-('Price List i-Store vs MSS'!$H$12*'NET ISS vs MSS NA'!I7)</f>
        <v>4550</v>
      </c>
      <c r="J55" s="265">
        <f>'Price List i-Store vs MSS'!$I$12-('Price List i-Store vs MSS'!$I$12*'NET ISS vs MSS NA'!J7)</f>
        <v>4930</v>
      </c>
      <c r="K55" s="265"/>
      <c r="L55" s="265"/>
      <c r="M55" s="265"/>
      <c r="N55" s="265"/>
      <c r="O55" s="265"/>
      <c r="Q55" s="298">
        <f>'Price List i-Store vs MSS'!$M$12*0.6</f>
        <v>3720</v>
      </c>
      <c r="R55" s="298"/>
      <c r="S55" s="298">
        <f>'Price List i-Store vs MSS'!$O$12*0.65</f>
        <v>3250</v>
      </c>
      <c r="T55" s="298"/>
      <c r="U55" s="298"/>
      <c r="V55" s="298">
        <f>'Price List i-Store vs MSS'!$R$12*0.65</f>
        <v>3315</v>
      </c>
      <c r="W55" s="298"/>
      <c r="X55" s="298">
        <f>'Price List i-Store vs MSS'!$T$12*0.6</f>
        <v>3600</v>
      </c>
      <c r="Y55" s="298"/>
    </row>
    <row r="56" spans="1:25" x14ac:dyDescent="0.2">
      <c r="A56" s="348" t="s">
        <v>56</v>
      </c>
      <c r="B56" s="351">
        <v>9</v>
      </c>
      <c r="C56" s="244">
        <v>1</v>
      </c>
      <c r="D56" s="263">
        <f>'Price List i-Store vs MSS'!$C$13-('Price List i-Store vs MSS'!$C$13*'NET ISS vs MSS NA'!D3)</f>
        <v>10000</v>
      </c>
      <c r="E56" s="263">
        <f>'Price List i-Store vs MSS'!$D$13-('Price List i-Store vs MSS'!$D$13*'NET ISS vs MSS NA'!E3)</f>
        <v>0</v>
      </c>
      <c r="F56" s="263">
        <f>'Price List i-Store vs MSS'!$E$13-('Price List i-Store vs MSS'!$E$13*'NET ISS vs MSS NA'!F3)</f>
        <v>10000</v>
      </c>
      <c r="G56" s="263">
        <f>'Price List i-Store vs MSS'!$F$13-('Price List i-Store vs MSS'!$F$13*'NET ISS vs MSS NA'!G3)</f>
        <v>10000</v>
      </c>
      <c r="H56" s="263">
        <f>'Price List i-Store vs MSS'!$G$13-('Price List i-Store vs MSS'!$G$13*'NET ISS vs MSS NA'!H3)</f>
        <v>7000</v>
      </c>
      <c r="I56" s="263">
        <f>'Price List i-Store vs MSS'!$H$13-('Price List i-Store vs MSS'!$H$13*'NET ISS vs MSS NA'!I3)</f>
        <v>6650</v>
      </c>
      <c r="J56" s="263">
        <f>'Price List i-Store vs MSS'!$I$13-('Price List i-Store vs MSS'!$I$13*'NET ISS vs MSS NA'!J3)</f>
        <v>8500</v>
      </c>
      <c r="K56" s="263"/>
      <c r="L56" s="263"/>
      <c r="M56" s="263"/>
      <c r="N56" s="263"/>
      <c r="O56" s="263"/>
      <c r="Q56" s="296">
        <f>'Price List i-Store vs MSS'!$M$13*0.9</f>
        <v>8370</v>
      </c>
      <c r="R56" s="296"/>
      <c r="S56" s="296">
        <f>'Price List i-Store vs MSS'!$O$13*1</f>
        <v>7500</v>
      </c>
      <c r="T56" s="296"/>
      <c r="U56" s="296"/>
      <c r="V56" s="296">
        <f>'Price List i-Store vs MSS'!$R$13*1</f>
        <v>6700</v>
      </c>
      <c r="W56" s="296"/>
      <c r="X56" s="296">
        <f>'Price List i-Store vs MSS'!$T$13*0.9</f>
        <v>8910</v>
      </c>
      <c r="Y56" s="296"/>
    </row>
    <row r="57" spans="1:25" x14ac:dyDescent="0.2">
      <c r="A57" s="349"/>
      <c r="B57" s="352"/>
      <c r="C57" s="245">
        <v>3</v>
      </c>
      <c r="D57" s="264">
        <f>'Price List i-Store vs MSS'!$C$13-('Price List i-Store vs MSS'!$C$13*'NET ISS vs MSS NA'!D4)</f>
        <v>9500</v>
      </c>
      <c r="E57" s="264">
        <f>'Price List i-Store vs MSS'!$D$13-('Price List i-Store vs MSS'!$D$13*'NET ISS vs MSS NA'!E4)</f>
        <v>0</v>
      </c>
      <c r="F57" s="264">
        <f>'Price List i-Store vs MSS'!$E$13-('Price List i-Store vs MSS'!$E$13*'NET ISS vs MSS NA'!F4)</f>
        <v>10000</v>
      </c>
      <c r="G57" s="264">
        <f>'Price List i-Store vs MSS'!$F$13-('Price List i-Store vs MSS'!$F$13*'NET ISS vs MSS NA'!G4)</f>
        <v>9500</v>
      </c>
      <c r="H57" s="264">
        <f>'Price List i-Store vs MSS'!$G$13-('Price List i-Store vs MSS'!$G$13*'NET ISS vs MSS NA'!H4)</f>
        <v>7000</v>
      </c>
      <c r="I57" s="264">
        <f>'Price List i-Store vs MSS'!$H$13-('Price List i-Store vs MSS'!$H$13*'NET ISS vs MSS NA'!I4)</f>
        <v>6650</v>
      </c>
      <c r="J57" s="264">
        <f>'Price List i-Store vs MSS'!$I$13-('Price List i-Store vs MSS'!$I$13*'NET ISS vs MSS NA'!J4)</f>
        <v>8075</v>
      </c>
      <c r="K57" s="264"/>
      <c r="L57" s="264"/>
      <c r="M57" s="264"/>
      <c r="N57" s="264"/>
      <c r="O57" s="264"/>
      <c r="Q57" s="297">
        <f>'Price List i-Store vs MSS'!$M$13*0.75</f>
        <v>6975</v>
      </c>
      <c r="R57" s="297"/>
      <c r="S57" s="297">
        <f>'Price List i-Store vs MSS'!$O$13*0.8</f>
        <v>6000</v>
      </c>
      <c r="T57" s="297"/>
      <c r="U57" s="297"/>
      <c r="V57" s="297">
        <f>'Price List i-Store vs MSS'!$R$13*0.8</f>
        <v>5360</v>
      </c>
      <c r="W57" s="297"/>
      <c r="X57" s="297">
        <f>'Price List i-Store vs MSS'!$T$13*0.75</f>
        <v>7425</v>
      </c>
      <c r="Y57" s="297"/>
    </row>
    <row r="58" spans="1:25" x14ac:dyDescent="0.2">
      <c r="A58" s="349"/>
      <c r="B58" s="352"/>
      <c r="C58" s="245">
        <v>6</v>
      </c>
      <c r="D58" s="264">
        <f>'Price List i-Store vs MSS'!$C$13-('Price List i-Store vs MSS'!$C$13*'NET ISS vs MSS NA'!D5)</f>
        <v>9000</v>
      </c>
      <c r="E58" s="264">
        <f>'Price List i-Store vs MSS'!$D$13-('Price List i-Store vs MSS'!$D$13*'NET ISS vs MSS NA'!E5)</f>
        <v>0</v>
      </c>
      <c r="F58" s="264">
        <f>'Price List i-Store vs MSS'!$E$13-('Price List i-Store vs MSS'!$E$13*'NET ISS vs MSS NA'!F5)</f>
        <v>9500</v>
      </c>
      <c r="G58" s="264">
        <f>'Price List i-Store vs MSS'!$F$13-('Price List i-Store vs MSS'!$F$13*'NET ISS vs MSS NA'!G5)</f>
        <v>9000</v>
      </c>
      <c r="H58" s="264">
        <f>'Price List i-Store vs MSS'!$G$13-('Price List i-Store vs MSS'!$G$13*'NET ISS vs MSS NA'!H5)</f>
        <v>7000</v>
      </c>
      <c r="I58" s="264">
        <f>'Price List i-Store vs MSS'!$H$13-('Price List i-Store vs MSS'!$H$13*'NET ISS vs MSS NA'!I5)</f>
        <v>6650</v>
      </c>
      <c r="J58" s="264">
        <f>'Price List i-Store vs MSS'!$I$13-('Price List i-Store vs MSS'!$I$13*'NET ISS vs MSS NA'!J5)</f>
        <v>7650</v>
      </c>
      <c r="K58" s="264"/>
      <c r="L58" s="264"/>
      <c r="M58" s="264"/>
      <c r="N58" s="264"/>
      <c r="O58" s="264"/>
      <c r="Q58" s="297">
        <f>'Price List i-Store vs MSS'!$M$13*0.7</f>
        <v>6510</v>
      </c>
      <c r="R58" s="297"/>
      <c r="S58" s="297">
        <f>'Price List i-Store vs MSS'!$O$13*0.75</f>
        <v>5625</v>
      </c>
      <c r="T58" s="297"/>
      <c r="U58" s="297"/>
      <c r="V58" s="297">
        <f>'Price List i-Store vs MSS'!$R$13*0.75</f>
        <v>5025</v>
      </c>
      <c r="W58" s="297"/>
      <c r="X58" s="297">
        <f>'Price List i-Store vs MSS'!$T$13*0.7</f>
        <v>6930</v>
      </c>
      <c r="Y58" s="297"/>
    </row>
    <row r="59" spans="1:25" x14ac:dyDescent="0.2">
      <c r="A59" s="349"/>
      <c r="B59" s="352"/>
      <c r="C59" s="245">
        <v>9</v>
      </c>
      <c r="D59" s="264">
        <f>'Price List i-Store vs MSS'!$C$13-('Price List i-Store vs MSS'!$C$13*'NET ISS vs MSS NA'!D6)</f>
        <v>9000</v>
      </c>
      <c r="E59" s="264">
        <f>'Price List i-Store vs MSS'!$D$13-('Price List i-Store vs MSS'!$D$13*'NET ISS vs MSS NA'!E6)</f>
        <v>0</v>
      </c>
      <c r="F59" s="264">
        <f>'Price List i-Store vs MSS'!$E$13-('Price List i-Store vs MSS'!$E$13*'NET ISS vs MSS NA'!F6)</f>
        <v>9500</v>
      </c>
      <c r="G59" s="264">
        <f>'Price List i-Store vs MSS'!$F$13-('Price List i-Store vs MSS'!$F$13*'NET ISS vs MSS NA'!G6)</f>
        <v>9000</v>
      </c>
      <c r="H59" s="264">
        <f>'Price List i-Store vs MSS'!$G$13-('Price List i-Store vs MSS'!$G$13*'NET ISS vs MSS NA'!H6)</f>
        <v>7000</v>
      </c>
      <c r="I59" s="264">
        <f>'Price List i-Store vs MSS'!$H$13-('Price List i-Store vs MSS'!$H$13*'NET ISS vs MSS NA'!I6)</f>
        <v>6650</v>
      </c>
      <c r="J59" s="264">
        <f>'Price List i-Store vs MSS'!$I$13-('Price List i-Store vs MSS'!$I$13*'NET ISS vs MSS NA'!J6)</f>
        <v>7650</v>
      </c>
      <c r="K59" s="264"/>
      <c r="L59" s="264"/>
      <c r="M59" s="264"/>
      <c r="N59" s="264"/>
      <c r="O59" s="264"/>
      <c r="Q59" s="297">
        <f>'Price List i-Store vs MSS'!$M$13*0.65</f>
        <v>6045</v>
      </c>
      <c r="R59" s="297"/>
      <c r="S59" s="297">
        <f>'Price List i-Store vs MSS'!$O$13*0.7</f>
        <v>5250</v>
      </c>
      <c r="T59" s="297"/>
      <c r="U59" s="297"/>
      <c r="V59" s="297">
        <f>'Price List i-Store vs MSS'!$R$13*0.7</f>
        <v>4690</v>
      </c>
      <c r="W59" s="297"/>
      <c r="X59" s="297">
        <f>'Price List i-Store vs MSS'!$T$13*0.65</f>
        <v>6435</v>
      </c>
      <c r="Y59" s="297"/>
    </row>
    <row r="60" spans="1:25" x14ac:dyDescent="0.2">
      <c r="A60" s="350"/>
      <c r="B60" s="353"/>
      <c r="C60" s="246">
        <v>12</v>
      </c>
      <c r="D60" s="265">
        <f>'Price List i-Store vs MSS'!$C$13-('Price List i-Store vs MSS'!$C$13*'NET ISS vs MSS NA'!D7)</f>
        <v>8500</v>
      </c>
      <c r="E60" s="265">
        <f>'Price List i-Store vs MSS'!$D$13-('Price List i-Store vs MSS'!$D$13*'NET ISS vs MSS NA'!E7)</f>
        <v>0</v>
      </c>
      <c r="F60" s="265">
        <f>'Price List i-Store vs MSS'!$E$13-('Price List i-Store vs MSS'!$E$13*'NET ISS vs MSS NA'!F7)</f>
        <v>9000</v>
      </c>
      <c r="G60" s="265">
        <f>'Price List i-Store vs MSS'!$F$13-('Price List i-Store vs MSS'!$F$13*'NET ISS vs MSS NA'!G7)</f>
        <v>8500</v>
      </c>
      <c r="H60" s="265">
        <f>'Price List i-Store vs MSS'!$G$13-('Price List i-Store vs MSS'!$G$13*'NET ISS vs MSS NA'!H7)</f>
        <v>7000</v>
      </c>
      <c r="I60" s="265">
        <f>'Price List i-Store vs MSS'!$H$13-('Price List i-Store vs MSS'!$H$13*'NET ISS vs MSS NA'!I7)</f>
        <v>6650</v>
      </c>
      <c r="J60" s="265">
        <f>'Price List i-Store vs MSS'!$I$13-('Price List i-Store vs MSS'!$I$13*'NET ISS vs MSS NA'!J7)</f>
        <v>7225</v>
      </c>
      <c r="K60" s="265"/>
      <c r="L60" s="265"/>
      <c r="M60" s="265"/>
      <c r="N60" s="265"/>
      <c r="O60" s="265"/>
      <c r="Q60" s="298">
        <f>'Price List i-Store vs MSS'!$M$13*0.6</f>
        <v>5580</v>
      </c>
      <c r="R60" s="298"/>
      <c r="S60" s="298">
        <f>'Price List i-Store vs MSS'!$O$13*0.65</f>
        <v>4875</v>
      </c>
      <c r="T60" s="298"/>
      <c r="U60" s="298"/>
      <c r="V60" s="298">
        <f>'Price List i-Store vs MSS'!$R$13*0.65</f>
        <v>4355</v>
      </c>
      <c r="W60" s="298"/>
      <c r="X60" s="298">
        <f>'Price List i-Store vs MSS'!$T$13*0.6</f>
        <v>5940</v>
      </c>
      <c r="Y60" s="298"/>
    </row>
    <row r="61" spans="1:25" x14ac:dyDescent="0.2">
      <c r="A61" s="348" t="s">
        <v>57</v>
      </c>
      <c r="B61" s="351">
        <v>12.5</v>
      </c>
      <c r="C61" s="244">
        <v>1</v>
      </c>
      <c r="D61" s="263">
        <f>'Price List i-Store vs MSS'!$C$14-('Price List i-Store vs MSS'!$C$14*'NET ISS vs MSS NA'!D3)</f>
        <v>0</v>
      </c>
      <c r="E61" s="263">
        <f>'Price List i-Store vs MSS'!$D$14-('Price List i-Store vs MSS'!$D$14*'NET ISS vs MSS NA'!E3)</f>
        <v>0</v>
      </c>
      <c r="F61" s="263">
        <f>'Price List i-Store vs MSS'!$E$14-('Price List i-Store vs MSS'!$E$14*'NET ISS vs MSS NA'!F3)</f>
        <v>0</v>
      </c>
      <c r="G61" s="263">
        <f>'Price List i-Store vs MSS'!$F$14-('Price List i-Store vs MSS'!$F$14*'NET ISS vs MSS NA'!G3)</f>
        <v>14000</v>
      </c>
      <c r="H61" s="263">
        <f>'Price List i-Store vs MSS'!$G$14-('Price List i-Store vs MSS'!$G$14*'NET ISS vs MSS NA'!H3)</f>
        <v>9800</v>
      </c>
      <c r="I61" s="263">
        <f>'Price List i-Store vs MSS'!$H$14-('Price List i-Store vs MSS'!$H$14*'NET ISS vs MSS NA'!I3)</f>
        <v>9450</v>
      </c>
      <c r="J61" s="263">
        <f>'Price List i-Store vs MSS'!$I$14-('Price List i-Store vs MSS'!$I$14*'NET ISS vs MSS NA'!J3)</f>
        <v>12000</v>
      </c>
      <c r="K61" s="263"/>
      <c r="L61" s="263"/>
      <c r="M61" s="263"/>
      <c r="N61" s="263"/>
      <c r="O61" s="263"/>
      <c r="Q61" s="296">
        <f>'Price List i-Store vs MSS'!$M$14*0.9</f>
        <v>11250</v>
      </c>
      <c r="R61" s="296"/>
      <c r="S61" s="296">
        <f>'Price List i-Store vs MSS'!$O$14*1</f>
        <v>11000</v>
      </c>
      <c r="T61" s="296"/>
      <c r="U61" s="296"/>
      <c r="V61" s="296">
        <f>'Price List i-Store vs MSS'!$R$14*1</f>
        <v>8800</v>
      </c>
      <c r="W61" s="296"/>
      <c r="X61" s="296">
        <f>'Price List i-Store vs MSS'!$T$14*0.9</f>
        <v>13500</v>
      </c>
      <c r="Y61" s="296"/>
    </row>
    <row r="62" spans="1:25" x14ac:dyDescent="0.2">
      <c r="A62" s="349"/>
      <c r="B62" s="352"/>
      <c r="C62" s="245">
        <v>3</v>
      </c>
      <c r="D62" s="264">
        <f>'Price List i-Store vs MSS'!$C$14-('Price List i-Store vs MSS'!$C$14*'NET ISS vs MSS NA'!D4)</f>
        <v>0</v>
      </c>
      <c r="E62" s="264">
        <f>'Price List i-Store vs MSS'!$D$14-('Price List i-Store vs MSS'!$D$14*'NET ISS vs MSS NA'!E4)</f>
        <v>0</v>
      </c>
      <c r="F62" s="264">
        <f>'Price List i-Store vs MSS'!$E$14-('Price List i-Store vs MSS'!$E$14*'NET ISS vs MSS NA'!F4)</f>
        <v>0</v>
      </c>
      <c r="G62" s="264">
        <f>'Price List i-Store vs MSS'!$F$14-('Price List i-Store vs MSS'!$F$14*'NET ISS vs MSS NA'!G4)</f>
        <v>13300</v>
      </c>
      <c r="H62" s="264">
        <f>'Price List i-Store vs MSS'!$G$14-('Price List i-Store vs MSS'!$G$14*'NET ISS vs MSS NA'!H4)</f>
        <v>9800</v>
      </c>
      <c r="I62" s="264">
        <f>'Price List i-Store vs MSS'!$H$14-('Price List i-Store vs MSS'!$H$14*'NET ISS vs MSS NA'!I4)</f>
        <v>9450</v>
      </c>
      <c r="J62" s="264">
        <f>'Price List i-Store vs MSS'!$I$14-('Price List i-Store vs MSS'!$I$14*'NET ISS vs MSS NA'!J4)</f>
        <v>11400</v>
      </c>
      <c r="K62" s="264"/>
      <c r="L62" s="264"/>
      <c r="M62" s="264"/>
      <c r="N62" s="264"/>
      <c r="O62" s="264"/>
      <c r="Q62" s="297">
        <f>'Price List i-Store vs MSS'!$M$14*0.75</f>
        <v>9375</v>
      </c>
      <c r="R62" s="297"/>
      <c r="S62" s="297">
        <f>'Price List i-Store vs MSS'!$O$14*0.8</f>
        <v>8800</v>
      </c>
      <c r="T62" s="297"/>
      <c r="U62" s="297"/>
      <c r="V62" s="297">
        <f>'Price List i-Store vs MSS'!$R$14*0.8</f>
        <v>7040</v>
      </c>
      <c r="W62" s="297"/>
      <c r="X62" s="297">
        <f>'Price List i-Store vs MSS'!$T$14*0.75</f>
        <v>11250</v>
      </c>
      <c r="Y62" s="297"/>
    </row>
    <row r="63" spans="1:25" x14ac:dyDescent="0.2">
      <c r="A63" s="349"/>
      <c r="B63" s="352"/>
      <c r="C63" s="245">
        <v>6</v>
      </c>
      <c r="D63" s="264">
        <f>'Price List i-Store vs MSS'!$C$14-('Price List i-Store vs MSS'!$C$14*'NET ISS vs MSS NA'!D5)</f>
        <v>0</v>
      </c>
      <c r="E63" s="264">
        <f>'Price List i-Store vs MSS'!$D$14-('Price List i-Store vs MSS'!$D$14*'NET ISS vs MSS NA'!E5)</f>
        <v>0</v>
      </c>
      <c r="F63" s="264">
        <f>'Price List i-Store vs MSS'!$E$14-('Price List i-Store vs MSS'!$E$14*'NET ISS vs MSS NA'!F5)</f>
        <v>0</v>
      </c>
      <c r="G63" s="264">
        <f>'Price List i-Store vs MSS'!$F$14-('Price List i-Store vs MSS'!$F$14*'NET ISS vs MSS NA'!G5)</f>
        <v>12600</v>
      </c>
      <c r="H63" s="264">
        <f>'Price List i-Store vs MSS'!$G$14-('Price List i-Store vs MSS'!$G$14*'NET ISS vs MSS NA'!H5)</f>
        <v>9800</v>
      </c>
      <c r="I63" s="264">
        <f>'Price List i-Store vs MSS'!$H$14-('Price List i-Store vs MSS'!$H$14*'NET ISS vs MSS NA'!I5)</f>
        <v>9450</v>
      </c>
      <c r="J63" s="264">
        <f>'Price List i-Store vs MSS'!$I$14-('Price List i-Store vs MSS'!$I$14*'NET ISS vs MSS NA'!J5)</f>
        <v>10800</v>
      </c>
      <c r="K63" s="264"/>
      <c r="L63" s="264"/>
      <c r="M63" s="264"/>
      <c r="N63" s="264"/>
      <c r="O63" s="264"/>
      <c r="Q63" s="297">
        <f>'Price List i-Store vs MSS'!$M$14*0.7</f>
        <v>8750</v>
      </c>
      <c r="R63" s="297"/>
      <c r="S63" s="297">
        <f>'Price List i-Store vs MSS'!$O$14*0.75</f>
        <v>8250</v>
      </c>
      <c r="T63" s="297"/>
      <c r="U63" s="297"/>
      <c r="V63" s="297">
        <f>'Price List i-Store vs MSS'!$R$14*0.75</f>
        <v>6600</v>
      </c>
      <c r="W63" s="297"/>
      <c r="X63" s="297">
        <f>'Price List i-Store vs MSS'!$T$14*0.7</f>
        <v>10500</v>
      </c>
      <c r="Y63" s="297"/>
    </row>
    <row r="64" spans="1:25" x14ac:dyDescent="0.2">
      <c r="A64" s="349"/>
      <c r="B64" s="352"/>
      <c r="C64" s="245">
        <v>9</v>
      </c>
      <c r="D64" s="264">
        <f>'Price List i-Store vs MSS'!$C$14-('Price List i-Store vs MSS'!$C$14*'NET ISS vs MSS NA'!D6)</f>
        <v>0</v>
      </c>
      <c r="E64" s="264">
        <f>'Price List i-Store vs MSS'!$D$14-('Price List i-Store vs MSS'!$D$14*'NET ISS vs MSS NA'!E6)</f>
        <v>0</v>
      </c>
      <c r="F64" s="264">
        <f>'Price List i-Store vs MSS'!$E$14-('Price List i-Store vs MSS'!$E$14*'NET ISS vs MSS NA'!F6)</f>
        <v>0</v>
      </c>
      <c r="G64" s="264">
        <f>'Price List i-Store vs MSS'!$F$14-('Price List i-Store vs MSS'!$F$14*'NET ISS vs MSS NA'!G6)</f>
        <v>12600</v>
      </c>
      <c r="H64" s="264">
        <f>'Price List i-Store vs MSS'!$G$14-('Price List i-Store vs MSS'!$G$14*'NET ISS vs MSS NA'!H6)</f>
        <v>9800</v>
      </c>
      <c r="I64" s="264">
        <f>'Price List i-Store vs MSS'!$H$14-('Price List i-Store vs MSS'!$H$14*'NET ISS vs MSS NA'!I6)</f>
        <v>9450</v>
      </c>
      <c r="J64" s="264">
        <f>'Price List i-Store vs MSS'!$I$14-('Price List i-Store vs MSS'!$I$14*'NET ISS vs MSS NA'!J6)</f>
        <v>10800</v>
      </c>
      <c r="K64" s="264"/>
      <c r="L64" s="264"/>
      <c r="M64" s="264"/>
      <c r="N64" s="264"/>
      <c r="O64" s="264"/>
      <c r="Q64" s="297">
        <f>'Price List i-Store vs MSS'!$M$14*0.65</f>
        <v>8125</v>
      </c>
      <c r="R64" s="297"/>
      <c r="S64" s="297">
        <f>'Price List i-Store vs MSS'!$O$14*0.7</f>
        <v>7699.9999999999991</v>
      </c>
      <c r="T64" s="297"/>
      <c r="U64" s="297"/>
      <c r="V64" s="297">
        <f>'Price List i-Store vs MSS'!$R$14*0.7</f>
        <v>6160</v>
      </c>
      <c r="W64" s="297"/>
      <c r="X64" s="297">
        <f>'Price List i-Store vs MSS'!$T$14*0.65</f>
        <v>9750</v>
      </c>
      <c r="Y64" s="297"/>
    </row>
    <row r="65" spans="1:25" x14ac:dyDescent="0.2">
      <c r="A65" s="350"/>
      <c r="B65" s="353"/>
      <c r="C65" s="246">
        <v>12</v>
      </c>
      <c r="D65" s="265">
        <f>'Price List i-Store vs MSS'!$C$14-('Price List i-Store vs MSS'!$C$14*'NET ISS vs MSS NA'!D7)</f>
        <v>0</v>
      </c>
      <c r="E65" s="265">
        <f>'Price List i-Store vs MSS'!$D$14-('Price List i-Store vs MSS'!$D$14*'NET ISS vs MSS NA'!E7)</f>
        <v>0</v>
      </c>
      <c r="F65" s="265">
        <f>'Price List i-Store vs MSS'!$E$14-('Price List i-Store vs MSS'!$E$14*'NET ISS vs MSS NA'!F7)</f>
        <v>0</v>
      </c>
      <c r="G65" s="265">
        <f>'Price List i-Store vs MSS'!$F$14-('Price List i-Store vs MSS'!$F$14*'NET ISS vs MSS NA'!G7)</f>
        <v>11900</v>
      </c>
      <c r="H65" s="265">
        <f>'Price List i-Store vs MSS'!$G$14-('Price List i-Store vs MSS'!$G$14*'NET ISS vs MSS NA'!H7)</f>
        <v>9800</v>
      </c>
      <c r="I65" s="265">
        <f>'Price List i-Store vs MSS'!$H$14-('Price List i-Store vs MSS'!$H$14*'NET ISS vs MSS NA'!I7)</f>
        <v>9450</v>
      </c>
      <c r="J65" s="265">
        <f>'Price List i-Store vs MSS'!$I$14-('Price List i-Store vs MSS'!$I$14*'NET ISS vs MSS NA'!J7)</f>
        <v>10200</v>
      </c>
      <c r="K65" s="265"/>
      <c r="L65" s="265"/>
      <c r="M65" s="265"/>
      <c r="N65" s="265"/>
      <c r="O65" s="265"/>
      <c r="Q65" s="298">
        <f>'Price List i-Store vs MSS'!$M$14*0.6</f>
        <v>7500</v>
      </c>
      <c r="R65" s="298"/>
      <c r="S65" s="298">
        <f>'Price List i-Store vs MSS'!$O$14*0.65</f>
        <v>7150</v>
      </c>
      <c r="T65" s="298"/>
      <c r="U65" s="298"/>
      <c r="V65" s="298">
        <f>'Price List i-Store vs MSS'!$R$14*0.65</f>
        <v>5720</v>
      </c>
      <c r="W65" s="298"/>
      <c r="X65" s="298">
        <f>'Price List i-Store vs MSS'!$T$14*0.6</f>
        <v>9000</v>
      </c>
      <c r="Y65" s="298"/>
    </row>
    <row r="66" spans="1:25" x14ac:dyDescent="0.2">
      <c r="A66" s="348" t="s">
        <v>65</v>
      </c>
      <c r="B66" s="351">
        <v>19.8</v>
      </c>
      <c r="C66" s="244">
        <v>1</v>
      </c>
      <c r="D66" s="263">
        <f>'Price List i-Store vs MSS'!$C$15-('Price List i-Store vs MSS'!$C$15*'NET ISS vs MSS NA'!D3)</f>
        <v>0</v>
      </c>
      <c r="E66" s="263">
        <f>'Price List i-Store vs MSS'!$D$15-('Price List i-Store vs MSS'!$D$15*'NET ISS vs MSS NA'!E3)</f>
        <v>0</v>
      </c>
      <c r="F66" s="263">
        <f>'Price List i-Store vs MSS'!$E$15-('Price List i-Store vs MSS'!$E$15*'NET ISS vs MSS NA'!F3)</f>
        <v>19000</v>
      </c>
      <c r="G66" s="263">
        <f>'Price List i-Store vs MSS'!$F$15-('Price List i-Store vs MSS'!$F$15*'NET ISS vs MSS NA'!G3)</f>
        <v>0</v>
      </c>
      <c r="H66" s="263">
        <f>'Price List i-Store vs MSS'!$G$15-('Price List i-Store vs MSS'!$G$15*'NET ISS vs MSS NA'!H3)</f>
        <v>13300</v>
      </c>
      <c r="I66" s="263">
        <f>'Price List i-Store vs MSS'!$H$15-('Price List i-Store vs MSS'!$H$15*'NET ISS vs MSS NA'!I3)</f>
        <v>0</v>
      </c>
      <c r="J66" s="263">
        <f>'Price List i-Store vs MSS'!$I$15-('Price List i-Store vs MSS'!$I$15*'NET ISS vs MSS NA'!J3)</f>
        <v>16000</v>
      </c>
      <c r="K66" s="263"/>
      <c r="L66" s="263"/>
      <c r="M66" s="263"/>
      <c r="N66" s="263"/>
      <c r="O66" s="263"/>
      <c r="Q66" s="296"/>
      <c r="R66" s="296"/>
      <c r="S66" s="296"/>
      <c r="T66" s="296"/>
      <c r="U66" s="296">
        <f>'Price List i-Store vs MSS'!$Q$15*0.9</f>
        <v>17190</v>
      </c>
      <c r="V66" s="296">
        <f>'Price List i-Store vs MSS'!$R$15*1</f>
        <v>13700</v>
      </c>
      <c r="W66" s="296"/>
      <c r="X66" s="296">
        <f>'Price List i-Store vs MSS'!$T$15*0.9</f>
        <v>13590</v>
      </c>
      <c r="Y66" s="296"/>
    </row>
    <row r="67" spans="1:25" x14ac:dyDescent="0.2">
      <c r="A67" s="349"/>
      <c r="B67" s="352"/>
      <c r="C67" s="245">
        <v>3</v>
      </c>
      <c r="D67" s="264">
        <f>'Price List i-Store vs MSS'!$C$15-('Price List i-Store vs MSS'!$C$15*'NET ISS vs MSS NA'!D4)</f>
        <v>0</v>
      </c>
      <c r="E67" s="264">
        <f>'Price List i-Store vs MSS'!$D$15-('Price List i-Store vs MSS'!$D$15*'NET ISS vs MSS NA'!E4)</f>
        <v>0</v>
      </c>
      <c r="F67" s="264">
        <f>'Price List i-Store vs MSS'!$E$15-('Price List i-Store vs MSS'!$E$15*'NET ISS vs MSS NA'!F4)</f>
        <v>19000</v>
      </c>
      <c r="G67" s="264">
        <f>'Price List i-Store vs MSS'!$F$15-('Price List i-Store vs MSS'!$F$15*'NET ISS vs MSS NA'!G4)</f>
        <v>0</v>
      </c>
      <c r="H67" s="264">
        <f>'Price List i-Store vs MSS'!$G$15-('Price List i-Store vs MSS'!$G$15*'NET ISS vs MSS NA'!H4)</f>
        <v>13300</v>
      </c>
      <c r="I67" s="264">
        <f>'Price List i-Store vs MSS'!$H$15-('Price List i-Store vs MSS'!$H$15*'NET ISS vs MSS NA'!I4)</f>
        <v>0</v>
      </c>
      <c r="J67" s="264">
        <f>'Price List i-Store vs MSS'!$I$15-('Price List i-Store vs MSS'!$I$15*'NET ISS vs MSS NA'!J4)</f>
        <v>15200</v>
      </c>
      <c r="K67" s="264"/>
      <c r="L67" s="264"/>
      <c r="M67" s="264"/>
      <c r="N67" s="264"/>
      <c r="O67" s="264"/>
      <c r="Q67" s="297"/>
      <c r="R67" s="297"/>
      <c r="S67" s="297"/>
      <c r="T67" s="297"/>
      <c r="U67" s="297">
        <f>'Price List i-Store vs MSS'!$Q$15*0.75</f>
        <v>14325</v>
      </c>
      <c r="V67" s="297">
        <f>'Price List i-Store vs MSS'!$R$15*0.8</f>
        <v>10960</v>
      </c>
      <c r="W67" s="297"/>
      <c r="X67" s="297">
        <f>'Price List i-Store vs MSS'!$T$15*0.75</f>
        <v>11325</v>
      </c>
      <c r="Y67" s="297"/>
    </row>
    <row r="68" spans="1:25" x14ac:dyDescent="0.2">
      <c r="A68" s="349"/>
      <c r="B68" s="352"/>
      <c r="C68" s="245">
        <v>6</v>
      </c>
      <c r="D68" s="264">
        <f>'Price List i-Store vs MSS'!$C$15-('Price List i-Store vs MSS'!$C$15*'NET ISS vs MSS NA'!D5)</f>
        <v>0</v>
      </c>
      <c r="E68" s="264">
        <f>'Price List i-Store vs MSS'!$D$15-('Price List i-Store vs MSS'!$D$15*'NET ISS vs MSS NA'!E5)</f>
        <v>0</v>
      </c>
      <c r="F68" s="264">
        <f>'Price List i-Store vs MSS'!$E$15-('Price List i-Store vs MSS'!$E$15*'NET ISS vs MSS NA'!F5)</f>
        <v>18050</v>
      </c>
      <c r="G68" s="264">
        <f>'Price List i-Store vs MSS'!$F$15-('Price List i-Store vs MSS'!$F$15*'NET ISS vs MSS NA'!G5)</f>
        <v>0</v>
      </c>
      <c r="H68" s="264">
        <f>'Price List i-Store vs MSS'!$G$15-('Price List i-Store vs MSS'!$G$15*'NET ISS vs MSS NA'!H5)</f>
        <v>13300</v>
      </c>
      <c r="I68" s="264">
        <f>'Price List i-Store vs MSS'!$H$15-('Price List i-Store vs MSS'!$H$15*'NET ISS vs MSS NA'!I5)</f>
        <v>0</v>
      </c>
      <c r="J68" s="264">
        <f>'Price List i-Store vs MSS'!$I$15-('Price List i-Store vs MSS'!$I$15*'NET ISS vs MSS NA'!J5)</f>
        <v>14400</v>
      </c>
      <c r="K68" s="264"/>
      <c r="L68" s="264"/>
      <c r="M68" s="264"/>
      <c r="N68" s="264"/>
      <c r="O68" s="264"/>
      <c r="Q68" s="297"/>
      <c r="R68" s="297"/>
      <c r="S68" s="297"/>
      <c r="T68" s="297"/>
      <c r="U68" s="297">
        <f>'Price List i-Store vs MSS'!$Q$15*0.7</f>
        <v>13370</v>
      </c>
      <c r="V68" s="297">
        <f>'Price List i-Store vs MSS'!$R$15*0.75</f>
        <v>10275</v>
      </c>
      <c r="W68" s="297"/>
      <c r="X68" s="297">
        <f>'Price List i-Store vs MSS'!$T$15*0.7</f>
        <v>10570</v>
      </c>
      <c r="Y68" s="297"/>
    </row>
    <row r="69" spans="1:25" x14ac:dyDescent="0.2">
      <c r="A69" s="349"/>
      <c r="B69" s="352"/>
      <c r="C69" s="245">
        <v>9</v>
      </c>
      <c r="D69" s="264">
        <f>'Price List i-Store vs MSS'!$C$15-('Price List i-Store vs MSS'!$C$15*'NET ISS vs MSS NA'!D6)</f>
        <v>0</v>
      </c>
      <c r="E69" s="264">
        <f>'Price List i-Store vs MSS'!$D$15-('Price List i-Store vs MSS'!$D$15*'NET ISS vs MSS NA'!E6)</f>
        <v>0</v>
      </c>
      <c r="F69" s="264">
        <f>'Price List i-Store vs MSS'!$E$15-('Price List i-Store vs MSS'!$E$15*'NET ISS vs MSS NA'!F6)</f>
        <v>18050</v>
      </c>
      <c r="G69" s="264">
        <f>'Price List i-Store vs MSS'!$F$15-('Price List i-Store vs MSS'!$F$15*'NET ISS vs MSS NA'!G6)</f>
        <v>0</v>
      </c>
      <c r="H69" s="264">
        <f>'Price List i-Store vs MSS'!$G$15-('Price List i-Store vs MSS'!$G$15*'NET ISS vs MSS NA'!H6)</f>
        <v>13300</v>
      </c>
      <c r="I69" s="264">
        <f>'Price List i-Store vs MSS'!$H$15-('Price List i-Store vs MSS'!$H$15*'NET ISS vs MSS NA'!I6)</f>
        <v>0</v>
      </c>
      <c r="J69" s="264">
        <f>'Price List i-Store vs MSS'!$I$15-('Price List i-Store vs MSS'!$I$15*'NET ISS vs MSS NA'!J6)</f>
        <v>14400</v>
      </c>
      <c r="K69" s="264"/>
      <c r="L69" s="264"/>
      <c r="M69" s="264"/>
      <c r="N69" s="264"/>
      <c r="O69" s="264"/>
      <c r="Q69" s="297"/>
      <c r="R69" s="297"/>
      <c r="S69" s="297"/>
      <c r="T69" s="297"/>
      <c r="U69" s="297">
        <f>'Price List i-Store vs MSS'!$Q$15*0.65</f>
        <v>12415</v>
      </c>
      <c r="V69" s="297">
        <f>'Price List i-Store vs MSS'!$R$15*0.7</f>
        <v>9590</v>
      </c>
      <c r="W69" s="297"/>
      <c r="X69" s="297">
        <f>'Price List i-Store vs MSS'!$T$15*0.65</f>
        <v>9815</v>
      </c>
      <c r="Y69" s="297"/>
    </row>
    <row r="70" spans="1:25" x14ac:dyDescent="0.2">
      <c r="A70" s="350"/>
      <c r="B70" s="353"/>
      <c r="C70" s="246">
        <v>12</v>
      </c>
      <c r="D70" s="265">
        <f>'Price List i-Store vs MSS'!$C$15-('Price List i-Store vs MSS'!$C$15*'NET ISS vs MSS NA'!D7)</f>
        <v>0</v>
      </c>
      <c r="E70" s="265">
        <f>'Price List i-Store vs MSS'!$D$15-('Price List i-Store vs MSS'!$D$15*'NET ISS vs MSS NA'!E7)</f>
        <v>0</v>
      </c>
      <c r="F70" s="265">
        <f>'Price List i-Store vs MSS'!$E$15-('Price List i-Store vs MSS'!$E$15*'NET ISS vs MSS NA'!F7)</f>
        <v>17100</v>
      </c>
      <c r="G70" s="265">
        <f>'Price List i-Store vs MSS'!$F$15-('Price List i-Store vs MSS'!$F$15*'NET ISS vs MSS NA'!G7)</f>
        <v>0</v>
      </c>
      <c r="H70" s="265">
        <f>'Price List i-Store vs MSS'!$G$15-('Price List i-Store vs MSS'!$G$15*'NET ISS vs MSS NA'!H7)</f>
        <v>13300</v>
      </c>
      <c r="I70" s="265">
        <f>'Price List i-Store vs MSS'!$H$15-('Price List i-Store vs MSS'!$H$15*'NET ISS vs MSS NA'!I7)</f>
        <v>0</v>
      </c>
      <c r="J70" s="265">
        <f>'Price List i-Store vs MSS'!$I$15-('Price List i-Store vs MSS'!$I$15*'NET ISS vs MSS NA'!J7)</f>
        <v>13600</v>
      </c>
      <c r="K70" s="265"/>
      <c r="L70" s="265"/>
      <c r="M70" s="265"/>
      <c r="N70" s="265"/>
      <c r="O70" s="265"/>
      <c r="Q70" s="298"/>
      <c r="R70" s="298"/>
      <c r="S70" s="298"/>
      <c r="T70" s="298"/>
      <c r="U70" s="298">
        <f>'Price List i-Store vs MSS'!$Q$15*0.6</f>
        <v>11460</v>
      </c>
      <c r="V70" s="298">
        <f>'Price List i-Store vs MSS'!$R$15*0.65</f>
        <v>8905</v>
      </c>
      <c r="W70" s="298"/>
      <c r="X70" s="298">
        <f>'Price List i-Store vs MSS'!$T$15*0.6</f>
        <v>9060</v>
      </c>
      <c r="Y70" s="298"/>
    </row>
    <row r="71" spans="1:25" x14ac:dyDescent="0.2">
      <c r="A71" s="347" t="s">
        <v>66</v>
      </c>
      <c r="B71" s="355">
        <v>25</v>
      </c>
      <c r="C71" s="244">
        <v>1</v>
      </c>
      <c r="D71" s="263">
        <f>'Price List i-Store vs MSS'!$C$16-('Price List i-Store vs MSS'!$C$16*'NET ISS vs MSS NA'!D3)</f>
        <v>0</v>
      </c>
      <c r="E71" s="263">
        <f>'Price List i-Store vs MSS'!$D$16-('Price List i-Store vs MSS'!$D$16*'NET ISS vs MSS NA'!E3)</f>
        <v>0</v>
      </c>
      <c r="F71" s="263">
        <f>'Price List i-Store vs MSS'!$E$16-('Price List i-Store vs MSS'!$E$16*'NET ISS vs MSS NA'!F3)</f>
        <v>0</v>
      </c>
      <c r="G71" s="263">
        <f>'Price List i-Store vs MSS'!$F$16-('Price List i-Store vs MSS'!$F$16*'NET ISS vs MSS NA'!G3)</f>
        <v>0</v>
      </c>
      <c r="H71" s="263">
        <f>'Price List i-Store vs MSS'!$G$16-('Price List i-Store vs MSS'!$G$16*'NET ISS vs MSS NA'!H3)</f>
        <v>14700</v>
      </c>
      <c r="I71" s="263">
        <f>'Price List i-Store vs MSS'!$H$16-('Price List i-Store vs MSS'!$H$16*'NET ISS vs MSS NA'!I3)</f>
        <v>14000</v>
      </c>
      <c r="J71" s="263">
        <f>'Price List i-Store vs MSS'!$I$16-('Price List i-Store vs MSS'!$I$16*'NET ISS vs MSS NA'!J3)</f>
        <v>18000</v>
      </c>
      <c r="K71" s="263"/>
      <c r="L71" s="263"/>
      <c r="M71" s="263"/>
      <c r="N71" s="263"/>
      <c r="O71" s="263"/>
      <c r="Q71" s="296"/>
      <c r="R71" s="296"/>
      <c r="S71" s="296"/>
      <c r="T71" s="296"/>
      <c r="U71" s="296"/>
      <c r="V71" s="296">
        <f>'Price List i-Store vs MSS'!$R$16*1</f>
        <v>17500</v>
      </c>
      <c r="W71" s="296"/>
      <c r="X71" s="296"/>
      <c r="Y71" s="296"/>
    </row>
    <row r="72" spans="1:25" x14ac:dyDescent="0.2">
      <c r="A72" s="347"/>
      <c r="B72" s="355"/>
      <c r="C72" s="245">
        <v>3</v>
      </c>
      <c r="D72" s="264">
        <f>'Price List i-Store vs MSS'!$C$16-('Price List i-Store vs MSS'!$C$16*'NET ISS vs MSS NA'!D4)</f>
        <v>0</v>
      </c>
      <c r="E72" s="264">
        <f>'Price List i-Store vs MSS'!$D$16-('Price List i-Store vs MSS'!$D$16*'NET ISS vs MSS NA'!E4)</f>
        <v>0</v>
      </c>
      <c r="F72" s="264">
        <f>'Price List i-Store vs MSS'!$E$16-('Price List i-Store vs MSS'!$E$16*'NET ISS vs MSS NA'!F4)</f>
        <v>0</v>
      </c>
      <c r="G72" s="264">
        <f>'Price List i-Store vs MSS'!$F$16-('Price List i-Store vs MSS'!$F$16*'NET ISS vs MSS NA'!G4)</f>
        <v>0</v>
      </c>
      <c r="H72" s="264">
        <f>'Price List i-Store vs MSS'!$G$16-('Price List i-Store vs MSS'!$G$16*'NET ISS vs MSS NA'!H4)</f>
        <v>14700</v>
      </c>
      <c r="I72" s="264">
        <f>'Price List i-Store vs MSS'!$H$16-('Price List i-Store vs MSS'!$H$16*'NET ISS vs MSS NA'!I4)</f>
        <v>14000</v>
      </c>
      <c r="J72" s="264">
        <f>'Price List i-Store vs MSS'!$I$16-('Price List i-Store vs MSS'!$I$16*'NET ISS vs MSS NA'!J4)</f>
        <v>17100</v>
      </c>
      <c r="K72" s="264"/>
      <c r="L72" s="264"/>
      <c r="M72" s="264"/>
      <c r="N72" s="264"/>
      <c r="O72" s="264"/>
      <c r="Q72" s="297"/>
      <c r="R72" s="297"/>
      <c r="S72" s="297"/>
      <c r="T72" s="297"/>
      <c r="U72" s="297"/>
      <c r="V72" s="297">
        <f>'Price List i-Store vs MSS'!$R$16*0.8</f>
        <v>14000</v>
      </c>
      <c r="W72" s="297"/>
      <c r="X72" s="297"/>
      <c r="Y72" s="297"/>
    </row>
    <row r="73" spans="1:25" x14ac:dyDescent="0.2">
      <c r="A73" s="347"/>
      <c r="B73" s="355"/>
      <c r="C73" s="245">
        <v>6</v>
      </c>
      <c r="D73" s="264">
        <f>'Price List i-Store vs MSS'!$C$16-('Price List i-Store vs MSS'!$C$16*'NET ISS vs MSS NA'!D5)</f>
        <v>0</v>
      </c>
      <c r="E73" s="264">
        <f>'Price List i-Store vs MSS'!$D$16-('Price List i-Store vs MSS'!$D$16*'NET ISS vs MSS NA'!E5)</f>
        <v>0</v>
      </c>
      <c r="F73" s="264">
        <f>'Price List i-Store vs MSS'!$E$16-('Price List i-Store vs MSS'!$E$16*'NET ISS vs MSS NA'!F5)</f>
        <v>0</v>
      </c>
      <c r="G73" s="264">
        <f>'Price List i-Store vs MSS'!$F$16-('Price List i-Store vs MSS'!$F$16*'NET ISS vs MSS NA'!G5)</f>
        <v>0</v>
      </c>
      <c r="H73" s="264">
        <f>'Price List i-Store vs MSS'!$G$16-('Price List i-Store vs MSS'!$G$16*'NET ISS vs MSS NA'!H5)</f>
        <v>14700</v>
      </c>
      <c r="I73" s="264">
        <f>'Price List i-Store vs MSS'!$H$16-('Price List i-Store vs MSS'!$H$16*'NET ISS vs MSS NA'!I5)</f>
        <v>14000</v>
      </c>
      <c r="J73" s="264">
        <f>'Price List i-Store vs MSS'!$I$16-('Price List i-Store vs MSS'!$I$16*'NET ISS vs MSS NA'!J5)</f>
        <v>16200</v>
      </c>
      <c r="K73" s="264"/>
      <c r="L73" s="264"/>
      <c r="M73" s="264"/>
      <c r="N73" s="264"/>
      <c r="O73" s="264"/>
      <c r="Q73" s="297"/>
      <c r="R73" s="297"/>
      <c r="S73" s="297"/>
      <c r="T73" s="297"/>
      <c r="U73" s="297"/>
      <c r="V73" s="297">
        <f>'Price List i-Store vs MSS'!$R$16*0.75</f>
        <v>13125</v>
      </c>
      <c r="W73" s="297"/>
      <c r="X73" s="297"/>
      <c r="Y73" s="297"/>
    </row>
    <row r="74" spans="1:25" x14ac:dyDescent="0.2">
      <c r="A74" s="347"/>
      <c r="B74" s="355"/>
      <c r="C74" s="245">
        <v>9</v>
      </c>
      <c r="D74" s="264">
        <f>'Price List i-Store vs MSS'!$C$16-('Price List i-Store vs MSS'!$C$16*'NET ISS vs MSS NA'!D6)</f>
        <v>0</v>
      </c>
      <c r="E74" s="264">
        <f>'Price List i-Store vs MSS'!$D$16-('Price List i-Store vs MSS'!$D$16*'NET ISS vs MSS NA'!E6)</f>
        <v>0</v>
      </c>
      <c r="F74" s="264">
        <f>'Price List i-Store vs MSS'!$E$16-('Price List i-Store vs MSS'!$E$16*'NET ISS vs MSS NA'!F6)</f>
        <v>0</v>
      </c>
      <c r="G74" s="264">
        <f>'Price List i-Store vs MSS'!$F$16-('Price List i-Store vs MSS'!$F$16*'NET ISS vs MSS NA'!G6)</f>
        <v>0</v>
      </c>
      <c r="H74" s="264">
        <f>'Price List i-Store vs MSS'!$G$16-('Price List i-Store vs MSS'!$G$16*'NET ISS vs MSS NA'!H6)</f>
        <v>14700</v>
      </c>
      <c r="I74" s="264">
        <f>'Price List i-Store vs MSS'!$H$16-('Price List i-Store vs MSS'!$H$16*'NET ISS vs MSS NA'!I6)</f>
        <v>14000</v>
      </c>
      <c r="J74" s="264">
        <f>'Price List i-Store vs MSS'!$I$16-('Price List i-Store vs MSS'!$I$16*'NET ISS vs MSS NA'!J6)</f>
        <v>16200</v>
      </c>
      <c r="K74" s="264"/>
      <c r="L74" s="264"/>
      <c r="M74" s="264"/>
      <c r="N74" s="264"/>
      <c r="O74" s="264"/>
      <c r="Q74" s="297"/>
      <c r="R74" s="297"/>
      <c r="S74" s="297"/>
      <c r="T74" s="297"/>
      <c r="U74" s="297"/>
      <c r="V74" s="297">
        <f>'Price List i-Store vs MSS'!$R$16*0.7</f>
        <v>12250</v>
      </c>
      <c r="W74" s="297"/>
      <c r="X74" s="297"/>
      <c r="Y74" s="297"/>
    </row>
    <row r="75" spans="1:25" x14ac:dyDescent="0.2">
      <c r="A75" s="347"/>
      <c r="B75" s="355"/>
      <c r="C75" s="246">
        <v>12</v>
      </c>
      <c r="D75" s="265">
        <f>'Price List i-Store vs MSS'!$C$16-('Price List i-Store vs MSS'!$C$16*'NET ISS vs MSS NA'!D7)</f>
        <v>0</v>
      </c>
      <c r="E75" s="265">
        <f>'Price List i-Store vs MSS'!$D$16-('Price List i-Store vs MSS'!$D$16*'NET ISS vs MSS NA'!E7)</f>
        <v>0</v>
      </c>
      <c r="F75" s="265">
        <f>'Price List i-Store vs MSS'!$E$16-('Price List i-Store vs MSS'!$E$16*'NET ISS vs MSS NA'!F7)</f>
        <v>0</v>
      </c>
      <c r="G75" s="265">
        <f>'Price List i-Store vs MSS'!$F$16-('Price List i-Store vs MSS'!$F$16*'NET ISS vs MSS NA'!G7)</f>
        <v>0</v>
      </c>
      <c r="H75" s="265">
        <f>'Price List i-Store vs MSS'!$G$16-('Price List i-Store vs MSS'!$G$16*'NET ISS vs MSS NA'!H7)</f>
        <v>14700</v>
      </c>
      <c r="I75" s="265">
        <f>'Price List i-Store vs MSS'!$H$16-('Price List i-Store vs MSS'!$H$16*'NET ISS vs MSS NA'!I7)</f>
        <v>14000</v>
      </c>
      <c r="J75" s="265">
        <f>'Price List i-Store vs MSS'!$I$16-('Price List i-Store vs MSS'!$I$16*'NET ISS vs MSS NA'!J7)</f>
        <v>15300</v>
      </c>
      <c r="K75" s="265"/>
      <c r="L75" s="265"/>
      <c r="M75" s="265"/>
      <c r="N75" s="265"/>
      <c r="O75" s="265"/>
      <c r="Q75" s="298"/>
      <c r="R75" s="298"/>
      <c r="S75" s="298"/>
      <c r="T75" s="298"/>
      <c r="U75" s="298"/>
      <c r="V75" s="298">
        <f>'Price List i-Store vs MSS'!$R$16*0.65</f>
        <v>11375</v>
      </c>
      <c r="W75" s="298"/>
      <c r="X75" s="298"/>
      <c r="Y75" s="298"/>
    </row>
  </sheetData>
  <mergeCells count="26">
    <mergeCell ref="B61:B65"/>
    <mergeCell ref="A61:A65"/>
    <mergeCell ref="B66:B70"/>
    <mergeCell ref="A66:A70"/>
    <mergeCell ref="B71:B75"/>
    <mergeCell ref="A71:A75"/>
    <mergeCell ref="B46:B50"/>
    <mergeCell ref="A46:A50"/>
    <mergeCell ref="B51:B55"/>
    <mergeCell ref="A51:A55"/>
    <mergeCell ref="B56:B60"/>
    <mergeCell ref="A56:A60"/>
    <mergeCell ref="B26:B30"/>
    <mergeCell ref="A26:A30"/>
    <mergeCell ref="A36:A40"/>
    <mergeCell ref="B36:B40"/>
    <mergeCell ref="B41:B45"/>
    <mergeCell ref="A41:A45"/>
    <mergeCell ref="A31:A35"/>
    <mergeCell ref="B31:B35"/>
    <mergeCell ref="A11:A15"/>
    <mergeCell ref="B11:B15"/>
    <mergeCell ref="B16:B20"/>
    <mergeCell ref="A16:A20"/>
    <mergeCell ref="B21:B25"/>
    <mergeCell ref="A21:A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075-870B-4B23-9988-211E54141937}">
  <sheetPr>
    <tabColor rgb="FF0070C0"/>
  </sheetPr>
  <dimension ref="A2:Y75"/>
  <sheetViews>
    <sheetView workbookViewId="0">
      <pane xSplit="2" ySplit="10" topLeftCell="C33" activePane="bottomRight" state="frozen"/>
      <selection pane="topRight" activeCell="C1" sqref="C1"/>
      <selection pane="bottomLeft" activeCell="A11" sqref="A11"/>
      <selection pane="bottomRight" activeCell="R65" sqref="R65"/>
    </sheetView>
  </sheetViews>
  <sheetFormatPr baseColWidth="10" defaultColWidth="8.83203125" defaultRowHeight="15" x14ac:dyDescent="0.2"/>
  <cols>
    <col min="1" max="1" width="15" bestFit="1" customWidth="1"/>
    <col min="17" max="23" width="8.83203125" style="2"/>
  </cols>
  <sheetData>
    <row r="2" spans="1:25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5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5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5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5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5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5" x14ac:dyDescent="0.2">
      <c r="H8" s="308" t="s">
        <v>360</v>
      </c>
      <c r="I8" s="308"/>
    </row>
    <row r="9" spans="1:25" x14ac:dyDescent="0.2">
      <c r="A9" s="27" t="s">
        <v>76</v>
      </c>
      <c r="B9" s="17"/>
      <c r="Q9" s="292" t="str">
        <f>'Price List i-Store vs MSS'!K18</f>
        <v>Storage rooms with A/C</v>
      </c>
      <c r="R9" s="292"/>
      <c r="S9" s="292"/>
      <c r="T9" s="292"/>
      <c r="U9" s="292"/>
      <c r="V9" s="292"/>
      <c r="W9" s="292"/>
      <c r="X9" s="293"/>
      <c r="Y9" s="293"/>
    </row>
    <row r="10" spans="1:25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94" t="str">
        <f>'Price List i-Store vs MSS'!M2</f>
        <v>SKT</v>
      </c>
      <c r="R10" s="294" t="str">
        <f>'Price List i-Store vs MSS'!N2</f>
        <v>SAM</v>
      </c>
      <c r="S10" s="294" t="str">
        <f>'Price List i-Store vs MSS'!O2</f>
        <v>RAM</v>
      </c>
      <c r="T10" s="294" t="str">
        <f>'Price List i-Store vs MSS'!P2</f>
        <v>RM9</v>
      </c>
      <c r="U10" s="294" t="str">
        <f>'Price List i-Store vs MSS'!Q2</f>
        <v>LPR</v>
      </c>
      <c r="V10" s="294" t="str">
        <f>'Price List i-Store vs MSS'!R2</f>
        <v>PTG</v>
      </c>
      <c r="W10" s="294" t="str">
        <f>'Price List i-Store vs MSS'!S2</f>
        <v>PTY</v>
      </c>
      <c r="X10" s="294" t="str">
        <f>'Price List i-Store vs MSS'!T2</f>
        <v>BGS</v>
      </c>
      <c r="Y10" s="294" t="str">
        <f>'Price List i-Store vs MSS'!U2</f>
        <v>RCD</v>
      </c>
    </row>
    <row r="11" spans="1:25" x14ac:dyDescent="0.2">
      <c r="A11" s="348" t="s">
        <v>60</v>
      </c>
      <c r="B11" s="351">
        <v>0.72</v>
      </c>
      <c r="C11" s="244">
        <v>1</v>
      </c>
      <c r="D11" s="263">
        <f>'Price List i-Store vs MSS'!$C$21-('Price List i-Store vs MSS'!$C$21*'NET ISS vs MSS AC'!D3)</f>
        <v>1400</v>
      </c>
      <c r="E11" s="263">
        <f>'Price List i-Store vs MSS'!$D$21-('Price List i-Store vs MSS'!$D$21*'NET ISS vs MSS AC'!E3)</f>
        <v>1400</v>
      </c>
      <c r="F11" s="263">
        <f>'Price List i-Store vs MSS'!$E$21-('Price List i-Store vs MSS'!$E$21*'NET ISS vs MSS AC'!F3)</f>
        <v>0</v>
      </c>
      <c r="G11" s="263">
        <f>'Price List i-Store vs MSS'!$F$21-('Price List i-Store vs MSS'!$F$21*'NET ISS vs MSS AC'!G3)</f>
        <v>1200</v>
      </c>
      <c r="H11" s="263">
        <f>'Price List i-Store vs MSS'!$G$21-('Price List i-Store vs MSS'!$G$21*'NET ISS vs MSS AC'!H3)</f>
        <v>980</v>
      </c>
      <c r="I11" s="263">
        <f>'Price List i-Store vs MSS'!$H$21-('Price List i-Store vs MSS'!$H$21*'NET ISS vs MSS AC'!J3)</f>
        <v>0</v>
      </c>
      <c r="J11" s="263">
        <f>'Price List i-Store vs MSS'!$I$21-('Price List i-Store vs MSS'!$I$21*'NET ISS vs MSS AC'!J3)</f>
        <v>1200</v>
      </c>
      <c r="K11" s="263"/>
      <c r="L11" s="263"/>
      <c r="M11" s="263"/>
      <c r="N11" s="263"/>
      <c r="O11" s="263"/>
      <c r="Q11" s="299"/>
      <c r="R11" s="299">
        <f>'Price List i-Store vs MSS'!$N$21</f>
        <v>731.03</v>
      </c>
      <c r="S11" s="299"/>
      <c r="T11" s="299"/>
      <c r="U11" s="299">
        <f>'Price List i-Store vs MSS'!$Q$21</f>
        <v>801.12</v>
      </c>
      <c r="V11" s="299"/>
      <c r="W11" s="299">
        <f>'Price List i-Store vs MSS'!$S$21</f>
        <v>801.12149999999997</v>
      </c>
      <c r="X11" s="299">
        <f>'Price List i-Store vs MSS'!$T$21</f>
        <v>801.12</v>
      </c>
      <c r="Y11" s="299">
        <f>'Price List i-Store vs MSS'!$U$21</f>
        <v>801.12</v>
      </c>
    </row>
    <row r="12" spans="1:25" x14ac:dyDescent="0.2">
      <c r="A12" s="349"/>
      <c r="B12" s="352"/>
      <c r="C12" s="245">
        <v>3</v>
      </c>
      <c r="D12" s="264">
        <f>'Price List i-Store vs MSS'!$C$21-('Price List i-Store vs MSS'!$C$21*'NET ISS vs MSS AC'!D4)</f>
        <v>1330</v>
      </c>
      <c r="E12" s="264">
        <f>'Price List i-Store vs MSS'!$D$21-('Price List i-Store vs MSS'!$D$21*'NET ISS vs MSS AC'!E4)</f>
        <v>1330</v>
      </c>
      <c r="F12" s="264">
        <f>'Price List i-Store vs MSS'!$E$21-('Price List i-Store vs MSS'!$E$21*'NET ISS vs MSS AC'!F4)</f>
        <v>0</v>
      </c>
      <c r="G12" s="264">
        <f>'Price List i-Store vs MSS'!$F$21-('Price List i-Store vs MSS'!$F$21*'NET ISS vs MSS AC'!G4)</f>
        <v>1140</v>
      </c>
      <c r="H12" s="264">
        <f>'Price List i-Store vs MSS'!$G$21-('Price List i-Store vs MSS'!$G$21*'NET ISS vs MSS AC'!H4)</f>
        <v>980</v>
      </c>
      <c r="I12" s="264">
        <f>'Price List i-Store vs MSS'!$H$21-('Price List i-Store vs MSS'!$H$21*'NET ISS vs MSS AC'!J4)</f>
        <v>0</v>
      </c>
      <c r="J12" s="264">
        <f>'Price List i-Store vs MSS'!$I$21-('Price List i-Store vs MSS'!$I$21*'NET ISS vs MSS AC'!J4)</f>
        <v>1140</v>
      </c>
      <c r="K12" s="264"/>
      <c r="L12" s="264"/>
      <c r="M12" s="264"/>
      <c r="N12" s="264"/>
      <c r="O12" s="264"/>
      <c r="Q12" s="300"/>
      <c r="R12" s="300">
        <f>'Price List i-Store vs MSS'!$N$21</f>
        <v>731.03</v>
      </c>
      <c r="S12" s="300"/>
      <c r="T12" s="300"/>
      <c r="U12" s="300">
        <f>'Price List i-Store vs MSS'!$Q$21</f>
        <v>801.12</v>
      </c>
      <c r="V12" s="300"/>
      <c r="W12" s="300">
        <f>'Price List i-Store vs MSS'!$S$21</f>
        <v>801.12149999999997</v>
      </c>
      <c r="X12" s="300">
        <f>'Price List i-Store vs MSS'!$T$21</f>
        <v>801.12</v>
      </c>
      <c r="Y12" s="304">
        <f>'Price List i-Store vs MSS'!$U$21</f>
        <v>801.12</v>
      </c>
    </row>
    <row r="13" spans="1:25" x14ac:dyDescent="0.2">
      <c r="A13" s="349"/>
      <c r="B13" s="352"/>
      <c r="C13" s="245">
        <v>6</v>
      </c>
      <c r="D13" s="264">
        <f>'Price List i-Store vs MSS'!$C$21-('Price List i-Store vs MSS'!$C$21*'NET ISS vs MSS AC'!D5)</f>
        <v>1260</v>
      </c>
      <c r="E13" s="264">
        <f>'Price List i-Store vs MSS'!$D$21-('Price List i-Store vs MSS'!$D$21*'NET ISS vs MSS AC'!E5)</f>
        <v>1260</v>
      </c>
      <c r="F13" s="264">
        <f>'Price List i-Store vs MSS'!$E$21-('Price List i-Store vs MSS'!$E$21*'NET ISS vs MSS AC'!F5)</f>
        <v>0</v>
      </c>
      <c r="G13" s="264">
        <f>'Price List i-Store vs MSS'!$F$21-('Price List i-Store vs MSS'!$F$21*'NET ISS vs MSS AC'!G5)</f>
        <v>1080</v>
      </c>
      <c r="H13" s="264">
        <f>'Price List i-Store vs MSS'!$G$21-('Price List i-Store vs MSS'!$G$21*'NET ISS vs MSS AC'!H5)</f>
        <v>980</v>
      </c>
      <c r="I13" s="264">
        <f>'Price List i-Store vs MSS'!$H$21-('Price List i-Store vs MSS'!$H$21*'NET ISS vs MSS AC'!J5)</f>
        <v>0</v>
      </c>
      <c r="J13" s="264">
        <f>'Price List i-Store vs MSS'!$I$21-('Price List i-Store vs MSS'!$I$21*'NET ISS vs MSS AC'!J5)</f>
        <v>1080</v>
      </c>
      <c r="K13" s="264"/>
      <c r="L13" s="264"/>
      <c r="M13" s="264"/>
      <c r="N13" s="264"/>
      <c r="O13" s="264"/>
      <c r="Q13" s="300"/>
      <c r="R13" s="300">
        <f>'Price List i-Store vs MSS'!$N$21</f>
        <v>731.03</v>
      </c>
      <c r="S13" s="300"/>
      <c r="T13" s="300"/>
      <c r="U13" s="300">
        <f>'Price List i-Store vs MSS'!$Q$21</f>
        <v>801.12</v>
      </c>
      <c r="V13" s="300"/>
      <c r="W13" s="300">
        <f>'Price List i-Store vs MSS'!$S$21</f>
        <v>801.12149999999997</v>
      </c>
      <c r="X13" s="300">
        <f>'Price List i-Store vs MSS'!$T$21</f>
        <v>801.12</v>
      </c>
      <c r="Y13" s="304">
        <f>'Price List i-Store vs MSS'!$U$21</f>
        <v>801.12</v>
      </c>
    </row>
    <row r="14" spans="1:25" x14ac:dyDescent="0.2">
      <c r="A14" s="349"/>
      <c r="B14" s="352"/>
      <c r="C14" s="245">
        <v>9</v>
      </c>
      <c r="D14" s="264">
        <f>'Price List i-Store vs MSS'!$C$21-('Price List i-Store vs MSS'!$C$21*'NET ISS vs MSS AC'!D6)</f>
        <v>1260</v>
      </c>
      <c r="E14" s="264">
        <f>'Price List i-Store vs MSS'!$D$21-('Price List i-Store vs MSS'!$D$21*'NET ISS vs MSS AC'!E6)</f>
        <v>1260</v>
      </c>
      <c r="F14" s="264">
        <f>'Price List i-Store vs MSS'!$E$21-('Price List i-Store vs MSS'!$E$21*'NET ISS vs MSS AC'!F6)</f>
        <v>0</v>
      </c>
      <c r="G14" s="264">
        <f>'Price List i-Store vs MSS'!$F$21-('Price List i-Store vs MSS'!$F$21*'NET ISS vs MSS AC'!G6)</f>
        <v>1080</v>
      </c>
      <c r="H14" s="264">
        <f>'Price List i-Store vs MSS'!$G$21-('Price List i-Store vs MSS'!$G$21*'NET ISS vs MSS AC'!H6)</f>
        <v>980</v>
      </c>
      <c r="I14" s="264">
        <f>'Price List i-Store vs MSS'!$H$21-('Price List i-Store vs MSS'!$H$21*'NET ISS vs MSS AC'!J6)</f>
        <v>0</v>
      </c>
      <c r="J14" s="264">
        <f>'Price List i-Store vs MSS'!$I$21-('Price List i-Store vs MSS'!$I$21*'NET ISS vs MSS AC'!J6)</f>
        <v>1080</v>
      </c>
      <c r="K14" s="264"/>
      <c r="L14" s="264"/>
      <c r="M14" s="264"/>
      <c r="N14" s="264"/>
      <c r="O14" s="264"/>
      <c r="Q14" s="300"/>
      <c r="R14" s="300">
        <f>'Price List i-Store vs MSS'!$N$21</f>
        <v>731.03</v>
      </c>
      <c r="S14" s="300"/>
      <c r="T14" s="300"/>
      <c r="U14" s="300">
        <f>'Price List i-Store vs MSS'!$Q$21</f>
        <v>801.12</v>
      </c>
      <c r="V14" s="300"/>
      <c r="W14" s="300">
        <f>'Price List i-Store vs MSS'!$S$21</f>
        <v>801.12149999999997</v>
      </c>
      <c r="X14" s="300">
        <f>'Price List i-Store vs MSS'!$T$21</f>
        <v>801.12</v>
      </c>
      <c r="Y14" s="304">
        <f>'Price List i-Store vs MSS'!$U$21</f>
        <v>801.12</v>
      </c>
    </row>
    <row r="15" spans="1:25" x14ac:dyDescent="0.2">
      <c r="A15" s="350"/>
      <c r="B15" s="353"/>
      <c r="C15" s="246">
        <v>12</v>
      </c>
      <c r="D15" s="265">
        <f>'Price List i-Store vs MSS'!$C$21-('Price List i-Store vs MSS'!$C$21*'NET ISS vs MSS AC'!D7)</f>
        <v>1190</v>
      </c>
      <c r="E15" s="265">
        <f>'Price List i-Store vs MSS'!$D$21-('Price List i-Store vs MSS'!$D$21*'NET ISS vs MSS AC'!E7)</f>
        <v>1190</v>
      </c>
      <c r="F15" s="265">
        <f>'Price List i-Store vs MSS'!$E$21-('Price List i-Store vs MSS'!$E$21*'NET ISS vs MSS AC'!F7)</f>
        <v>0</v>
      </c>
      <c r="G15" s="265">
        <f>'Price List i-Store vs MSS'!$F$21-('Price List i-Store vs MSS'!$F$21*'NET ISS vs MSS AC'!G7)</f>
        <v>1020</v>
      </c>
      <c r="H15" s="265">
        <f>'Price List i-Store vs MSS'!$G$21-('Price List i-Store vs MSS'!$G$21*'NET ISS vs MSS AC'!H7)</f>
        <v>980</v>
      </c>
      <c r="I15" s="265">
        <f>'Price List i-Store vs MSS'!$H$21-('Price List i-Store vs MSS'!$H$21*'NET ISS vs MSS AC'!J7)</f>
        <v>0</v>
      </c>
      <c r="J15" s="265">
        <f>'Price List i-Store vs MSS'!$I$21-('Price List i-Store vs MSS'!$I$21*'NET ISS vs MSS AC'!J7)</f>
        <v>1020</v>
      </c>
      <c r="K15" s="265"/>
      <c r="L15" s="265"/>
      <c r="M15" s="265"/>
      <c r="N15" s="265"/>
      <c r="O15" s="265"/>
      <c r="Q15" s="303"/>
      <c r="R15" s="303">
        <f>'Price List i-Store vs MSS'!$N$21</f>
        <v>731.03</v>
      </c>
      <c r="S15" s="303"/>
      <c r="T15" s="303"/>
      <c r="U15" s="303">
        <f>'Price List i-Store vs MSS'!$Q$21</f>
        <v>801.12</v>
      </c>
      <c r="V15" s="303"/>
      <c r="W15" s="303">
        <f>'Price List i-Store vs MSS'!$S$21</f>
        <v>801.12149999999997</v>
      </c>
      <c r="X15" s="303">
        <f>'Price List i-Store vs MSS'!$T$21</f>
        <v>801.12</v>
      </c>
      <c r="Y15" s="305">
        <f>'Price List i-Store vs MSS'!$U$21</f>
        <v>801.12</v>
      </c>
    </row>
    <row r="16" spans="1:25" x14ac:dyDescent="0.2">
      <c r="A16" s="348" t="s">
        <v>61</v>
      </c>
      <c r="B16" s="351">
        <v>0.72</v>
      </c>
      <c r="C16" s="244">
        <v>1</v>
      </c>
      <c r="D16" s="263">
        <f>'Price List i-Store vs MSS'!$C$22-('Price List i-Store vs MSS'!$C$22*'NET ISS vs MSS AC'!D3)</f>
        <v>1200</v>
      </c>
      <c r="E16" s="263">
        <f>'Price List i-Store vs MSS'!$D$22-('Price List i-Store vs MSS'!$D$22*'NET ISS vs MSS AC'!E3)</f>
        <v>1400</v>
      </c>
      <c r="F16" s="263">
        <f>'Price List i-Store vs MSS'!$E$22-('Price List i-Store vs MSS'!$E$22*'NET ISS vs MSS AC'!F3)</f>
        <v>0</v>
      </c>
      <c r="G16" s="263">
        <f>'Price List i-Store vs MSS'!$F$22-('Price List i-Store vs MSS'!$F$22*'NET ISS vs MSS AC'!G3)</f>
        <v>1400</v>
      </c>
      <c r="H16" s="263">
        <f>'Price List i-Store vs MSS'!$G$22-('Price List i-Store vs MSS'!$G$22*'NET ISS vs MSS AC'!H3)</f>
        <v>840</v>
      </c>
      <c r="I16" s="263">
        <f>'Price List i-Store vs MSS'!$H$22-('Price List i-Store vs MSS'!$H$22*'NET ISS vs MSS AC'!I3)</f>
        <v>0</v>
      </c>
      <c r="J16" s="263">
        <f>'Price List i-Store vs MSS'!$I$22-('Price List i-Store vs MSS'!$I$22*'NET ISS vs MSS AC'!J3)</f>
        <v>1000</v>
      </c>
      <c r="K16" s="263"/>
      <c r="L16" s="263"/>
      <c r="M16" s="263"/>
      <c r="N16" s="263"/>
      <c r="O16" s="263"/>
      <c r="Q16" s="299"/>
      <c r="R16" s="299">
        <f>'Price List i-Store vs MSS'!$N$22</f>
        <v>988.04</v>
      </c>
      <c r="S16" s="299"/>
      <c r="T16" s="299"/>
      <c r="U16" s="299">
        <f>'Price List i-Store vs MSS'!$Q$22</f>
        <v>801.12</v>
      </c>
      <c r="V16" s="299"/>
      <c r="W16" s="299">
        <f>'Price List i-Store vs MSS'!$S$22</f>
        <v>894.57939999999996</v>
      </c>
      <c r="X16" s="299">
        <f>'Price List i-Store vs MSS'!$T$22</f>
        <v>894.58</v>
      </c>
      <c r="Y16" s="306">
        <f>'Price List i-Store vs MSS'!$U$22</f>
        <v>801.12</v>
      </c>
    </row>
    <row r="17" spans="1:25" x14ac:dyDescent="0.2">
      <c r="A17" s="349"/>
      <c r="B17" s="352"/>
      <c r="C17" s="245">
        <v>3</v>
      </c>
      <c r="D17" s="264">
        <f>'Price List i-Store vs MSS'!$C$22-('Price List i-Store vs MSS'!$C$22*'NET ISS vs MSS AC'!D4)</f>
        <v>1140</v>
      </c>
      <c r="E17" s="264">
        <f>'Price List i-Store vs MSS'!$D$22-('Price List i-Store vs MSS'!$D$22*'NET ISS vs MSS AC'!E4)</f>
        <v>1330</v>
      </c>
      <c r="F17" s="264">
        <f>'Price List i-Store vs MSS'!$E$22-('Price List i-Store vs MSS'!$E$22*'NET ISS vs MSS AC'!F4)</f>
        <v>0</v>
      </c>
      <c r="G17" s="264">
        <f>'Price List i-Store vs MSS'!$F$22-('Price List i-Store vs MSS'!$F$22*'NET ISS vs MSS AC'!G4)</f>
        <v>1330</v>
      </c>
      <c r="H17" s="264">
        <f>'Price List i-Store vs MSS'!$G$22-('Price List i-Store vs MSS'!$G$22*'NET ISS vs MSS AC'!H4)</f>
        <v>840</v>
      </c>
      <c r="I17" s="264">
        <f>'Price List i-Store vs MSS'!$H$22-('Price List i-Store vs MSS'!$H$22*'NET ISS vs MSS AC'!I4)</f>
        <v>0</v>
      </c>
      <c r="J17" s="264">
        <f>'Price List i-Store vs MSS'!$I$22-('Price List i-Store vs MSS'!$I$22*'NET ISS vs MSS AC'!J4)</f>
        <v>950</v>
      </c>
      <c r="K17" s="264"/>
      <c r="L17" s="264"/>
      <c r="M17" s="264"/>
      <c r="N17" s="264"/>
      <c r="O17" s="264"/>
      <c r="Q17" s="300"/>
      <c r="R17" s="300">
        <f>'Price List i-Store vs MSS'!$N$22</f>
        <v>988.04</v>
      </c>
      <c r="S17" s="300"/>
      <c r="T17" s="300"/>
      <c r="U17" s="300">
        <f>'Price List i-Store vs MSS'!$Q$22</f>
        <v>801.12</v>
      </c>
      <c r="V17" s="300"/>
      <c r="W17" s="300">
        <f>'Price List i-Store vs MSS'!$S$22</f>
        <v>894.57939999999996</v>
      </c>
      <c r="X17" s="300">
        <f>'Price List i-Store vs MSS'!$T$22</f>
        <v>894.58</v>
      </c>
      <c r="Y17" s="304">
        <f>'Price List i-Store vs MSS'!$U$22</f>
        <v>801.12</v>
      </c>
    </row>
    <row r="18" spans="1:25" x14ac:dyDescent="0.2">
      <c r="A18" s="349"/>
      <c r="B18" s="352"/>
      <c r="C18" s="245">
        <v>6</v>
      </c>
      <c r="D18" s="264">
        <f>'Price List i-Store vs MSS'!$C$22-('Price List i-Store vs MSS'!$C$22*'NET ISS vs MSS AC'!D5)</f>
        <v>1080</v>
      </c>
      <c r="E18" s="264">
        <f>'Price List i-Store vs MSS'!$D$22-('Price List i-Store vs MSS'!$D$22*'NET ISS vs MSS AC'!E5)</f>
        <v>1260</v>
      </c>
      <c r="F18" s="264">
        <f>'Price List i-Store vs MSS'!$E$22-('Price List i-Store vs MSS'!$E$22*'NET ISS vs MSS AC'!F5)</f>
        <v>0</v>
      </c>
      <c r="G18" s="264">
        <f>'Price List i-Store vs MSS'!$F$22-('Price List i-Store vs MSS'!$F$22*'NET ISS vs MSS AC'!G5)</f>
        <v>1260</v>
      </c>
      <c r="H18" s="264">
        <f>'Price List i-Store vs MSS'!$G$22-('Price List i-Store vs MSS'!$G$22*'NET ISS vs MSS AC'!H5)</f>
        <v>840</v>
      </c>
      <c r="I18" s="264">
        <f>'Price List i-Store vs MSS'!$H$22-('Price List i-Store vs MSS'!$H$22*'NET ISS vs MSS AC'!I5)</f>
        <v>0</v>
      </c>
      <c r="J18" s="264">
        <f>'Price List i-Store vs MSS'!$I$22-('Price List i-Store vs MSS'!$I$22*'NET ISS vs MSS AC'!J5)</f>
        <v>900</v>
      </c>
      <c r="K18" s="264"/>
      <c r="L18" s="264"/>
      <c r="M18" s="264"/>
      <c r="N18" s="264"/>
      <c r="O18" s="264"/>
      <c r="Q18" s="300"/>
      <c r="R18" s="300">
        <f>'Price List i-Store vs MSS'!$N$22</f>
        <v>988.04</v>
      </c>
      <c r="S18" s="300"/>
      <c r="T18" s="300"/>
      <c r="U18" s="300">
        <f>'Price List i-Store vs MSS'!$Q$22</f>
        <v>801.12</v>
      </c>
      <c r="V18" s="300"/>
      <c r="W18" s="300">
        <f>'Price List i-Store vs MSS'!$S$22</f>
        <v>894.57939999999996</v>
      </c>
      <c r="X18" s="300">
        <f>'Price List i-Store vs MSS'!$T$22</f>
        <v>894.58</v>
      </c>
      <c r="Y18" s="304">
        <f>'Price List i-Store vs MSS'!$U$22</f>
        <v>801.12</v>
      </c>
    </row>
    <row r="19" spans="1:25" x14ac:dyDescent="0.2">
      <c r="A19" s="349"/>
      <c r="B19" s="352"/>
      <c r="C19" s="245">
        <v>9</v>
      </c>
      <c r="D19" s="264">
        <f>'Price List i-Store vs MSS'!$C$22-('Price List i-Store vs MSS'!$C$22*'NET ISS vs MSS AC'!D6)</f>
        <v>1080</v>
      </c>
      <c r="E19" s="264">
        <f>'Price List i-Store vs MSS'!$D$22-('Price List i-Store vs MSS'!$D$22*'NET ISS vs MSS AC'!E6)</f>
        <v>1260</v>
      </c>
      <c r="F19" s="264">
        <f>'Price List i-Store vs MSS'!$E$22-('Price List i-Store vs MSS'!$E$22*'NET ISS vs MSS AC'!F6)</f>
        <v>0</v>
      </c>
      <c r="G19" s="264">
        <f>'Price List i-Store vs MSS'!$F$22-('Price List i-Store vs MSS'!$F$22*'NET ISS vs MSS AC'!G6)</f>
        <v>1260</v>
      </c>
      <c r="H19" s="264">
        <f>'Price List i-Store vs MSS'!$G$22-('Price List i-Store vs MSS'!$G$22*'NET ISS vs MSS AC'!H6)</f>
        <v>840</v>
      </c>
      <c r="I19" s="264">
        <f>'Price List i-Store vs MSS'!$H$22-('Price List i-Store vs MSS'!$H$22*'NET ISS vs MSS AC'!I6)</f>
        <v>0</v>
      </c>
      <c r="J19" s="264">
        <f>'Price List i-Store vs MSS'!$I$22-('Price List i-Store vs MSS'!$I$22*'NET ISS vs MSS AC'!J6)</f>
        <v>900</v>
      </c>
      <c r="K19" s="264"/>
      <c r="L19" s="264"/>
      <c r="M19" s="264"/>
      <c r="N19" s="264"/>
      <c r="O19" s="264"/>
      <c r="Q19" s="300"/>
      <c r="R19" s="300">
        <f>'Price List i-Store vs MSS'!$N$22</f>
        <v>988.04</v>
      </c>
      <c r="S19" s="300"/>
      <c r="T19" s="300"/>
      <c r="U19" s="300">
        <f>'Price List i-Store vs MSS'!$Q$22</f>
        <v>801.12</v>
      </c>
      <c r="V19" s="300"/>
      <c r="W19" s="300">
        <f>'Price List i-Store vs MSS'!$S$22</f>
        <v>894.57939999999996</v>
      </c>
      <c r="X19" s="300">
        <f>'Price List i-Store vs MSS'!$T$22</f>
        <v>894.58</v>
      </c>
      <c r="Y19" s="304">
        <f>'Price List i-Store vs MSS'!$U$22</f>
        <v>801.12</v>
      </c>
    </row>
    <row r="20" spans="1:25" x14ac:dyDescent="0.2">
      <c r="A20" s="350"/>
      <c r="B20" s="353"/>
      <c r="C20" s="246">
        <v>12</v>
      </c>
      <c r="D20" s="265">
        <f>'Price List i-Store vs MSS'!$C$22-('Price List i-Store vs MSS'!$C$22*'NET ISS vs MSS AC'!D7)</f>
        <v>1020</v>
      </c>
      <c r="E20" s="265">
        <f>'Price List i-Store vs MSS'!$D$22-('Price List i-Store vs MSS'!$D$22*'NET ISS vs MSS AC'!E7)</f>
        <v>1190</v>
      </c>
      <c r="F20" s="265">
        <f>'Price List i-Store vs MSS'!$E$22-('Price List i-Store vs MSS'!$E$22*'NET ISS vs MSS AC'!F7)</f>
        <v>0</v>
      </c>
      <c r="G20" s="265">
        <f>'Price List i-Store vs MSS'!$F$22-('Price List i-Store vs MSS'!$F$22*'NET ISS vs MSS AC'!G7)</f>
        <v>1190</v>
      </c>
      <c r="H20" s="265">
        <f>'Price List i-Store vs MSS'!$G$22-('Price List i-Store vs MSS'!$G$22*'NET ISS vs MSS AC'!H7)</f>
        <v>840</v>
      </c>
      <c r="I20" s="265">
        <f>'Price List i-Store vs MSS'!$H$22-('Price List i-Store vs MSS'!$H$22*'NET ISS vs MSS AC'!I7)</f>
        <v>0</v>
      </c>
      <c r="J20" s="265">
        <f>'Price List i-Store vs MSS'!$I$22-('Price List i-Store vs MSS'!$I$22*'NET ISS vs MSS AC'!J7)</f>
        <v>850</v>
      </c>
      <c r="K20" s="265"/>
      <c r="L20" s="265"/>
      <c r="M20" s="265"/>
      <c r="N20" s="265"/>
      <c r="O20" s="265"/>
      <c r="Q20" s="301"/>
      <c r="R20" s="301">
        <f>'Price List i-Store vs MSS'!$N$22</f>
        <v>988.04</v>
      </c>
      <c r="S20" s="301"/>
      <c r="T20" s="301"/>
      <c r="U20" s="301">
        <f>'Price List i-Store vs MSS'!$Q$22</f>
        <v>801.12</v>
      </c>
      <c r="V20" s="301"/>
      <c r="W20" s="301">
        <f>'Price List i-Store vs MSS'!$S$22</f>
        <v>894.57939999999996</v>
      </c>
      <c r="X20" s="301">
        <f>'Price List i-Store vs MSS'!$T$22</f>
        <v>894.58</v>
      </c>
      <c r="Y20" s="307">
        <f>'Price List i-Store vs MSS'!$U$22</f>
        <v>801.12</v>
      </c>
    </row>
    <row r="21" spans="1:25" x14ac:dyDescent="0.2">
      <c r="A21" s="348" t="s">
        <v>62</v>
      </c>
      <c r="B21" s="351">
        <v>1.3</v>
      </c>
      <c r="C21" s="244">
        <v>1</v>
      </c>
      <c r="D21" s="263">
        <f>'Price List i-Store vs MSS'!$C$23-('Price List i-Store vs MSS'!$C$23*'NET ISS vs MSS AC'!D3)</f>
        <v>1900</v>
      </c>
      <c r="E21" s="263">
        <f>'Price List i-Store vs MSS'!$D$23-('Price List i-Store vs MSS'!$D$23*'NET ISS vs MSS AC'!E3)</f>
        <v>1900</v>
      </c>
      <c r="F21" s="263">
        <f>'Price List i-Store vs MSS'!$E$23-('Price List i-Store vs MSS'!$E$23*'NET ISS vs MSS AC'!F3)</f>
        <v>0</v>
      </c>
      <c r="G21" s="263">
        <f>'Price List i-Store vs MSS'!$F$23-('Price List i-Store vs MSS'!$F$23*'NET ISS vs MSS AC'!G3)</f>
        <v>1700</v>
      </c>
      <c r="H21" s="263">
        <f>'Price List i-Store vs MSS'!$G$23-('Price List i-Store vs MSS'!$G$23*'NET ISS vs MSS AC'!H3)</f>
        <v>1330</v>
      </c>
      <c r="I21" s="263">
        <f>'Price List i-Store vs MSS'!$H$23-('Price List i-Store vs MSS'!$H$23*'NET ISS vs MSS AC'!I3)</f>
        <v>0</v>
      </c>
      <c r="J21" s="263">
        <f>'Price List i-Store vs MSS'!$I$23-('Price List i-Store vs MSS'!$I$23*'NET ISS vs MSS AC'!J3)</f>
        <v>1600</v>
      </c>
      <c r="K21" s="263"/>
      <c r="L21" s="263"/>
      <c r="M21" s="263"/>
      <c r="N21" s="263"/>
      <c r="O21" s="263"/>
      <c r="Q21" s="299"/>
      <c r="R21" s="299">
        <f>'Price List i-Store vs MSS'!$N$23</f>
        <v>847.85</v>
      </c>
      <c r="S21" s="299"/>
      <c r="T21" s="299">
        <f>'Price List i-Store vs MSS'!$P$23</f>
        <v>801.12</v>
      </c>
      <c r="U21" s="299"/>
      <c r="V21" s="299"/>
      <c r="W21" s="299"/>
      <c r="X21" s="299"/>
      <c r="Y21" s="299">
        <f>'Price List i-Store vs MSS'!$U$23</f>
        <v>824.4849999999999</v>
      </c>
    </row>
    <row r="22" spans="1:25" x14ac:dyDescent="0.2">
      <c r="A22" s="349"/>
      <c r="B22" s="352"/>
      <c r="C22" s="245">
        <v>3</v>
      </c>
      <c r="D22" s="264">
        <f>'Price List i-Store vs MSS'!$C$23-('Price List i-Store vs MSS'!$C$23*'NET ISS vs MSS AC'!D4)</f>
        <v>1805</v>
      </c>
      <c r="E22" s="264">
        <f>'Price List i-Store vs MSS'!$D$23-('Price List i-Store vs MSS'!$D$23*'NET ISS vs MSS AC'!E4)</f>
        <v>1805</v>
      </c>
      <c r="F22" s="264">
        <f>'Price List i-Store vs MSS'!$E$23-('Price List i-Store vs MSS'!$E$23*'NET ISS vs MSS AC'!F4)</f>
        <v>0</v>
      </c>
      <c r="G22" s="264">
        <f>'Price List i-Store vs MSS'!$F$23-('Price List i-Store vs MSS'!$F$23*'NET ISS vs MSS AC'!G4)</f>
        <v>1615</v>
      </c>
      <c r="H22" s="264">
        <f>'Price List i-Store vs MSS'!$G$23-('Price List i-Store vs MSS'!$G$23*'NET ISS vs MSS AC'!H4)</f>
        <v>1330</v>
      </c>
      <c r="I22" s="264">
        <f>'Price List i-Store vs MSS'!$H$23-('Price List i-Store vs MSS'!$H$23*'NET ISS vs MSS AC'!I4)</f>
        <v>0</v>
      </c>
      <c r="J22" s="264">
        <f>'Price List i-Store vs MSS'!$I$23-('Price List i-Store vs MSS'!$I$23*'NET ISS vs MSS AC'!J4)</f>
        <v>1520</v>
      </c>
      <c r="K22" s="264"/>
      <c r="L22" s="264"/>
      <c r="M22" s="264"/>
      <c r="N22" s="264"/>
      <c r="O22" s="264"/>
      <c r="Q22" s="300"/>
      <c r="R22" s="300">
        <f>'Price List i-Store vs MSS'!$N$23</f>
        <v>847.85</v>
      </c>
      <c r="S22" s="300"/>
      <c r="T22" s="300">
        <f>'Price List i-Store vs MSS'!$P$23</f>
        <v>801.12</v>
      </c>
      <c r="U22" s="300"/>
      <c r="V22" s="300"/>
      <c r="W22" s="300"/>
      <c r="X22" s="300"/>
      <c r="Y22" s="300">
        <f>'Price List i-Store vs MSS'!$U$23</f>
        <v>824.4849999999999</v>
      </c>
    </row>
    <row r="23" spans="1:25" x14ac:dyDescent="0.2">
      <c r="A23" s="349"/>
      <c r="B23" s="352"/>
      <c r="C23" s="245">
        <v>6</v>
      </c>
      <c r="D23" s="264">
        <f>'Price List i-Store vs MSS'!$C$23-('Price List i-Store vs MSS'!$C$23*'NET ISS vs MSS AC'!D5)</f>
        <v>1710</v>
      </c>
      <c r="E23" s="264">
        <f>'Price List i-Store vs MSS'!$D$23-('Price List i-Store vs MSS'!$D$23*'NET ISS vs MSS AC'!E5)</f>
        <v>1710</v>
      </c>
      <c r="F23" s="264">
        <f>'Price List i-Store vs MSS'!$E$23-('Price List i-Store vs MSS'!$E$23*'NET ISS vs MSS AC'!F5)</f>
        <v>0</v>
      </c>
      <c r="G23" s="264">
        <f>'Price List i-Store vs MSS'!$F$23-('Price List i-Store vs MSS'!$F$23*'NET ISS vs MSS AC'!G5)</f>
        <v>1530</v>
      </c>
      <c r="H23" s="264">
        <f>'Price List i-Store vs MSS'!$G$23-('Price List i-Store vs MSS'!$G$23*'NET ISS vs MSS AC'!H5)</f>
        <v>1330</v>
      </c>
      <c r="I23" s="264">
        <f>'Price List i-Store vs MSS'!$H$23-('Price List i-Store vs MSS'!$H$23*'NET ISS vs MSS AC'!I5)</f>
        <v>0</v>
      </c>
      <c r="J23" s="264">
        <f>'Price List i-Store vs MSS'!$I$23-('Price List i-Store vs MSS'!$I$23*'NET ISS vs MSS AC'!J5)</f>
        <v>1440</v>
      </c>
      <c r="K23" s="264"/>
      <c r="L23" s="264"/>
      <c r="M23" s="264"/>
      <c r="N23" s="264"/>
      <c r="O23" s="264"/>
      <c r="Q23" s="300"/>
      <c r="R23" s="300">
        <f>'Price List i-Store vs MSS'!$N$23</f>
        <v>847.85</v>
      </c>
      <c r="S23" s="300"/>
      <c r="T23" s="300">
        <f>'Price List i-Store vs MSS'!$P$23</f>
        <v>801.12</v>
      </c>
      <c r="U23" s="300"/>
      <c r="V23" s="300"/>
      <c r="W23" s="300"/>
      <c r="X23" s="300"/>
      <c r="Y23" s="300">
        <f>'Price List i-Store vs MSS'!$U$23</f>
        <v>824.4849999999999</v>
      </c>
    </row>
    <row r="24" spans="1:25" x14ac:dyDescent="0.2">
      <c r="A24" s="349"/>
      <c r="B24" s="352"/>
      <c r="C24" s="245">
        <v>9</v>
      </c>
      <c r="D24" s="264">
        <f>'Price List i-Store vs MSS'!$C$23-('Price List i-Store vs MSS'!$C$23*'NET ISS vs MSS AC'!D6)</f>
        <v>1710</v>
      </c>
      <c r="E24" s="264">
        <f>'Price List i-Store vs MSS'!$D$23-('Price List i-Store vs MSS'!$D$23*'NET ISS vs MSS AC'!E6)</f>
        <v>1710</v>
      </c>
      <c r="F24" s="264">
        <f>'Price List i-Store vs MSS'!$E$23-('Price List i-Store vs MSS'!$E$23*'NET ISS vs MSS AC'!F6)</f>
        <v>0</v>
      </c>
      <c r="G24" s="264">
        <f>'Price List i-Store vs MSS'!$F$23-('Price List i-Store vs MSS'!$F$23*'NET ISS vs MSS AC'!G6)</f>
        <v>1530</v>
      </c>
      <c r="H24" s="264">
        <f>'Price List i-Store vs MSS'!$G$23-('Price List i-Store vs MSS'!$G$23*'NET ISS vs MSS AC'!H6)</f>
        <v>1330</v>
      </c>
      <c r="I24" s="264">
        <f>'Price List i-Store vs MSS'!$H$23-('Price List i-Store vs MSS'!$H$23*'NET ISS vs MSS AC'!I6)</f>
        <v>0</v>
      </c>
      <c r="J24" s="264">
        <f>'Price List i-Store vs MSS'!$I$23-('Price List i-Store vs MSS'!$I$23*'NET ISS vs MSS AC'!J6)</f>
        <v>1440</v>
      </c>
      <c r="K24" s="264"/>
      <c r="L24" s="264"/>
      <c r="M24" s="264"/>
      <c r="N24" s="264"/>
      <c r="O24" s="264"/>
      <c r="Q24" s="300"/>
      <c r="R24" s="300">
        <f>'Price List i-Store vs MSS'!$N$23</f>
        <v>847.85</v>
      </c>
      <c r="S24" s="300"/>
      <c r="T24" s="300">
        <f>'Price List i-Store vs MSS'!$P$23</f>
        <v>801.12</v>
      </c>
      <c r="U24" s="300"/>
      <c r="V24" s="300"/>
      <c r="W24" s="300"/>
      <c r="X24" s="300"/>
      <c r="Y24" s="300">
        <f>'Price List i-Store vs MSS'!$U$23</f>
        <v>824.4849999999999</v>
      </c>
    </row>
    <row r="25" spans="1:25" x14ac:dyDescent="0.2">
      <c r="A25" s="350"/>
      <c r="B25" s="353"/>
      <c r="C25" s="246">
        <v>12</v>
      </c>
      <c r="D25" s="265">
        <f>'Price List i-Store vs MSS'!$C$23-('Price List i-Store vs MSS'!$C$23*'NET ISS vs MSS AC'!D7)</f>
        <v>1615</v>
      </c>
      <c r="E25" s="265">
        <f>'Price List i-Store vs MSS'!$D$23-('Price List i-Store vs MSS'!$D$23*'NET ISS vs MSS AC'!E7)</f>
        <v>1615</v>
      </c>
      <c r="F25" s="265">
        <f>'Price List i-Store vs MSS'!$E$23-('Price List i-Store vs MSS'!$E$23*'NET ISS vs MSS AC'!F7)</f>
        <v>0</v>
      </c>
      <c r="G25" s="265">
        <f>'Price List i-Store vs MSS'!$F$23-('Price List i-Store vs MSS'!$F$23*'NET ISS vs MSS AC'!G7)</f>
        <v>1445</v>
      </c>
      <c r="H25" s="265">
        <f>'Price List i-Store vs MSS'!$G$23-('Price List i-Store vs MSS'!$G$23*'NET ISS vs MSS AC'!H7)</f>
        <v>1330</v>
      </c>
      <c r="I25" s="265">
        <f>'Price List i-Store vs MSS'!$H$23-('Price List i-Store vs MSS'!$H$23*'NET ISS vs MSS AC'!I7)</f>
        <v>0</v>
      </c>
      <c r="J25" s="265">
        <f>'Price List i-Store vs MSS'!$I$23-('Price List i-Store vs MSS'!$I$23*'NET ISS vs MSS AC'!J7)</f>
        <v>1360</v>
      </c>
      <c r="K25" s="265"/>
      <c r="L25" s="265"/>
      <c r="M25" s="265"/>
      <c r="N25" s="265"/>
      <c r="O25" s="265"/>
      <c r="Q25" s="303"/>
      <c r="R25" s="303">
        <f>'Price List i-Store vs MSS'!$N$23</f>
        <v>847.85</v>
      </c>
      <c r="S25" s="303"/>
      <c r="T25" s="303">
        <f>'Price List i-Store vs MSS'!$P$23</f>
        <v>801.12</v>
      </c>
      <c r="U25" s="303"/>
      <c r="V25" s="303"/>
      <c r="W25" s="303"/>
      <c r="X25" s="303"/>
      <c r="Y25" s="303">
        <f>'Price List i-Store vs MSS'!$U$23</f>
        <v>824.4849999999999</v>
      </c>
    </row>
    <row r="26" spans="1:25" x14ac:dyDescent="0.2">
      <c r="A26" s="348" t="s">
        <v>63</v>
      </c>
      <c r="B26" s="351">
        <v>1.3</v>
      </c>
      <c r="C26" s="244">
        <v>1</v>
      </c>
      <c r="D26" s="263">
        <f>'Price List i-Store vs MSS'!$C$24-('Price List i-Store vs MSS'!$C$24*'NET ISS vs MSS AC'!D3)</f>
        <v>1700</v>
      </c>
      <c r="E26" s="263">
        <f>'Price List i-Store vs MSS'!$D$24-('Price List i-Store vs MSS'!$D$24*'NET ISS vs MSS AC'!E3)</f>
        <v>1900</v>
      </c>
      <c r="F26" s="263">
        <f>'Price List i-Store vs MSS'!$E$24-('Price List i-Store vs MSS'!$E$24*'NET ISS vs MSS AC'!F3)</f>
        <v>0</v>
      </c>
      <c r="G26" s="263">
        <f>'Price List i-Store vs MSS'!$F$24-('Price List i-Store vs MSS'!$F$24*'NET ISS vs MSS AC'!G3)</f>
        <v>1900</v>
      </c>
      <c r="H26" s="263">
        <f>'Price List i-Store vs MSS'!$G$24-('Price List i-Store vs MSS'!$G$24*'NET ISS vs MSS AC'!H3)</f>
        <v>1190</v>
      </c>
      <c r="I26" s="263">
        <f>'Price List i-Store vs MSS'!$H$24-('Price List i-Store vs MSS'!$H$24*'NET ISS vs MSS AC'!I3)</f>
        <v>0</v>
      </c>
      <c r="J26" s="263">
        <f>'Price List i-Store vs MSS'!$I$24-('Price List i-Store vs MSS'!$I$24*'NET ISS vs MSS AC'!J3)</f>
        <v>1400</v>
      </c>
      <c r="K26" s="263"/>
      <c r="L26" s="263"/>
      <c r="M26" s="263"/>
      <c r="N26" s="263"/>
      <c r="O26" s="263"/>
      <c r="Q26" s="299"/>
      <c r="R26" s="299">
        <f>'Price List i-Store vs MSS'!$N$24</f>
        <v>988.04</v>
      </c>
      <c r="S26" s="299"/>
      <c r="T26" s="299">
        <f>'Price List i-Store vs MSS'!$P$24</f>
        <v>894.58</v>
      </c>
      <c r="U26" s="299"/>
      <c r="V26" s="299"/>
      <c r="W26" s="299"/>
      <c r="X26" s="299"/>
      <c r="Y26" s="299">
        <f>'Price List i-Store vs MSS'!$U$24</f>
        <v>1081.5</v>
      </c>
    </row>
    <row r="27" spans="1:25" x14ac:dyDescent="0.2">
      <c r="A27" s="349"/>
      <c r="B27" s="352"/>
      <c r="C27" s="245">
        <v>3</v>
      </c>
      <c r="D27" s="264">
        <f>'Price List i-Store vs MSS'!$C$24-('Price List i-Store vs MSS'!$C$24*'NET ISS vs MSS AC'!D4)</f>
        <v>1615</v>
      </c>
      <c r="E27" s="264">
        <f>'Price List i-Store vs MSS'!$D$24-('Price List i-Store vs MSS'!$D$24*'NET ISS vs MSS AC'!E4)</f>
        <v>1805</v>
      </c>
      <c r="F27" s="264">
        <f>'Price List i-Store vs MSS'!$E$24-('Price List i-Store vs MSS'!$E$24*'NET ISS vs MSS AC'!F4)</f>
        <v>0</v>
      </c>
      <c r="G27" s="264">
        <f>'Price List i-Store vs MSS'!$F$24-('Price List i-Store vs MSS'!$F$24*'NET ISS vs MSS AC'!G4)</f>
        <v>1805</v>
      </c>
      <c r="H27" s="264">
        <f>'Price List i-Store vs MSS'!$G$24-('Price List i-Store vs MSS'!$G$24*'NET ISS vs MSS AC'!H4)</f>
        <v>1190</v>
      </c>
      <c r="I27" s="264">
        <f>'Price List i-Store vs MSS'!$H$24-('Price List i-Store vs MSS'!$H$24*'NET ISS vs MSS AC'!I4)</f>
        <v>0</v>
      </c>
      <c r="J27" s="264">
        <f>'Price List i-Store vs MSS'!$I$24-('Price List i-Store vs MSS'!$I$24*'NET ISS vs MSS AC'!J4)</f>
        <v>1330</v>
      </c>
      <c r="K27" s="264"/>
      <c r="L27" s="264"/>
      <c r="M27" s="264"/>
      <c r="N27" s="264"/>
      <c r="O27" s="264"/>
      <c r="Q27" s="300"/>
      <c r="R27" s="300">
        <f>'Price List i-Store vs MSS'!$N$24</f>
        <v>988.04</v>
      </c>
      <c r="S27" s="300"/>
      <c r="T27" s="300">
        <f>'Price List i-Store vs MSS'!$P$24</f>
        <v>894.58</v>
      </c>
      <c r="U27" s="300"/>
      <c r="V27" s="300"/>
      <c r="W27" s="300"/>
      <c r="X27" s="300"/>
      <c r="Y27" s="300">
        <f>'Price List i-Store vs MSS'!$U$24</f>
        <v>1081.5</v>
      </c>
    </row>
    <row r="28" spans="1:25" x14ac:dyDescent="0.2">
      <c r="A28" s="349"/>
      <c r="B28" s="352"/>
      <c r="C28" s="245">
        <v>6</v>
      </c>
      <c r="D28" s="264">
        <f>'Price List i-Store vs MSS'!$C$24-('Price List i-Store vs MSS'!$C$24*'NET ISS vs MSS AC'!D5)</f>
        <v>1530</v>
      </c>
      <c r="E28" s="264">
        <f>'Price List i-Store vs MSS'!$D$24-('Price List i-Store vs MSS'!$D$24*'NET ISS vs MSS AC'!E5)</f>
        <v>1710</v>
      </c>
      <c r="F28" s="264">
        <f>'Price List i-Store vs MSS'!$E$24-('Price List i-Store vs MSS'!$E$24*'NET ISS vs MSS AC'!F5)</f>
        <v>0</v>
      </c>
      <c r="G28" s="264">
        <f>'Price List i-Store vs MSS'!$F$24-('Price List i-Store vs MSS'!$F$24*'NET ISS vs MSS AC'!G5)</f>
        <v>1710</v>
      </c>
      <c r="H28" s="264">
        <f>'Price List i-Store vs MSS'!$G$24-('Price List i-Store vs MSS'!$G$24*'NET ISS vs MSS AC'!H5)</f>
        <v>1190</v>
      </c>
      <c r="I28" s="264">
        <f>'Price List i-Store vs MSS'!$H$24-('Price List i-Store vs MSS'!$H$24*'NET ISS vs MSS AC'!I5)</f>
        <v>0</v>
      </c>
      <c r="J28" s="264">
        <f>'Price List i-Store vs MSS'!$I$24-('Price List i-Store vs MSS'!$I$24*'NET ISS vs MSS AC'!J5)</f>
        <v>1260</v>
      </c>
      <c r="K28" s="264"/>
      <c r="L28" s="264"/>
      <c r="M28" s="264"/>
      <c r="N28" s="264"/>
      <c r="O28" s="264"/>
      <c r="Q28" s="300"/>
      <c r="R28" s="300">
        <f>'Price List i-Store vs MSS'!$N$24</f>
        <v>988.04</v>
      </c>
      <c r="S28" s="300"/>
      <c r="T28" s="300">
        <f>'Price List i-Store vs MSS'!$P$24</f>
        <v>894.58</v>
      </c>
      <c r="U28" s="300"/>
      <c r="V28" s="300"/>
      <c r="W28" s="300"/>
      <c r="X28" s="300"/>
      <c r="Y28" s="300">
        <f>'Price List i-Store vs MSS'!$U$24</f>
        <v>1081.5</v>
      </c>
    </row>
    <row r="29" spans="1:25" x14ac:dyDescent="0.2">
      <c r="A29" s="349"/>
      <c r="B29" s="352"/>
      <c r="C29" s="245">
        <v>9</v>
      </c>
      <c r="D29" s="264">
        <f>'Price List i-Store vs MSS'!$C$24-('Price List i-Store vs MSS'!$C$24*'NET ISS vs MSS AC'!D6)</f>
        <v>1530</v>
      </c>
      <c r="E29" s="264">
        <f>'Price List i-Store vs MSS'!$D$24-('Price List i-Store vs MSS'!$D$24*'NET ISS vs MSS AC'!E6)</f>
        <v>1710</v>
      </c>
      <c r="F29" s="264">
        <f>'Price List i-Store vs MSS'!$E$24-('Price List i-Store vs MSS'!$E$24*'NET ISS vs MSS AC'!F6)</f>
        <v>0</v>
      </c>
      <c r="G29" s="264">
        <f>'Price List i-Store vs MSS'!$F$24-('Price List i-Store vs MSS'!$F$24*'NET ISS vs MSS AC'!G6)</f>
        <v>1710</v>
      </c>
      <c r="H29" s="264">
        <f>'Price List i-Store vs MSS'!$G$24-('Price List i-Store vs MSS'!$G$24*'NET ISS vs MSS AC'!H6)</f>
        <v>1190</v>
      </c>
      <c r="I29" s="264">
        <f>'Price List i-Store vs MSS'!$H$24-('Price List i-Store vs MSS'!$H$24*'NET ISS vs MSS AC'!I6)</f>
        <v>0</v>
      </c>
      <c r="J29" s="264">
        <f>'Price List i-Store vs MSS'!$I$24-('Price List i-Store vs MSS'!$I$24*'NET ISS vs MSS AC'!J6)</f>
        <v>1260</v>
      </c>
      <c r="K29" s="264"/>
      <c r="L29" s="264"/>
      <c r="M29" s="264"/>
      <c r="N29" s="264"/>
      <c r="O29" s="264"/>
      <c r="Q29" s="300"/>
      <c r="R29" s="300">
        <f>'Price List i-Store vs MSS'!$N$24</f>
        <v>988.04</v>
      </c>
      <c r="S29" s="300"/>
      <c r="T29" s="300">
        <f>'Price List i-Store vs MSS'!$P$24</f>
        <v>894.58</v>
      </c>
      <c r="U29" s="300"/>
      <c r="V29" s="300"/>
      <c r="W29" s="300"/>
      <c r="X29" s="300"/>
      <c r="Y29" s="300">
        <f>'Price List i-Store vs MSS'!$U$24</f>
        <v>1081.5</v>
      </c>
    </row>
    <row r="30" spans="1:25" x14ac:dyDescent="0.2">
      <c r="A30" s="350"/>
      <c r="B30" s="353"/>
      <c r="C30" s="246">
        <v>12</v>
      </c>
      <c r="D30" s="265">
        <f>'Price List i-Store vs MSS'!$C$24-('Price List i-Store vs MSS'!$C$24*'NET ISS vs MSS AC'!D7)</f>
        <v>1445</v>
      </c>
      <c r="E30" s="265">
        <f>'Price List i-Store vs MSS'!$D$24-('Price List i-Store vs MSS'!$D$24*'NET ISS vs MSS AC'!E7)</f>
        <v>1615</v>
      </c>
      <c r="F30" s="265">
        <f>'Price List i-Store vs MSS'!$E$24-('Price List i-Store vs MSS'!$E$24*'NET ISS vs MSS AC'!F7)</f>
        <v>0</v>
      </c>
      <c r="G30" s="265">
        <f>'Price List i-Store vs MSS'!$F$24-('Price List i-Store vs MSS'!$F$24*'NET ISS vs MSS AC'!G7)</f>
        <v>1615</v>
      </c>
      <c r="H30" s="265">
        <f>'Price List i-Store vs MSS'!$G$24-('Price List i-Store vs MSS'!$G$24*'NET ISS vs MSS AC'!H7)</f>
        <v>1190</v>
      </c>
      <c r="I30" s="265">
        <f>'Price List i-Store vs MSS'!$H$24-('Price List i-Store vs MSS'!$H$24*'NET ISS vs MSS AC'!I7)</f>
        <v>0</v>
      </c>
      <c r="J30" s="265">
        <f>'Price List i-Store vs MSS'!$I$24-('Price List i-Store vs MSS'!$I$24*'NET ISS vs MSS AC'!J7)</f>
        <v>1190</v>
      </c>
      <c r="K30" s="265"/>
      <c r="L30" s="265"/>
      <c r="M30" s="265"/>
      <c r="N30" s="265"/>
      <c r="O30" s="265"/>
      <c r="Q30" s="301"/>
      <c r="R30" s="301">
        <f>'Price List i-Store vs MSS'!$N$24</f>
        <v>988.04</v>
      </c>
      <c r="S30" s="301"/>
      <c r="T30" s="301">
        <f>'Price List i-Store vs MSS'!$P$24</f>
        <v>894.58</v>
      </c>
      <c r="U30" s="301"/>
      <c r="V30" s="301"/>
      <c r="W30" s="301"/>
      <c r="X30" s="301"/>
      <c r="Y30" s="301">
        <f>'Price List i-Store vs MSS'!$U$24</f>
        <v>1081.5</v>
      </c>
    </row>
    <row r="31" spans="1:25" x14ac:dyDescent="0.2">
      <c r="A31" s="354" t="s">
        <v>118</v>
      </c>
      <c r="B31" s="351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9"/>
      <c r="R31" s="299">
        <f>'Price List i-Store vs MSS'!$N$25*1</f>
        <v>2050</v>
      </c>
      <c r="S31" s="299">
        <f>'Price List i-Store vs MSS'!$O$25*1</f>
        <v>1400</v>
      </c>
      <c r="T31" s="299">
        <f>'Price List i-Store vs MSS'!$P$25*1</f>
        <v>2000</v>
      </c>
      <c r="U31" s="299">
        <f>'Price List i-Store vs MSS'!$Q$25*1</f>
        <v>2100</v>
      </c>
      <c r="V31" s="299"/>
      <c r="W31" s="299">
        <f>'Price List i-Store vs MSS'!$S$25*1</f>
        <v>1775.7009</v>
      </c>
      <c r="X31" s="299">
        <f>'Price List i-Store vs MSS'!$T$25*1</f>
        <v>1600</v>
      </c>
      <c r="Y31" s="299">
        <f>'Price List i-Store vs MSS'!$U$25*1</f>
        <v>1600</v>
      </c>
    </row>
    <row r="32" spans="1:25" x14ac:dyDescent="0.2">
      <c r="A32" s="349"/>
      <c r="B32" s="352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300"/>
      <c r="R32" s="300">
        <f>'Price List i-Store vs MSS'!$N$25*0.9</f>
        <v>1845</v>
      </c>
      <c r="S32" s="300">
        <f>'Price List i-Store vs MSS'!$O$25*0.8</f>
        <v>1120</v>
      </c>
      <c r="T32" s="300">
        <f>'Price List i-Store vs MSS'!$P$25*0.8</f>
        <v>1600</v>
      </c>
      <c r="U32" s="300">
        <f>'Price List i-Store vs MSS'!$Q$25*0.85</f>
        <v>1785</v>
      </c>
      <c r="V32" s="300"/>
      <c r="W32" s="300">
        <f>'Price List i-Store vs MSS'!$S$25*0.85</f>
        <v>1509.345765</v>
      </c>
      <c r="X32" s="300">
        <f>'Price List i-Store vs MSS'!$T$25*0.85</f>
        <v>1360</v>
      </c>
      <c r="Y32" s="300">
        <f>'Price List i-Store vs MSS'!$U$25*0.85</f>
        <v>1360</v>
      </c>
    </row>
    <row r="33" spans="1:25" x14ac:dyDescent="0.2">
      <c r="A33" s="349"/>
      <c r="B33" s="352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300"/>
      <c r="R33" s="300">
        <f>'Price List i-Store vs MSS'!$N$25*0.85</f>
        <v>1742.5</v>
      </c>
      <c r="S33" s="300">
        <f>'Price List i-Store vs MSS'!$O$25*0.75</f>
        <v>1050</v>
      </c>
      <c r="T33" s="300">
        <f>'Price List i-Store vs MSS'!$P$25*0.75</f>
        <v>1500</v>
      </c>
      <c r="U33" s="300">
        <f>'Price List i-Store vs MSS'!$Q$25*0.8</f>
        <v>1680</v>
      </c>
      <c r="V33" s="300"/>
      <c r="W33" s="300">
        <f>'Price List i-Store vs MSS'!$S$25*0.8</f>
        <v>1420.5607200000002</v>
      </c>
      <c r="X33" s="300">
        <f>'Price List i-Store vs MSS'!$T$25*0.8</f>
        <v>1280</v>
      </c>
      <c r="Y33" s="300">
        <f>'Price List i-Store vs MSS'!$U$25*0.8</f>
        <v>1280</v>
      </c>
    </row>
    <row r="34" spans="1:25" x14ac:dyDescent="0.2">
      <c r="A34" s="349"/>
      <c r="B34" s="352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300"/>
      <c r="R34" s="300">
        <f>'Price List i-Store vs MSS'!$N$25*0.8</f>
        <v>1640</v>
      </c>
      <c r="S34" s="300">
        <f>'Price List i-Store vs MSS'!$O$25*0.7</f>
        <v>979.99999999999989</v>
      </c>
      <c r="T34" s="300">
        <f>'Price List i-Store vs MSS'!$P$25*0.7</f>
        <v>1400</v>
      </c>
      <c r="U34" s="300">
        <f>'Price List i-Store vs MSS'!$Q$25*0.75</f>
        <v>1575</v>
      </c>
      <c r="V34" s="300"/>
      <c r="W34" s="300">
        <f>'Price List i-Store vs MSS'!$S$25*0.75</f>
        <v>1331.7756750000001</v>
      </c>
      <c r="X34" s="300">
        <f>'Price List i-Store vs MSS'!$T$25*0.75</f>
        <v>1200</v>
      </c>
      <c r="Y34" s="300">
        <f>'Price List i-Store vs MSS'!$U$25*0.75</f>
        <v>1200</v>
      </c>
    </row>
    <row r="35" spans="1:25" x14ac:dyDescent="0.2">
      <c r="A35" s="350"/>
      <c r="B35" s="353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301"/>
      <c r="R35" s="301">
        <f>'Price List i-Store vs MSS'!$N$25*0.75</f>
        <v>1537.5</v>
      </c>
      <c r="S35" s="301">
        <f>'Price List i-Store vs MSS'!$O$25*0.65</f>
        <v>910</v>
      </c>
      <c r="T35" s="301">
        <f>'Price List i-Store vs MSS'!$P$25*0.65</f>
        <v>1300</v>
      </c>
      <c r="U35" s="301">
        <f>'Price List i-Store vs MSS'!$Q$25*0.7</f>
        <v>1470</v>
      </c>
      <c r="V35" s="301"/>
      <c r="W35" s="301">
        <f>'Price List i-Store vs MSS'!$S$25*0.7</f>
        <v>1242.99063</v>
      </c>
      <c r="X35" s="301">
        <f>'Price List i-Store vs MSS'!$T$25*0.7</f>
        <v>1120</v>
      </c>
      <c r="Y35" s="301">
        <f>'Price List i-Store vs MSS'!$U$25*0.7</f>
        <v>1120</v>
      </c>
    </row>
    <row r="36" spans="1:25" x14ac:dyDescent="0.2">
      <c r="A36" s="348" t="s">
        <v>52</v>
      </c>
      <c r="B36" s="351">
        <v>2.25</v>
      </c>
      <c r="C36" s="244">
        <v>1</v>
      </c>
      <c r="D36" s="263">
        <f>'Price List i-Store vs MSS'!$C$26-('Price List i-Store vs MSS'!$C$26*'NET ISS vs MSS AC'!D3)</f>
        <v>3700</v>
      </c>
      <c r="E36" s="263">
        <f>'Price List i-Store vs MSS'!$D$26-('Price List i-Store vs MSS'!$D$26*'NET ISS vs MSS AC'!E3)</f>
        <v>3700</v>
      </c>
      <c r="F36" s="263">
        <f>'Price List i-Store vs MSS'!$E$26-('Price List i-Store vs MSS'!$E$26*'NET ISS vs MSS AC'!F3)</f>
        <v>0</v>
      </c>
      <c r="G36" s="263">
        <f>'Price List i-Store vs MSS'!$F$26-('Price List i-Store vs MSS'!$F$26*'NET ISS vs MSS AC'!G3)</f>
        <v>3700</v>
      </c>
      <c r="H36" s="263">
        <f>'Price List i-Store vs MSS'!$G$26-('Price List i-Store vs MSS'!$G$26*'NET ISS vs MSS AC'!H3)</f>
        <v>2590</v>
      </c>
      <c r="I36" s="263">
        <f>'Price List i-Store vs MSS'!$H$26-('Price List i-Store vs MSS'!$H$26*'NET ISS vs MSS AC'!I3)</f>
        <v>2450</v>
      </c>
      <c r="J36" s="263">
        <f>'Price List i-Store vs MSS'!$I$26-('Price List i-Store vs MSS'!$I$26*'NET ISS vs MSS AC'!J3)</f>
        <v>3000</v>
      </c>
      <c r="K36" s="263"/>
      <c r="L36" s="263"/>
      <c r="M36" s="263"/>
      <c r="N36" s="263"/>
      <c r="O36" s="263"/>
      <c r="Q36" s="299"/>
      <c r="R36" s="299">
        <f>'Price List i-Store vs MSS'!$N$26*1</f>
        <v>3000</v>
      </c>
      <c r="S36" s="299">
        <f>'Price List i-Store vs MSS'!$O$26*1</f>
        <v>2200</v>
      </c>
      <c r="T36" s="299">
        <f>'Price List i-Store vs MSS'!$P$26*1</f>
        <v>2600</v>
      </c>
      <c r="U36" s="299">
        <f>'Price List i-Store vs MSS'!$Q$26*1</f>
        <v>2800</v>
      </c>
      <c r="V36" s="299"/>
      <c r="W36" s="299">
        <f>'Price List i-Store vs MSS'!$S$26*1</f>
        <v>2429.9065000000001</v>
      </c>
      <c r="X36" s="299">
        <f>'Price List i-Store vs MSS'!$T$26*1</f>
        <v>2500</v>
      </c>
      <c r="Y36" s="299">
        <f>'Price List i-Store vs MSS'!$U$26*1</f>
        <v>3400</v>
      </c>
    </row>
    <row r="37" spans="1:25" x14ac:dyDescent="0.2">
      <c r="A37" s="349"/>
      <c r="B37" s="352"/>
      <c r="C37" s="245">
        <v>3</v>
      </c>
      <c r="D37" s="264">
        <f>'Price List i-Store vs MSS'!$C$26-('Price List i-Store vs MSS'!$C$26*'NET ISS vs MSS AC'!D4)</f>
        <v>3515</v>
      </c>
      <c r="E37" s="264">
        <f>'Price List i-Store vs MSS'!$D$26-('Price List i-Store vs MSS'!$D$26*'NET ISS vs MSS AC'!E4)</f>
        <v>3515</v>
      </c>
      <c r="F37" s="264">
        <f>'Price List i-Store vs MSS'!$E$26-('Price List i-Store vs MSS'!$E$26*'NET ISS vs MSS AC'!F4)</f>
        <v>0</v>
      </c>
      <c r="G37" s="264">
        <f>'Price List i-Store vs MSS'!$F$26-('Price List i-Store vs MSS'!$F$26*'NET ISS vs MSS AC'!G4)</f>
        <v>3515</v>
      </c>
      <c r="H37" s="264">
        <f>'Price List i-Store vs MSS'!$G$26-('Price List i-Store vs MSS'!$G$26*'NET ISS vs MSS AC'!H4)</f>
        <v>2590</v>
      </c>
      <c r="I37" s="264">
        <f>'Price List i-Store vs MSS'!$H$26-('Price List i-Store vs MSS'!$H$26*'NET ISS vs MSS AC'!I4)</f>
        <v>2450</v>
      </c>
      <c r="J37" s="264">
        <f>'Price List i-Store vs MSS'!$I$26-('Price List i-Store vs MSS'!$I$26*'NET ISS vs MSS AC'!J4)</f>
        <v>2850</v>
      </c>
      <c r="K37" s="264"/>
      <c r="L37" s="264"/>
      <c r="M37" s="264"/>
      <c r="N37" s="264"/>
      <c r="O37" s="264"/>
      <c r="Q37" s="300"/>
      <c r="R37" s="300">
        <f>'Price List i-Store vs MSS'!$N$26*0.9</f>
        <v>2700</v>
      </c>
      <c r="S37" s="300">
        <f>'Price List i-Store vs MSS'!$O$26*0.9</f>
        <v>1980</v>
      </c>
      <c r="T37" s="300">
        <f>'Price List i-Store vs MSS'!$P$26*0.8</f>
        <v>2080</v>
      </c>
      <c r="U37" s="300">
        <f>'Price List i-Store vs MSS'!$Q$26*0.85</f>
        <v>2380</v>
      </c>
      <c r="V37" s="300"/>
      <c r="W37" s="300">
        <f>'Price List i-Store vs MSS'!$S$26*0.85</f>
        <v>2065.420525</v>
      </c>
      <c r="X37" s="300">
        <f>'Price List i-Store vs MSS'!$T$26*0.85</f>
        <v>2125</v>
      </c>
      <c r="Y37" s="300">
        <f>'Price List i-Store vs MSS'!$U$26*0.85</f>
        <v>2890</v>
      </c>
    </row>
    <row r="38" spans="1:25" x14ac:dyDescent="0.2">
      <c r="A38" s="349"/>
      <c r="B38" s="352"/>
      <c r="C38" s="245">
        <v>6</v>
      </c>
      <c r="D38" s="264">
        <f>'Price List i-Store vs MSS'!$C$26-('Price List i-Store vs MSS'!$C$26*'NET ISS vs MSS AC'!D5)</f>
        <v>3330</v>
      </c>
      <c r="E38" s="264">
        <f>'Price List i-Store vs MSS'!$D$26-('Price List i-Store vs MSS'!$D$26*'NET ISS vs MSS AC'!E5)</f>
        <v>3330</v>
      </c>
      <c r="F38" s="264">
        <f>'Price List i-Store vs MSS'!$E$26-('Price List i-Store vs MSS'!$E$26*'NET ISS vs MSS AC'!F5)</f>
        <v>0</v>
      </c>
      <c r="G38" s="264">
        <f>'Price List i-Store vs MSS'!$F$26-('Price List i-Store vs MSS'!$F$26*'NET ISS vs MSS AC'!G5)</f>
        <v>3330</v>
      </c>
      <c r="H38" s="264">
        <f>'Price List i-Store vs MSS'!$G$26-('Price List i-Store vs MSS'!$G$26*'NET ISS vs MSS AC'!H5)</f>
        <v>2590</v>
      </c>
      <c r="I38" s="264">
        <f>'Price List i-Store vs MSS'!$H$26-('Price List i-Store vs MSS'!$H$26*'NET ISS vs MSS AC'!I5)</f>
        <v>2450</v>
      </c>
      <c r="J38" s="264">
        <f>'Price List i-Store vs MSS'!$I$26-('Price List i-Store vs MSS'!$I$26*'NET ISS vs MSS AC'!J5)</f>
        <v>2700</v>
      </c>
      <c r="K38" s="264"/>
      <c r="L38" s="264"/>
      <c r="M38" s="264"/>
      <c r="N38" s="264"/>
      <c r="O38" s="264"/>
      <c r="Q38" s="300"/>
      <c r="R38" s="300">
        <f>'Price List i-Store vs MSS'!$N$26*0.85</f>
        <v>2550</v>
      </c>
      <c r="S38" s="300">
        <f>'Price List i-Store vs MSS'!$O$26*0.85</f>
        <v>1870</v>
      </c>
      <c r="T38" s="300">
        <f>'Price List i-Store vs MSS'!$P$26*0.75</f>
        <v>1950</v>
      </c>
      <c r="U38" s="300">
        <f>'Price List i-Store vs MSS'!$Q$26*0.8</f>
        <v>2240</v>
      </c>
      <c r="V38" s="300"/>
      <c r="W38" s="300">
        <f>'Price List i-Store vs MSS'!$S$26*0.8</f>
        <v>1943.9252000000001</v>
      </c>
      <c r="X38" s="300">
        <f>'Price List i-Store vs MSS'!$T$26*0.8</f>
        <v>2000</v>
      </c>
      <c r="Y38" s="300">
        <f>'Price List i-Store vs MSS'!$U$26*0.8</f>
        <v>2720</v>
      </c>
    </row>
    <row r="39" spans="1:25" x14ac:dyDescent="0.2">
      <c r="A39" s="349"/>
      <c r="B39" s="352"/>
      <c r="C39" s="245">
        <v>9</v>
      </c>
      <c r="D39" s="264">
        <f>'Price List i-Store vs MSS'!$C$26-('Price List i-Store vs MSS'!$C$26*'NET ISS vs MSS AC'!D6)</f>
        <v>3330</v>
      </c>
      <c r="E39" s="264">
        <f>'Price List i-Store vs MSS'!$D$26-('Price List i-Store vs MSS'!$D$26*'NET ISS vs MSS AC'!E6)</f>
        <v>3330</v>
      </c>
      <c r="F39" s="264">
        <f>'Price List i-Store vs MSS'!$E$26-('Price List i-Store vs MSS'!$E$26*'NET ISS vs MSS AC'!F6)</f>
        <v>0</v>
      </c>
      <c r="G39" s="264">
        <f>'Price List i-Store vs MSS'!$F$26-('Price List i-Store vs MSS'!$F$26*'NET ISS vs MSS AC'!G6)</f>
        <v>3330</v>
      </c>
      <c r="H39" s="264">
        <f>'Price List i-Store vs MSS'!$G$26-('Price List i-Store vs MSS'!$G$26*'NET ISS vs MSS AC'!H6)</f>
        <v>2590</v>
      </c>
      <c r="I39" s="264">
        <f>'Price List i-Store vs MSS'!$H$26-('Price List i-Store vs MSS'!$H$26*'NET ISS vs MSS AC'!I6)</f>
        <v>2450</v>
      </c>
      <c r="J39" s="264">
        <f>'Price List i-Store vs MSS'!$I$26-('Price List i-Store vs MSS'!$I$26*'NET ISS vs MSS AC'!J6)</f>
        <v>2700</v>
      </c>
      <c r="K39" s="264"/>
      <c r="L39" s="264"/>
      <c r="M39" s="264"/>
      <c r="N39" s="264"/>
      <c r="O39" s="264"/>
      <c r="Q39" s="300"/>
      <c r="R39" s="300">
        <f>'Price List i-Store vs MSS'!$N$26*0.8</f>
        <v>2400</v>
      </c>
      <c r="S39" s="300">
        <f>'Price List i-Store vs MSS'!$O$26*0.8</f>
        <v>1760</v>
      </c>
      <c r="T39" s="300">
        <f>'Price List i-Store vs MSS'!$P$26*0.7</f>
        <v>1819.9999999999998</v>
      </c>
      <c r="U39" s="300">
        <f>'Price List i-Store vs MSS'!$Q$26*0.75</f>
        <v>2100</v>
      </c>
      <c r="V39" s="300"/>
      <c r="W39" s="300">
        <f>'Price List i-Store vs MSS'!$S$26*0.75</f>
        <v>1822.429875</v>
      </c>
      <c r="X39" s="300">
        <f>'Price List i-Store vs MSS'!$T$26*0.75</f>
        <v>1875</v>
      </c>
      <c r="Y39" s="300">
        <f>'Price List i-Store vs MSS'!$U$26*0.75</f>
        <v>2550</v>
      </c>
    </row>
    <row r="40" spans="1:25" x14ac:dyDescent="0.2">
      <c r="A40" s="350"/>
      <c r="B40" s="353"/>
      <c r="C40" s="246">
        <v>12</v>
      </c>
      <c r="D40" s="265">
        <f>'Price List i-Store vs MSS'!$C$26-('Price List i-Store vs MSS'!$C$26*'NET ISS vs MSS AC'!D7)</f>
        <v>3145</v>
      </c>
      <c r="E40" s="265">
        <f>'Price List i-Store vs MSS'!$D$26-('Price List i-Store vs MSS'!$D$26*'NET ISS vs MSS AC'!E7)</f>
        <v>3145</v>
      </c>
      <c r="F40" s="265">
        <f>'Price List i-Store vs MSS'!$E$26-('Price List i-Store vs MSS'!$E$26*'NET ISS vs MSS AC'!F7)</f>
        <v>0</v>
      </c>
      <c r="G40" s="265">
        <f>'Price List i-Store vs MSS'!$F$26-('Price List i-Store vs MSS'!$F$26*'NET ISS vs MSS AC'!G7)</f>
        <v>3145</v>
      </c>
      <c r="H40" s="265">
        <f>'Price List i-Store vs MSS'!$G$26-('Price List i-Store vs MSS'!$G$26*'NET ISS vs MSS AC'!H7)</f>
        <v>2590</v>
      </c>
      <c r="I40" s="265">
        <f>'Price List i-Store vs MSS'!$H$26-('Price List i-Store vs MSS'!$H$26*'NET ISS vs MSS AC'!I7)</f>
        <v>2450</v>
      </c>
      <c r="J40" s="265">
        <f>'Price List i-Store vs MSS'!$I$26-('Price List i-Store vs MSS'!$I$26*'NET ISS vs MSS AC'!J7)</f>
        <v>2550</v>
      </c>
      <c r="K40" s="265"/>
      <c r="L40" s="265"/>
      <c r="M40" s="265"/>
      <c r="N40" s="265"/>
      <c r="O40" s="265"/>
      <c r="Q40" s="301"/>
      <c r="R40" s="301">
        <f>'Price List i-Store vs MSS'!$N$26*0.75</f>
        <v>2250</v>
      </c>
      <c r="S40" s="301">
        <f>'Price List i-Store vs MSS'!$O$26*0.75</f>
        <v>1650</v>
      </c>
      <c r="T40" s="301">
        <f>'Price List i-Store vs MSS'!$P$26*0.65</f>
        <v>1690</v>
      </c>
      <c r="U40" s="301">
        <f>'Price List i-Store vs MSS'!$Q$26*0.7</f>
        <v>1959.9999999999998</v>
      </c>
      <c r="V40" s="301"/>
      <c r="W40" s="301">
        <f>'Price List i-Store vs MSS'!$S$26*0.7</f>
        <v>1700.9345499999999</v>
      </c>
      <c r="X40" s="301">
        <f>'Price List i-Store vs MSS'!$T$26*0.7</f>
        <v>1750</v>
      </c>
      <c r="Y40" s="301">
        <f>'Price List i-Store vs MSS'!$U$26*0.7</f>
        <v>2380</v>
      </c>
    </row>
    <row r="41" spans="1:25" x14ac:dyDescent="0.2">
      <c r="A41" s="348" t="s">
        <v>64</v>
      </c>
      <c r="B41" s="351">
        <v>3</v>
      </c>
      <c r="C41" s="244">
        <v>1</v>
      </c>
      <c r="D41" s="263">
        <f>'Price List i-Store vs MSS'!$C$27-('Price List i-Store vs MSS'!$C$27*'NET ISS vs MSS AC'!D3)</f>
        <v>4800</v>
      </c>
      <c r="E41" s="263">
        <f>'Price List i-Store vs MSS'!$D$27-('Price List i-Store vs MSS'!$D$27*'NET ISS vs MSS AC'!E3)</f>
        <v>4800</v>
      </c>
      <c r="F41" s="263">
        <f>'Price List i-Store vs MSS'!$E$27-('Price List i-Store vs MSS'!$E$27*'NET ISS vs MSS AC'!F3)</f>
        <v>5300</v>
      </c>
      <c r="G41" s="263">
        <f>'Price List i-Store vs MSS'!$F$27-('Price List i-Store vs MSS'!$F$27*'NET ISS vs MSS AC'!G3)</f>
        <v>4800</v>
      </c>
      <c r="H41" s="263">
        <f>'Price List i-Store vs MSS'!$G$27-('Price List i-Store vs MSS'!$G$27*'NET ISS vs MSS AC'!H3)</f>
        <v>3360</v>
      </c>
      <c r="I41" s="263">
        <f>'Price List i-Store vs MSS'!$H$27-('Price List i-Store vs MSS'!$H$27*'NET ISS vs MSS AC'!I3)</f>
        <v>3150</v>
      </c>
      <c r="J41" s="263">
        <f>'Price List i-Store vs MSS'!$I$27-('Price List i-Store vs MSS'!$I$27*'NET ISS vs MSS AC'!J3)</f>
        <v>4000</v>
      </c>
      <c r="K41" s="263"/>
      <c r="L41" s="263"/>
      <c r="M41" s="263"/>
      <c r="N41" s="263"/>
      <c r="O41" s="263"/>
      <c r="Q41" s="299"/>
      <c r="R41" s="299">
        <f>'Price List i-Store vs MSS'!$N$27*1</f>
        <v>3800</v>
      </c>
      <c r="S41" s="299">
        <f>'Price List i-Store vs MSS'!$O$27*1</f>
        <v>3300</v>
      </c>
      <c r="T41" s="299">
        <f>'Price List i-Store vs MSS'!$P$27*0.6</f>
        <v>2220</v>
      </c>
      <c r="U41" s="299">
        <f>'Price List i-Store vs MSS'!$Q$27*1</f>
        <v>3900</v>
      </c>
      <c r="V41" s="299"/>
      <c r="W41" s="299">
        <f>'Price List i-Store vs MSS'!$S$27*1</f>
        <v>4200</v>
      </c>
      <c r="X41" s="299">
        <f>'Price List i-Store vs MSS'!$T$27*1</f>
        <v>3100</v>
      </c>
      <c r="Y41" s="299">
        <f>'Price List i-Store vs MSS'!$U$27*1</f>
        <v>4300</v>
      </c>
    </row>
    <row r="42" spans="1:25" x14ac:dyDescent="0.2">
      <c r="A42" s="349"/>
      <c r="B42" s="352"/>
      <c r="C42" s="245">
        <v>3</v>
      </c>
      <c r="D42" s="264">
        <f>'Price List i-Store vs MSS'!$C$27-('Price List i-Store vs MSS'!$C$27*'NET ISS vs MSS AC'!D4)</f>
        <v>4560</v>
      </c>
      <c r="E42" s="264">
        <f>'Price List i-Store vs MSS'!$D$27-('Price List i-Store vs MSS'!$D$27*'NET ISS vs MSS AC'!E4)</f>
        <v>4560</v>
      </c>
      <c r="F42" s="264">
        <f>'Price List i-Store vs MSS'!$E$27-('Price List i-Store vs MSS'!$E$27*'NET ISS vs MSS AC'!F4)</f>
        <v>5300</v>
      </c>
      <c r="G42" s="264">
        <f>'Price List i-Store vs MSS'!$F$27-('Price List i-Store vs MSS'!$F$27*'NET ISS vs MSS AC'!G4)</f>
        <v>4560</v>
      </c>
      <c r="H42" s="264">
        <f>'Price List i-Store vs MSS'!$G$27-('Price List i-Store vs MSS'!$G$27*'NET ISS vs MSS AC'!H4)</f>
        <v>3360</v>
      </c>
      <c r="I42" s="264">
        <f>'Price List i-Store vs MSS'!$H$27-('Price List i-Store vs MSS'!$H$27*'NET ISS vs MSS AC'!I4)</f>
        <v>3150</v>
      </c>
      <c r="J42" s="264">
        <f>'Price List i-Store vs MSS'!$I$27-('Price List i-Store vs MSS'!$I$27*'NET ISS vs MSS AC'!J4)</f>
        <v>3800</v>
      </c>
      <c r="K42" s="264"/>
      <c r="L42" s="264"/>
      <c r="M42" s="264"/>
      <c r="N42" s="264"/>
      <c r="O42" s="264"/>
      <c r="Q42" s="300"/>
      <c r="R42" s="300">
        <f>'Price List i-Store vs MSS'!$N$27*0.9</f>
        <v>3420</v>
      </c>
      <c r="S42" s="300">
        <f>'Price List i-Store vs MSS'!$O$27*0.9</f>
        <v>2970</v>
      </c>
      <c r="T42" s="300">
        <f>'Price List i-Store vs MSS'!$P$27*0.6</f>
        <v>2220</v>
      </c>
      <c r="U42" s="300">
        <f>'Price List i-Store vs MSS'!$Q$27*0.85</f>
        <v>3315</v>
      </c>
      <c r="V42" s="300"/>
      <c r="W42" s="300">
        <f>'Price List i-Store vs MSS'!$S$27*0.85</f>
        <v>3570</v>
      </c>
      <c r="X42" s="300">
        <f>'Price List i-Store vs MSS'!$T$27*0.85</f>
        <v>2635</v>
      </c>
      <c r="Y42" s="300">
        <f>'Price List i-Store vs MSS'!$U$27*0.85</f>
        <v>3655</v>
      </c>
    </row>
    <row r="43" spans="1:25" x14ac:dyDescent="0.2">
      <c r="A43" s="349"/>
      <c r="B43" s="352"/>
      <c r="C43" s="245">
        <v>6</v>
      </c>
      <c r="D43" s="264">
        <f>'Price List i-Store vs MSS'!$C$27-('Price List i-Store vs MSS'!$C$27*'NET ISS vs MSS AC'!D5)</f>
        <v>4320</v>
      </c>
      <c r="E43" s="264">
        <f>'Price List i-Store vs MSS'!$D$27-('Price List i-Store vs MSS'!$D$27*'NET ISS vs MSS AC'!E5)</f>
        <v>4320</v>
      </c>
      <c r="F43" s="264">
        <f>'Price List i-Store vs MSS'!$E$27-('Price List i-Store vs MSS'!$E$27*'NET ISS vs MSS AC'!F5)</f>
        <v>5035</v>
      </c>
      <c r="G43" s="264">
        <f>'Price List i-Store vs MSS'!$F$27-('Price List i-Store vs MSS'!$F$27*'NET ISS vs MSS AC'!G5)</f>
        <v>4320</v>
      </c>
      <c r="H43" s="264">
        <f>'Price List i-Store vs MSS'!$G$27-('Price List i-Store vs MSS'!$G$27*'NET ISS vs MSS AC'!H5)</f>
        <v>3360</v>
      </c>
      <c r="I43" s="264">
        <f>'Price List i-Store vs MSS'!$H$27-('Price List i-Store vs MSS'!$H$27*'NET ISS vs MSS AC'!I5)</f>
        <v>3150</v>
      </c>
      <c r="J43" s="264">
        <f>'Price List i-Store vs MSS'!$I$27-('Price List i-Store vs MSS'!$I$27*'NET ISS vs MSS AC'!J5)</f>
        <v>3600</v>
      </c>
      <c r="K43" s="264"/>
      <c r="L43" s="264"/>
      <c r="M43" s="264"/>
      <c r="N43" s="264"/>
      <c r="O43" s="264"/>
      <c r="Q43" s="300"/>
      <c r="R43" s="300">
        <f>'Price List i-Store vs MSS'!$N$27*0.85</f>
        <v>3230</v>
      </c>
      <c r="S43" s="300">
        <f>'Price List i-Store vs MSS'!$O$27*0.85</f>
        <v>2805</v>
      </c>
      <c r="T43" s="300">
        <f>'Price List i-Store vs MSS'!$P$27*0.6</f>
        <v>2220</v>
      </c>
      <c r="U43" s="300">
        <f>'Price List i-Store vs MSS'!$Q$27*0.8</f>
        <v>3120</v>
      </c>
      <c r="V43" s="300"/>
      <c r="W43" s="300">
        <f>'Price List i-Store vs MSS'!$S$27*0.8</f>
        <v>3360</v>
      </c>
      <c r="X43" s="300">
        <f>'Price List i-Store vs MSS'!$T$27*0.8</f>
        <v>2480</v>
      </c>
      <c r="Y43" s="300">
        <f>'Price List i-Store vs MSS'!$U$27*0.8</f>
        <v>3440</v>
      </c>
    </row>
    <row r="44" spans="1:25" x14ac:dyDescent="0.2">
      <c r="A44" s="349"/>
      <c r="B44" s="352"/>
      <c r="C44" s="245">
        <v>9</v>
      </c>
      <c r="D44" s="264">
        <f>'Price List i-Store vs MSS'!$C$27-('Price List i-Store vs MSS'!$C$27*'NET ISS vs MSS AC'!D6)</f>
        <v>4320</v>
      </c>
      <c r="E44" s="264">
        <f>'Price List i-Store vs MSS'!$D$27-('Price List i-Store vs MSS'!$D$27*'NET ISS vs MSS AC'!E6)</f>
        <v>4320</v>
      </c>
      <c r="F44" s="264">
        <f>'Price List i-Store vs MSS'!$E$27-('Price List i-Store vs MSS'!$E$27*'NET ISS vs MSS AC'!F6)</f>
        <v>5035</v>
      </c>
      <c r="G44" s="264">
        <f>'Price List i-Store vs MSS'!$F$27-('Price List i-Store vs MSS'!$F$27*'NET ISS vs MSS AC'!G6)</f>
        <v>4320</v>
      </c>
      <c r="H44" s="264">
        <f>'Price List i-Store vs MSS'!$G$27-('Price List i-Store vs MSS'!$G$27*'NET ISS vs MSS AC'!H6)</f>
        <v>3360</v>
      </c>
      <c r="I44" s="264">
        <f>'Price List i-Store vs MSS'!$H$27-('Price List i-Store vs MSS'!$H$27*'NET ISS vs MSS AC'!I6)</f>
        <v>3150</v>
      </c>
      <c r="J44" s="264">
        <f>'Price List i-Store vs MSS'!$I$27-('Price List i-Store vs MSS'!$I$27*'NET ISS vs MSS AC'!J6)</f>
        <v>3600</v>
      </c>
      <c r="K44" s="264"/>
      <c r="L44" s="264"/>
      <c r="M44" s="264"/>
      <c r="N44" s="264"/>
      <c r="O44" s="264"/>
      <c r="Q44" s="300"/>
      <c r="R44" s="300">
        <f>'Price List i-Store vs MSS'!$N$27*0.8</f>
        <v>3040</v>
      </c>
      <c r="S44" s="300">
        <f>'Price List i-Store vs MSS'!$O$27*0.8</f>
        <v>2640</v>
      </c>
      <c r="T44" s="300">
        <f>'Price List i-Store vs MSS'!$P$27*0.6</f>
        <v>2220</v>
      </c>
      <c r="U44" s="300">
        <f>'Price List i-Store vs MSS'!$Q$27*0.75</f>
        <v>2925</v>
      </c>
      <c r="V44" s="300"/>
      <c r="W44" s="300">
        <f>'Price List i-Store vs MSS'!$S$27*0.75</f>
        <v>3150</v>
      </c>
      <c r="X44" s="300">
        <f>'Price List i-Store vs MSS'!$T$27*0.75</f>
        <v>2325</v>
      </c>
      <c r="Y44" s="300">
        <f>'Price List i-Store vs MSS'!$U$27*0.75</f>
        <v>3225</v>
      </c>
    </row>
    <row r="45" spans="1:25" x14ac:dyDescent="0.2">
      <c r="A45" s="350"/>
      <c r="B45" s="353"/>
      <c r="C45" s="246">
        <v>12</v>
      </c>
      <c r="D45" s="265">
        <f>'Price List i-Store vs MSS'!$C$27-('Price List i-Store vs MSS'!$C$27*'NET ISS vs MSS AC'!D7)</f>
        <v>4080</v>
      </c>
      <c r="E45" s="265">
        <f>'Price List i-Store vs MSS'!$D$27-('Price List i-Store vs MSS'!$D$27*'NET ISS vs MSS AC'!E7)</f>
        <v>4080</v>
      </c>
      <c r="F45" s="265">
        <f>'Price List i-Store vs MSS'!$E$27-('Price List i-Store vs MSS'!$E$27*'NET ISS vs MSS AC'!F7)</f>
        <v>4770</v>
      </c>
      <c r="G45" s="265">
        <f>'Price List i-Store vs MSS'!$F$27-('Price List i-Store vs MSS'!$F$27*'NET ISS vs MSS AC'!G7)</f>
        <v>4080</v>
      </c>
      <c r="H45" s="265">
        <f>'Price List i-Store vs MSS'!$G$27-('Price List i-Store vs MSS'!$G$27*'NET ISS vs MSS AC'!H7)</f>
        <v>3360</v>
      </c>
      <c r="I45" s="265">
        <f>'Price List i-Store vs MSS'!$H$27-('Price List i-Store vs MSS'!$H$27*'NET ISS vs MSS AC'!I7)</f>
        <v>3150</v>
      </c>
      <c r="J45" s="265">
        <f>'Price List i-Store vs MSS'!$I$27-('Price List i-Store vs MSS'!$I$27*'NET ISS vs MSS AC'!J7)</f>
        <v>3400</v>
      </c>
      <c r="K45" s="265"/>
      <c r="L45" s="265"/>
      <c r="M45" s="265"/>
      <c r="N45" s="265"/>
      <c r="O45" s="265"/>
      <c r="Q45" s="301"/>
      <c r="R45" s="301">
        <f>'Price List i-Store vs MSS'!$N$27*0.75</f>
        <v>2850</v>
      </c>
      <c r="S45" s="301">
        <f>'Price List i-Store vs MSS'!$O$27*0.75</f>
        <v>2475</v>
      </c>
      <c r="T45" s="301">
        <f>'Price List i-Store vs MSS'!$P$27*0.6</f>
        <v>2220</v>
      </c>
      <c r="U45" s="301">
        <f>'Price List i-Store vs MSS'!$Q$27*0.7</f>
        <v>2730</v>
      </c>
      <c r="V45" s="301"/>
      <c r="W45" s="301">
        <f>'Price List i-Store vs MSS'!$S$27*0.7</f>
        <v>2940</v>
      </c>
      <c r="X45" s="301">
        <f>'Price List i-Store vs MSS'!$T$27*0.7</f>
        <v>2170</v>
      </c>
      <c r="Y45" s="301">
        <f>'Price List i-Store vs MSS'!$U$27*0.7</f>
        <v>3010</v>
      </c>
    </row>
    <row r="46" spans="1:25" x14ac:dyDescent="0.2">
      <c r="A46" s="348" t="s">
        <v>54</v>
      </c>
      <c r="B46" s="351">
        <v>4.5</v>
      </c>
      <c r="C46" s="244">
        <v>1</v>
      </c>
      <c r="D46" s="263">
        <f>'Price List i-Store vs MSS'!$C$28-('Price List i-Store vs MSS'!$C$28*'NET ISS vs MSS AC'!D3)</f>
        <v>7000</v>
      </c>
      <c r="E46" s="263">
        <f>'Price List i-Store vs MSS'!$D$28-('Price List i-Store vs MSS'!$D$28*'NET ISS vs MSS AC'!E3)</f>
        <v>7000</v>
      </c>
      <c r="F46" s="263">
        <f>'Price List i-Store vs MSS'!$E$28-('Price List i-Store vs MSS'!$E$28*'NET ISS vs MSS AC'!F3)</f>
        <v>7000</v>
      </c>
      <c r="G46" s="263">
        <f>'Price List i-Store vs MSS'!$F$28-('Price List i-Store vs MSS'!$F$28*'NET ISS vs MSS AC'!G3)</f>
        <v>7000</v>
      </c>
      <c r="H46" s="263">
        <f>'Price List i-Store vs MSS'!$G$28-('Price List i-Store vs MSS'!$G$28*'NET ISS vs MSS AC'!H3)</f>
        <v>4900</v>
      </c>
      <c r="I46" s="263">
        <f>'Price List i-Store vs MSS'!$H$28-('Price List i-Store vs MSS'!$H$28*'NET ISS vs MSS AC'!I3)</f>
        <v>4550</v>
      </c>
      <c r="J46" s="263">
        <f>'Price List i-Store vs MSS'!$I$28-('Price List i-Store vs MSS'!$I$28*'NET ISS vs MSS AC'!J3)</f>
        <v>6000</v>
      </c>
      <c r="K46" s="263"/>
      <c r="L46" s="263"/>
      <c r="M46" s="263"/>
      <c r="N46" s="263"/>
      <c r="O46" s="263"/>
      <c r="Q46" s="299"/>
      <c r="R46" s="299">
        <f>'Price List i-Store vs MSS'!$N$28*0.9</f>
        <v>5490</v>
      </c>
      <c r="S46" s="299">
        <f>'Price List i-Store vs MSS'!$O$28*0.9</f>
        <v>4050</v>
      </c>
      <c r="T46" s="299">
        <f>'Price List i-Store vs MSS'!$P$28*0.65</f>
        <v>4030</v>
      </c>
      <c r="U46" s="299">
        <f>'Price List i-Store vs MSS'!$Q$28*1</f>
        <v>5600</v>
      </c>
      <c r="V46" s="299"/>
      <c r="W46" s="299">
        <f>'Price List i-Store vs MSS'!$S$28*0.9</f>
        <v>5400</v>
      </c>
      <c r="X46" s="299">
        <f>'Price List i-Store vs MSS'!$T$28*0.9</f>
        <v>4860</v>
      </c>
      <c r="Y46" s="299">
        <f>'Price List i-Store vs MSS'!$U$28*0.9</f>
        <v>5400</v>
      </c>
    </row>
    <row r="47" spans="1:25" x14ac:dyDescent="0.2">
      <c r="A47" s="349"/>
      <c r="B47" s="352"/>
      <c r="C47" s="245">
        <v>3</v>
      </c>
      <c r="D47" s="264">
        <f>'Price List i-Store vs MSS'!$C$28-('Price List i-Store vs MSS'!$C$28*'NET ISS vs MSS AC'!D4)</f>
        <v>6650</v>
      </c>
      <c r="E47" s="264">
        <f>'Price List i-Store vs MSS'!$D$28-('Price List i-Store vs MSS'!$D$28*'NET ISS vs MSS AC'!E4)</f>
        <v>6650</v>
      </c>
      <c r="F47" s="264">
        <f>'Price List i-Store vs MSS'!$E$28-('Price List i-Store vs MSS'!$E$28*'NET ISS vs MSS AC'!F4)</f>
        <v>7000</v>
      </c>
      <c r="G47" s="264">
        <f>'Price List i-Store vs MSS'!$F$28-('Price List i-Store vs MSS'!$F$28*'NET ISS vs MSS AC'!G4)</f>
        <v>6650</v>
      </c>
      <c r="H47" s="264">
        <f>'Price List i-Store vs MSS'!$G$28-('Price List i-Store vs MSS'!$G$28*'NET ISS vs MSS AC'!H4)</f>
        <v>4900</v>
      </c>
      <c r="I47" s="264">
        <f>'Price List i-Store vs MSS'!$H$28-('Price List i-Store vs MSS'!$H$28*'NET ISS vs MSS AC'!I4)</f>
        <v>4550</v>
      </c>
      <c r="J47" s="264">
        <f>'Price List i-Store vs MSS'!$I$28-('Price List i-Store vs MSS'!$I$28*'NET ISS vs MSS AC'!J4)</f>
        <v>5700</v>
      </c>
      <c r="K47" s="264"/>
      <c r="L47" s="264"/>
      <c r="M47" s="264"/>
      <c r="N47" s="264"/>
      <c r="O47" s="264"/>
      <c r="Q47" s="300"/>
      <c r="R47" s="300">
        <f>'Price List i-Store vs MSS'!$N$28*0.85</f>
        <v>5185</v>
      </c>
      <c r="S47" s="300">
        <f>'Price List i-Store vs MSS'!$O$28*0.85</f>
        <v>3825</v>
      </c>
      <c r="T47" s="300">
        <f>'Price List i-Store vs MSS'!$P$28*0.65</f>
        <v>4030</v>
      </c>
      <c r="U47" s="300">
        <f>'Price List i-Store vs MSS'!$Q$28*0.85</f>
        <v>4760</v>
      </c>
      <c r="V47" s="300"/>
      <c r="W47" s="300">
        <f>'Price List i-Store vs MSS'!$S$28*0.85</f>
        <v>5100</v>
      </c>
      <c r="X47" s="300">
        <f>'Price List i-Store vs MSS'!$T$28*0.75</f>
        <v>4050</v>
      </c>
      <c r="Y47" s="300">
        <f>'Price List i-Store vs MSS'!$U$28*0.75</f>
        <v>4500</v>
      </c>
    </row>
    <row r="48" spans="1:25" x14ac:dyDescent="0.2">
      <c r="A48" s="349"/>
      <c r="B48" s="352"/>
      <c r="C48" s="245">
        <v>6</v>
      </c>
      <c r="D48" s="264">
        <f>'Price List i-Store vs MSS'!$C$28-('Price List i-Store vs MSS'!$C$28*'NET ISS vs MSS AC'!D5)</f>
        <v>6300</v>
      </c>
      <c r="E48" s="264">
        <f>'Price List i-Store vs MSS'!$D$28-('Price List i-Store vs MSS'!$D$28*'NET ISS vs MSS AC'!E5)</f>
        <v>6300</v>
      </c>
      <c r="F48" s="264">
        <f>'Price List i-Store vs MSS'!$E$28-('Price List i-Store vs MSS'!$E$28*'NET ISS vs MSS AC'!F5)</f>
        <v>6650</v>
      </c>
      <c r="G48" s="264">
        <f>'Price List i-Store vs MSS'!$F$28-('Price List i-Store vs MSS'!$F$28*'NET ISS vs MSS AC'!G5)</f>
        <v>6300</v>
      </c>
      <c r="H48" s="264">
        <f>'Price List i-Store vs MSS'!$G$28-('Price List i-Store vs MSS'!$G$28*'NET ISS vs MSS AC'!H5)</f>
        <v>4900</v>
      </c>
      <c r="I48" s="264">
        <f>'Price List i-Store vs MSS'!$H$28-('Price List i-Store vs MSS'!$H$28*'NET ISS vs MSS AC'!I5)</f>
        <v>4550</v>
      </c>
      <c r="J48" s="264">
        <f>'Price List i-Store vs MSS'!$I$28-('Price List i-Store vs MSS'!$I$28*'NET ISS vs MSS AC'!J5)</f>
        <v>5400</v>
      </c>
      <c r="K48" s="264"/>
      <c r="L48" s="264"/>
      <c r="M48" s="264"/>
      <c r="N48" s="264"/>
      <c r="O48" s="264"/>
      <c r="Q48" s="300"/>
      <c r="R48" s="300">
        <f>'Price List i-Store vs MSS'!$N$28*0.8</f>
        <v>4880</v>
      </c>
      <c r="S48" s="300">
        <f>'Price List i-Store vs MSS'!$O$28*0.8</f>
        <v>3600</v>
      </c>
      <c r="T48" s="300">
        <f>'Price List i-Store vs MSS'!$P$28*0.65</f>
        <v>4030</v>
      </c>
      <c r="U48" s="300">
        <f>'Price List i-Store vs MSS'!$Q$28*0.8</f>
        <v>4480</v>
      </c>
      <c r="V48" s="300"/>
      <c r="W48" s="300">
        <f>'Price List i-Store vs MSS'!$S$28*0.8</f>
        <v>4800</v>
      </c>
      <c r="X48" s="300">
        <f>'Price List i-Store vs MSS'!$T$28*0.7</f>
        <v>3779.9999999999995</v>
      </c>
      <c r="Y48" s="300">
        <f>'Price List i-Store vs MSS'!$U$28*0.7</f>
        <v>4200</v>
      </c>
    </row>
    <row r="49" spans="1:25" x14ac:dyDescent="0.2">
      <c r="A49" s="349"/>
      <c r="B49" s="352"/>
      <c r="C49" s="245">
        <v>9</v>
      </c>
      <c r="D49" s="264">
        <f>'Price List i-Store vs MSS'!$C$28-('Price List i-Store vs MSS'!$C$28*'NET ISS vs MSS AC'!D6)</f>
        <v>6300</v>
      </c>
      <c r="E49" s="264">
        <f>'Price List i-Store vs MSS'!$D$28-('Price List i-Store vs MSS'!$D$28*'NET ISS vs MSS AC'!E6)</f>
        <v>6300</v>
      </c>
      <c r="F49" s="264">
        <f>'Price List i-Store vs MSS'!$E$28-('Price List i-Store vs MSS'!$E$28*'NET ISS vs MSS AC'!F6)</f>
        <v>6650</v>
      </c>
      <c r="G49" s="264">
        <f>'Price List i-Store vs MSS'!$F$28-('Price List i-Store vs MSS'!$F$28*'NET ISS vs MSS AC'!G6)</f>
        <v>6300</v>
      </c>
      <c r="H49" s="264">
        <f>'Price List i-Store vs MSS'!$G$28-('Price List i-Store vs MSS'!$G$28*'NET ISS vs MSS AC'!H6)</f>
        <v>4900</v>
      </c>
      <c r="I49" s="264">
        <f>'Price List i-Store vs MSS'!$H$28-('Price List i-Store vs MSS'!$H$28*'NET ISS vs MSS AC'!I6)</f>
        <v>4550</v>
      </c>
      <c r="J49" s="264">
        <f>'Price List i-Store vs MSS'!$I$28-('Price List i-Store vs MSS'!$I$28*'NET ISS vs MSS AC'!J6)</f>
        <v>5400</v>
      </c>
      <c r="K49" s="264"/>
      <c r="L49" s="264"/>
      <c r="M49" s="264"/>
      <c r="N49" s="264"/>
      <c r="O49" s="264"/>
      <c r="Q49" s="300"/>
      <c r="R49" s="300">
        <f>'Price List i-Store vs MSS'!$N$28*0.75</f>
        <v>4575</v>
      </c>
      <c r="S49" s="300">
        <f>'Price List i-Store vs MSS'!$O$28*0.75</f>
        <v>3375</v>
      </c>
      <c r="T49" s="300">
        <f>'Price List i-Store vs MSS'!$P$28*0.65</f>
        <v>4030</v>
      </c>
      <c r="U49" s="300">
        <f>'Price List i-Store vs MSS'!$Q$28*0.75</f>
        <v>4200</v>
      </c>
      <c r="V49" s="300"/>
      <c r="W49" s="300">
        <f>'Price List i-Store vs MSS'!$S$28*0.75</f>
        <v>4500</v>
      </c>
      <c r="X49" s="300">
        <f>'Price List i-Store vs MSS'!$T$28*0.665</f>
        <v>3591</v>
      </c>
      <c r="Y49" s="300">
        <f>'Price List i-Store vs MSS'!$U$28*0.65</f>
        <v>3900</v>
      </c>
    </row>
    <row r="50" spans="1:25" x14ac:dyDescent="0.2">
      <c r="A50" s="350"/>
      <c r="B50" s="353"/>
      <c r="C50" s="246">
        <v>12</v>
      </c>
      <c r="D50" s="265">
        <f>'Price List i-Store vs MSS'!$C$28-('Price List i-Store vs MSS'!$C$28*'NET ISS vs MSS AC'!D7)</f>
        <v>5950</v>
      </c>
      <c r="E50" s="265">
        <f>'Price List i-Store vs MSS'!$D$28-('Price List i-Store vs MSS'!$D$28*'NET ISS vs MSS AC'!E7)</f>
        <v>5950</v>
      </c>
      <c r="F50" s="265">
        <f>'Price List i-Store vs MSS'!$E$28-('Price List i-Store vs MSS'!$E$28*'NET ISS vs MSS AC'!F7)</f>
        <v>6300</v>
      </c>
      <c r="G50" s="265">
        <f>'Price List i-Store vs MSS'!$F$28-('Price List i-Store vs MSS'!$F$28*'NET ISS vs MSS AC'!G7)</f>
        <v>5950</v>
      </c>
      <c r="H50" s="265">
        <f>'Price List i-Store vs MSS'!$G$28-('Price List i-Store vs MSS'!$G$28*'NET ISS vs MSS AC'!H7)</f>
        <v>4900</v>
      </c>
      <c r="I50" s="265">
        <f>'Price List i-Store vs MSS'!$H$28-('Price List i-Store vs MSS'!$H$28*'NET ISS vs MSS AC'!I7)</f>
        <v>4550</v>
      </c>
      <c r="J50" s="265">
        <f>'Price List i-Store vs MSS'!$I$28-('Price List i-Store vs MSS'!$I$28*'NET ISS vs MSS AC'!J7)</f>
        <v>5100</v>
      </c>
      <c r="K50" s="265"/>
      <c r="L50" s="265"/>
      <c r="M50" s="265"/>
      <c r="N50" s="265"/>
      <c r="O50" s="265"/>
      <c r="Q50" s="301"/>
      <c r="R50" s="301">
        <f>'Price List i-Store vs MSS'!$N$28*0.7</f>
        <v>4270</v>
      </c>
      <c r="S50" s="301">
        <f>'Price List i-Store vs MSS'!$O$28*0.7</f>
        <v>3150</v>
      </c>
      <c r="T50" s="301">
        <f>'Price List i-Store vs MSS'!$P$28*0.65</f>
        <v>4030</v>
      </c>
      <c r="U50" s="301">
        <f>'Price List i-Store vs MSS'!$Q$28*0.7</f>
        <v>3919.9999999999995</v>
      </c>
      <c r="V50" s="301"/>
      <c r="W50" s="301">
        <f>'Price List i-Store vs MSS'!$S$28*0.7</f>
        <v>4200</v>
      </c>
      <c r="X50" s="301">
        <f>'Price List i-Store vs MSS'!$T$28*0.6</f>
        <v>3240</v>
      </c>
      <c r="Y50" s="301">
        <f>'Price List i-Store vs MSS'!$U$28*0.6</f>
        <v>3600</v>
      </c>
    </row>
    <row r="51" spans="1:25" x14ac:dyDescent="0.2">
      <c r="A51" s="348" t="s">
        <v>55</v>
      </c>
      <c r="B51" s="351">
        <v>6</v>
      </c>
      <c r="C51" s="244">
        <v>1</v>
      </c>
      <c r="D51" s="263">
        <f>'Price List i-Store vs MSS'!$C$29-('Price List i-Store vs MSS'!$C$29*'NET ISS vs MSS AC'!D3)</f>
        <v>8500</v>
      </c>
      <c r="E51" s="263">
        <f>'Price List i-Store vs MSS'!$D$29-('Price List i-Store vs MSS'!$D$29*'NET ISS vs MSS AC'!E3)</f>
        <v>8500</v>
      </c>
      <c r="F51" s="263">
        <f>'Price List i-Store vs MSS'!$E$29-('Price List i-Store vs MSS'!$E$29*'NET ISS vs MSS AC'!F3)</f>
        <v>8500</v>
      </c>
      <c r="G51" s="263">
        <f>'Price List i-Store vs MSS'!$F$29-('Price List i-Store vs MSS'!$F$29*'NET ISS vs MSS AC'!G3)</f>
        <v>8500</v>
      </c>
      <c r="H51" s="263">
        <f>'Price List i-Store vs MSS'!$G$29-('Price List i-Store vs MSS'!$G$29*'NET ISS vs MSS AC'!H3)</f>
        <v>5950</v>
      </c>
      <c r="I51" s="263">
        <f>'Price List i-Store vs MSS'!$H$29-('Price List i-Store vs MSS'!$H$29*'NET ISS vs MSS AC'!I3)</f>
        <v>5600</v>
      </c>
      <c r="J51" s="263">
        <f>'Price List i-Store vs MSS'!$I$29-('Price List i-Store vs MSS'!$I$29*'NET ISS vs MSS AC'!J3)</f>
        <v>7000</v>
      </c>
      <c r="K51" s="263"/>
      <c r="L51" s="263"/>
      <c r="M51" s="263"/>
      <c r="N51" s="263"/>
      <c r="O51" s="263"/>
      <c r="Q51" s="299"/>
      <c r="R51" s="299">
        <f>'Price List i-Store vs MSS'!$N$29*0.9</f>
        <v>6480</v>
      </c>
      <c r="S51" s="299">
        <f>'Price List i-Store vs MSS'!$O$29*0.9</f>
        <v>6300</v>
      </c>
      <c r="T51" s="299">
        <f>'Price List i-Store vs MSS'!$P$29*0.65</f>
        <v>4680</v>
      </c>
      <c r="U51" s="299">
        <f>'Price List i-Store vs MSS'!$Q$29*1</f>
        <v>7533.333333333333</v>
      </c>
      <c r="V51" s="299"/>
      <c r="W51" s="299">
        <f>'Price List i-Store vs MSS'!$S$29*0.6</f>
        <v>3960</v>
      </c>
      <c r="X51" s="299">
        <f>'Price List i-Store vs MSS'!$T$29*0.9</f>
        <v>6480</v>
      </c>
      <c r="Y51" s="299">
        <f>'Price List i-Store vs MSS'!$U$29*0.9</f>
        <v>5940</v>
      </c>
    </row>
    <row r="52" spans="1:25" x14ac:dyDescent="0.2">
      <c r="A52" s="349"/>
      <c r="B52" s="352"/>
      <c r="C52" s="245">
        <v>3</v>
      </c>
      <c r="D52" s="264">
        <f>'Price List i-Store vs MSS'!$C$29-('Price List i-Store vs MSS'!$C$29*'NET ISS vs MSS AC'!D4)</f>
        <v>8075</v>
      </c>
      <c r="E52" s="264">
        <f>'Price List i-Store vs MSS'!$D$29-('Price List i-Store vs MSS'!$D$29*'NET ISS vs MSS AC'!E4)</f>
        <v>8075</v>
      </c>
      <c r="F52" s="264">
        <f>'Price List i-Store vs MSS'!$E$29-('Price List i-Store vs MSS'!$E$29*'NET ISS vs MSS AC'!F4)</f>
        <v>8500</v>
      </c>
      <c r="G52" s="264">
        <f>'Price List i-Store vs MSS'!$F$29-('Price List i-Store vs MSS'!$F$29*'NET ISS vs MSS AC'!G4)</f>
        <v>8075</v>
      </c>
      <c r="H52" s="264">
        <f>'Price List i-Store vs MSS'!$G$29-('Price List i-Store vs MSS'!$G$29*'NET ISS vs MSS AC'!H4)</f>
        <v>5950</v>
      </c>
      <c r="I52" s="264">
        <f>'Price List i-Store vs MSS'!$H$29-('Price List i-Store vs MSS'!$H$29*'NET ISS vs MSS AC'!I4)</f>
        <v>5600</v>
      </c>
      <c r="J52" s="264">
        <f>'Price List i-Store vs MSS'!$I$29-('Price List i-Store vs MSS'!$I$29*'NET ISS vs MSS AC'!J4)</f>
        <v>6650</v>
      </c>
      <c r="K52" s="264"/>
      <c r="L52" s="264"/>
      <c r="M52" s="264"/>
      <c r="N52" s="264"/>
      <c r="O52" s="264"/>
      <c r="Q52" s="300"/>
      <c r="R52" s="300">
        <f>'Price List i-Store vs MSS'!$N$29*0.85</f>
        <v>6120</v>
      </c>
      <c r="S52" s="300">
        <f>'Price List i-Store vs MSS'!$O$29*0.85</f>
        <v>5950</v>
      </c>
      <c r="T52" s="300">
        <f>'Price List i-Store vs MSS'!$P$29*0.65</f>
        <v>4680</v>
      </c>
      <c r="U52" s="300">
        <f>'Price List i-Store vs MSS'!$Q$29*0.85</f>
        <v>6403.333333333333</v>
      </c>
      <c r="V52" s="300"/>
      <c r="W52" s="300">
        <f>'Price List i-Store vs MSS'!$S$29*0.6</f>
        <v>3960</v>
      </c>
      <c r="X52" s="300">
        <f>'Price List i-Store vs MSS'!$T$29*0.75</f>
        <v>5400</v>
      </c>
      <c r="Y52" s="300">
        <f>'Price List i-Store vs MSS'!$U$29*0.75</f>
        <v>4950</v>
      </c>
    </row>
    <row r="53" spans="1:25" x14ac:dyDescent="0.2">
      <c r="A53" s="349"/>
      <c r="B53" s="352"/>
      <c r="C53" s="245">
        <v>6</v>
      </c>
      <c r="D53" s="264">
        <f>'Price List i-Store vs MSS'!$C$29-('Price List i-Store vs MSS'!$C$29*'NET ISS vs MSS AC'!D5)</f>
        <v>7650</v>
      </c>
      <c r="E53" s="264">
        <f>'Price List i-Store vs MSS'!$D$29-('Price List i-Store vs MSS'!$D$29*'NET ISS vs MSS AC'!E5)</f>
        <v>7650</v>
      </c>
      <c r="F53" s="264">
        <f>'Price List i-Store vs MSS'!$E$29-('Price List i-Store vs MSS'!$E$29*'NET ISS vs MSS AC'!F5)</f>
        <v>8075</v>
      </c>
      <c r="G53" s="264">
        <f>'Price List i-Store vs MSS'!$F$29-('Price List i-Store vs MSS'!$F$29*'NET ISS vs MSS AC'!G5)</f>
        <v>7650</v>
      </c>
      <c r="H53" s="264">
        <f>'Price List i-Store vs MSS'!$G$29-('Price List i-Store vs MSS'!$G$29*'NET ISS vs MSS AC'!H5)</f>
        <v>5950</v>
      </c>
      <c r="I53" s="264">
        <f>'Price List i-Store vs MSS'!$H$29-('Price List i-Store vs MSS'!$H$29*'NET ISS vs MSS AC'!I5)</f>
        <v>5600</v>
      </c>
      <c r="J53" s="264">
        <f>'Price List i-Store vs MSS'!$I$29-('Price List i-Store vs MSS'!$I$29*'NET ISS vs MSS AC'!J5)</f>
        <v>6300</v>
      </c>
      <c r="K53" s="264"/>
      <c r="L53" s="264"/>
      <c r="M53" s="264"/>
      <c r="N53" s="264"/>
      <c r="O53" s="264"/>
      <c r="Q53" s="300"/>
      <c r="R53" s="300">
        <f>'Price List i-Store vs MSS'!$N$29*0.8</f>
        <v>5760</v>
      </c>
      <c r="S53" s="300">
        <f>'Price List i-Store vs MSS'!$O$29*0.8</f>
        <v>5600</v>
      </c>
      <c r="T53" s="300">
        <f>'Price List i-Store vs MSS'!$P$29*0.65</f>
        <v>4680</v>
      </c>
      <c r="U53" s="300">
        <f>'Price List i-Store vs MSS'!$Q$29*0.8</f>
        <v>6026.666666666667</v>
      </c>
      <c r="V53" s="300"/>
      <c r="W53" s="300">
        <f>'Price List i-Store vs MSS'!$S$29*0.6</f>
        <v>3960</v>
      </c>
      <c r="X53" s="300">
        <f>'Price List i-Store vs MSS'!$T$29*0.7</f>
        <v>5040</v>
      </c>
      <c r="Y53" s="300">
        <f>'Price List i-Store vs MSS'!$U$29*0.7</f>
        <v>4620</v>
      </c>
    </row>
    <row r="54" spans="1:25" x14ac:dyDescent="0.2">
      <c r="A54" s="349"/>
      <c r="B54" s="352"/>
      <c r="C54" s="245">
        <v>9</v>
      </c>
      <c r="D54" s="264">
        <f>'Price List i-Store vs MSS'!$C$29-('Price List i-Store vs MSS'!$C$29*'NET ISS vs MSS AC'!D6)</f>
        <v>7650</v>
      </c>
      <c r="E54" s="264">
        <f>'Price List i-Store vs MSS'!$D$29-('Price List i-Store vs MSS'!$D$29*'NET ISS vs MSS AC'!E6)</f>
        <v>7650</v>
      </c>
      <c r="F54" s="264">
        <f>'Price List i-Store vs MSS'!$E$29-('Price List i-Store vs MSS'!$E$29*'NET ISS vs MSS AC'!F6)</f>
        <v>8075</v>
      </c>
      <c r="G54" s="264">
        <f>'Price List i-Store vs MSS'!$F$29-('Price List i-Store vs MSS'!$F$29*'NET ISS vs MSS AC'!G6)</f>
        <v>7650</v>
      </c>
      <c r="H54" s="264">
        <f>'Price List i-Store vs MSS'!$G$29-('Price List i-Store vs MSS'!$G$29*'NET ISS vs MSS AC'!H6)</f>
        <v>5950</v>
      </c>
      <c r="I54" s="264">
        <f>'Price List i-Store vs MSS'!$H$29-('Price List i-Store vs MSS'!$H$29*'NET ISS vs MSS AC'!I6)</f>
        <v>5600</v>
      </c>
      <c r="J54" s="264">
        <f>'Price List i-Store vs MSS'!$I$29-('Price List i-Store vs MSS'!$I$29*'NET ISS vs MSS AC'!J6)</f>
        <v>6300</v>
      </c>
      <c r="K54" s="264"/>
      <c r="L54" s="264"/>
      <c r="M54" s="264"/>
      <c r="N54" s="264"/>
      <c r="O54" s="264"/>
      <c r="Q54" s="300"/>
      <c r="R54" s="300">
        <f>'Price List i-Store vs MSS'!$N$29*0.75</f>
        <v>5400</v>
      </c>
      <c r="S54" s="300">
        <f>'Price List i-Store vs MSS'!$O$29*0.75</f>
        <v>5250</v>
      </c>
      <c r="T54" s="300">
        <f>'Price List i-Store vs MSS'!$P$29*0.65</f>
        <v>4680</v>
      </c>
      <c r="U54" s="300">
        <f>'Price List i-Store vs MSS'!$Q$29*0.75</f>
        <v>5650</v>
      </c>
      <c r="V54" s="300"/>
      <c r="W54" s="300">
        <f>'Price List i-Store vs MSS'!$S$29*0.6</f>
        <v>3960</v>
      </c>
      <c r="X54" s="300">
        <f>'Price List i-Store vs MSS'!$T$29*0.65</f>
        <v>4680</v>
      </c>
      <c r="Y54" s="300">
        <f>'Price List i-Store vs MSS'!$U$29*0.65</f>
        <v>4290</v>
      </c>
    </row>
    <row r="55" spans="1:25" x14ac:dyDescent="0.2">
      <c r="A55" s="350"/>
      <c r="B55" s="353"/>
      <c r="C55" s="246">
        <v>12</v>
      </c>
      <c r="D55" s="265">
        <f>'Price List i-Store vs MSS'!$C$29-('Price List i-Store vs MSS'!$C$29*'NET ISS vs MSS AC'!D7)</f>
        <v>7225</v>
      </c>
      <c r="E55" s="265">
        <f>'Price List i-Store vs MSS'!$D$29-('Price List i-Store vs MSS'!$D$29*'NET ISS vs MSS AC'!E7)</f>
        <v>7225</v>
      </c>
      <c r="F55" s="265">
        <f>'Price List i-Store vs MSS'!$E$29-('Price List i-Store vs MSS'!$E$29*'NET ISS vs MSS AC'!F7)</f>
        <v>7650</v>
      </c>
      <c r="G55" s="265">
        <f>'Price List i-Store vs MSS'!$F$29-('Price List i-Store vs MSS'!$F$29*'NET ISS vs MSS AC'!G7)</f>
        <v>7225</v>
      </c>
      <c r="H55" s="265">
        <f>'Price List i-Store vs MSS'!$G$29-('Price List i-Store vs MSS'!$G$29*'NET ISS vs MSS AC'!H7)</f>
        <v>5950</v>
      </c>
      <c r="I55" s="265">
        <f>'Price List i-Store vs MSS'!$H$29-('Price List i-Store vs MSS'!$H$29*'NET ISS vs MSS AC'!I7)</f>
        <v>5600</v>
      </c>
      <c r="J55" s="265">
        <f>'Price List i-Store vs MSS'!$I$29-('Price List i-Store vs MSS'!$I$29*'NET ISS vs MSS AC'!J7)</f>
        <v>5950</v>
      </c>
      <c r="K55" s="265"/>
      <c r="L55" s="265"/>
      <c r="M55" s="265"/>
      <c r="N55" s="265"/>
      <c r="O55" s="265"/>
      <c r="Q55" s="301"/>
      <c r="R55" s="301">
        <f>'Price List i-Store vs MSS'!$N$29*0.7</f>
        <v>5040</v>
      </c>
      <c r="S55" s="301">
        <f>'Price List i-Store vs MSS'!$O$29*0.7</f>
        <v>4900</v>
      </c>
      <c r="T55" s="301">
        <f>'Price List i-Store vs MSS'!$P$29*0.65</f>
        <v>4680</v>
      </c>
      <c r="U55" s="301">
        <f>'Price List i-Store vs MSS'!$Q$29*0.7</f>
        <v>5273.333333333333</v>
      </c>
      <c r="V55" s="301"/>
      <c r="W55" s="301">
        <f>'Price List i-Store vs MSS'!$S$29*0.6</f>
        <v>3960</v>
      </c>
      <c r="X55" s="301">
        <f>'Price List i-Store vs MSS'!$T$29*0.6</f>
        <v>4320</v>
      </c>
      <c r="Y55" s="301">
        <f>'Price List i-Store vs MSS'!$U$29*0.6</f>
        <v>3960</v>
      </c>
    </row>
    <row r="56" spans="1:25" x14ac:dyDescent="0.2">
      <c r="A56" s="348" t="s">
        <v>56</v>
      </c>
      <c r="B56" s="351">
        <v>9</v>
      </c>
      <c r="C56" s="244">
        <v>1</v>
      </c>
      <c r="D56" s="263">
        <f>'Price List i-Store vs MSS'!$C$30-('Price List i-Store vs MSS'!$C$30*'NET ISS vs MSS AC'!D3)</f>
        <v>12000</v>
      </c>
      <c r="E56" s="263">
        <f>'Price List i-Store vs MSS'!$D$30-('Price List i-Store vs MSS'!$D$30*'NET ISS vs MSS AC'!E3)</f>
        <v>12000</v>
      </c>
      <c r="F56" s="263">
        <f>'Price List i-Store vs MSS'!$E$30-('Price List i-Store vs MSS'!$E$30*'NET ISS vs MSS AC'!F3)</f>
        <v>12000</v>
      </c>
      <c r="G56" s="263">
        <f>'Price List i-Store vs MSS'!$F$30-('Price List i-Store vs MSS'!$F$30*'NET ISS vs MSS AC'!G3)</f>
        <v>12000</v>
      </c>
      <c r="H56" s="263">
        <f>'Price List i-Store vs MSS'!$G$30-('Price List i-Store vs MSS'!$G$30*'NET ISS vs MSS AC'!H3)</f>
        <v>8400</v>
      </c>
      <c r="I56" s="263">
        <f>'Price List i-Store vs MSS'!$H$30-('Price List i-Store vs MSS'!$H$30*'NET ISS vs MSS AC'!I3)</f>
        <v>7700</v>
      </c>
      <c r="J56" s="263">
        <f>'Price List i-Store vs MSS'!$I$30-('Price List i-Store vs MSS'!$I$30*'NET ISS vs MSS AC'!J3)</f>
        <v>11000</v>
      </c>
      <c r="K56" s="263"/>
      <c r="L56" s="263"/>
      <c r="M56" s="263"/>
      <c r="N56" s="263"/>
      <c r="O56" s="263"/>
      <c r="Q56" s="299"/>
      <c r="R56" s="299">
        <f>'Price List i-Store vs MSS'!$N$30*0.9</f>
        <v>10800</v>
      </c>
      <c r="S56" s="299"/>
      <c r="T56" s="299">
        <f>'Price List i-Store vs MSS'!$P$30*0.65</f>
        <v>7150</v>
      </c>
      <c r="U56" s="299">
        <f>'Price List i-Store vs MSS'!$Q$30*1</f>
        <v>11000</v>
      </c>
      <c r="V56" s="299"/>
      <c r="W56" s="299">
        <f>'Price List i-Store vs MSS'!$S$30*0.6</f>
        <v>6728.9719799999993</v>
      </c>
      <c r="X56" s="299">
        <f>'Price List i-Store vs MSS'!$T$30*0.9</f>
        <v>10080</v>
      </c>
      <c r="Y56" s="299">
        <f>'Price List i-Store vs MSS'!$U$30*0.9</f>
        <v>10350</v>
      </c>
    </row>
    <row r="57" spans="1:25" x14ac:dyDescent="0.2">
      <c r="A57" s="349"/>
      <c r="B57" s="352"/>
      <c r="C57" s="245">
        <v>3</v>
      </c>
      <c r="D57" s="264">
        <f>'Price List i-Store vs MSS'!$C$30-('Price List i-Store vs MSS'!$C$30*'NET ISS vs MSS AC'!D4)</f>
        <v>11400</v>
      </c>
      <c r="E57" s="264">
        <f>'Price List i-Store vs MSS'!$D$30-('Price List i-Store vs MSS'!$D$30*'NET ISS vs MSS AC'!E4)</f>
        <v>11400</v>
      </c>
      <c r="F57" s="264">
        <f>'Price List i-Store vs MSS'!$E$30-('Price List i-Store vs MSS'!$E$30*'NET ISS vs MSS AC'!F4)</f>
        <v>12000</v>
      </c>
      <c r="G57" s="264">
        <f>'Price List i-Store vs MSS'!$F$30-('Price List i-Store vs MSS'!$F$30*'NET ISS vs MSS AC'!G4)</f>
        <v>11400</v>
      </c>
      <c r="H57" s="264">
        <f>'Price List i-Store vs MSS'!$G$30-('Price List i-Store vs MSS'!$G$30*'NET ISS vs MSS AC'!H4)</f>
        <v>8400</v>
      </c>
      <c r="I57" s="264">
        <f>'Price List i-Store vs MSS'!$H$30-('Price List i-Store vs MSS'!$H$30*'NET ISS vs MSS AC'!I4)</f>
        <v>7700</v>
      </c>
      <c r="J57" s="264">
        <f>'Price List i-Store vs MSS'!$I$30-('Price List i-Store vs MSS'!$I$30*'NET ISS vs MSS AC'!J4)</f>
        <v>10450</v>
      </c>
      <c r="K57" s="264"/>
      <c r="L57" s="264"/>
      <c r="M57" s="264"/>
      <c r="N57" s="264"/>
      <c r="O57" s="264"/>
      <c r="Q57" s="300"/>
      <c r="R57" s="300">
        <f>'Price List i-Store vs MSS'!$N$30*0.85</f>
        <v>10200</v>
      </c>
      <c r="S57" s="300"/>
      <c r="T57" s="300">
        <f>'Price List i-Store vs MSS'!$P$30*0.65</f>
        <v>7150</v>
      </c>
      <c r="U57" s="300">
        <f>'Price List i-Store vs MSS'!$Q$30*0.85</f>
        <v>9350</v>
      </c>
      <c r="V57" s="300"/>
      <c r="W57" s="300">
        <f>'Price List i-Store vs MSS'!$S$30*0.6</f>
        <v>6728.9719799999993</v>
      </c>
      <c r="X57" s="300">
        <f>'Price List i-Store vs MSS'!$T$30*0.75</f>
        <v>8400</v>
      </c>
      <c r="Y57" s="300">
        <f>'Price List i-Store vs MSS'!$U$30*0.75</f>
        <v>8625</v>
      </c>
    </row>
    <row r="58" spans="1:25" x14ac:dyDescent="0.2">
      <c r="A58" s="349"/>
      <c r="B58" s="352"/>
      <c r="C58" s="245">
        <v>6</v>
      </c>
      <c r="D58" s="264">
        <f>'Price List i-Store vs MSS'!$C$30-('Price List i-Store vs MSS'!$C$30*'NET ISS vs MSS AC'!D5)</f>
        <v>10800</v>
      </c>
      <c r="E58" s="264">
        <f>'Price List i-Store vs MSS'!$D$30-('Price List i-Store vs MSS'!$D$30*'NET ISS vs MSS AC'!E5)</f>
        <v>10800</v>
      </c>
      <c r="F58" s="264">
        <f>'Price List i-Store vs MSS'!$E$30-('Price List i-Store vs MSS'!$E$30*'NET ISS vs MSS AC'!F5)</f>
        <v>11400</v>
      </c>
      <c r="G58" s="264">
        <f>'Price List i-Store vs MSS'!$F$30-('Price List i-Store vs MSS'!$F$30*'NET ISS vs MSS AC'!G5)</f>
        <v>10800</v>
      </c>
      <c r="H58" s="264">
        <f>'Price List i-Store vs MSS'!$G$30-('Price List i-Store vs MSS'!$G$30*'NET ISS vs MSS AC'!H5)</f>
        <v>8400</v>
      </c>
      <c r="I58" s="264">
        <f>'Price List i-Store vs MSS'!$H$30-('Price List i-Store vs MSS'!$H$30*'NET ISS vs MSS AC'!I5)</f>
        <v>7700</v>
      </c>
      <c r="J58" s="264">
        <f>'Price List i-Store vs MSS'!$I$30-('Price List i-Store vs MSS'!$I$30*'NET ISS vs MSS AC'!J5)</f>
        <v>9900</v>
      </c>
      <c r="K58" s="264"/>
      <c r="L58" s="264"/>
      <c r="M58" s="264"/>
      <c r="N58" s="264"/>
      <c r="O58" s="264"/>
      <c r="Q58" s="300"/>
      <c r="R58" s="300">
        <f>'Price List i-Store vs MSS'!$N$30*0.8</f>
        <v>9600</v>
      </c>
      <c r="S58" s="300"/>
      <c r="T58" s="300">
        <f>'Price List i-Store vs MSS'!$P$30*0.65</f>
        <v>7150</v>
      </c>
      <c r="U58" s="300">
        <f>'Price List i-Store vs MSS'!$Q$30*0.8</f>
        <v>8800</v>
      </c>
      <c r="V58" s="300"/>
      <c r="W58" s="300">
        <f>'Price List i-Store vs MSS'!$S$30*0.6</f>
        <v>6728.9719799999993</v>
      </c>
      <c r="X58" s="300">
        <f>'Price List i-Store vs MSS'!$T$30*0.7</f>
        <v>7839.9999999999991</v>
      </c>
      <c r="Y58" s="300">
        <f>'Price List i-Store vs MSS'!$U$30*0.7</f>
        <v>8049.9999999999991</v>
      </c>
    </row>
    <row r="59" spans="1:25" x14ac:dyDescent="0.2">
      <c r="A59" s="349"/>
      <c r="B59" s="352"/>
      <c r="C59" s="245">
        <v>9</v>
      </c>
      <c r="D59" s="264">
        <f>'Price List i-Store vs MSS'!$C$30-('Price List i-Store vs MSS'!$C$30*'NET ISS vs MSS AC'!D6)</f>
        <v>10800</v>
      </c>
      <c r="E59" s="264">
        <f>'Price List i-Store vs MSS'!$D$30-('Price List i-Store vs MSS'!$D$30*'NET ISS vs MSS AC'!E6)</f>
        <v>10800</v>
      </c>
      <c r="F59" s="264">
        <f>'Price List i-Store vs MSS'!$E$30-('Price List i-Store vs MSS'!$E$30*'NET ISS vs MSS AC'!F6)</f>
        <v>11400</v>
      </c>
      <c r="G59" s="264">
        <f>'Price List i-Store vs MSS'!$F$30-('Price List i-Store vs MSS'!$F$30*'NET ISS vs MSS AC'!G6)</f>
        <v>10800</v>
      </c>
      <c r="H59" s="264">
        <f>'Price List i-Store vs MSS'!$G$30-('Price List i-Store vs MSS'!$G$30*'NET ISS vs MSS AC'!H6)</f>
        <v>8400</v>
      </c>
      <c r="I59" s="264">
        <f>'Price List i-Store vs MSS'!$H$30-('Price List i-Store vs MSS'!$H$30*'NET ISS vs MSS AC'!I6)</f>
        <v>7700</v>
      </c>
      <c r="J59" s="264">
        <f>'Price List i-Store vs MSS'!$I$30-('Price List i-Store vs MSS'!$I$30*'NET ISS vs MSS AC'!J6)</f>
        <v>9900</v>
      </c>
      <c r="K59" s="264"/>
      <c r="L59" s="264"/>
      <c r="M59" s="264"/>
      <c r="N59" s="264"/>
      <c r="O59" s="264"/>
      <c r="Q59" s="300"/>
      <c r="R59" s="300">
        <f>'Price List i-Store vs MSS'!$N$30*0.75</f>
        <v>9000</v>
      </c>
      <c r="S59" s="300"/>
      <c r="T59" s="300">
        <f>'Price List i-Store vs MSS'!$P$30*0.65</f>
        <v>7150</v>
      </c>
      <c r="U59" s="300">
        <f>'Price List i-Store vs MSS'!$Q$30*0.75</f>
        <v>8250</v>
      </c>
      <c r="V59" s="300"/>
      <c r="W59" s="300">
        <f>'Price List i-Store vs MSS'!$S$30*0.6</f>
        <v>6728.9719799999993</v>
      </c>
      <c r="X59" s="300">
        <f>'Price List i-Store vs MSS'!$T$30*0.65</f>
        <v>7280</v>
      </c>
      <c r="Y59" s="300">
        <f>'Price List i-Store vs MSS'!$U$30*0.65</f>
        <v>7475</v>
      </c>
    </row>
    <row r="60" spans="1:25" x14ac:dyDescent="0.2">
      <c r="A60" s="350"/>
      <c r="B60" s="353"/>
      <c r="C60" s="246">
        <v>12</v>
      </c>
      <c r="D60" s="265">
        <f>'Price List i-Store vs MSS'!$C$30-('Price List i-Store vs MSS'!$C$30*'NET ISS vs MSS AC'!D7)</f>
        <v>10200</v>
      </c>
      <c r="E60" s="265">
        <f>'Price List i-Store vs MSS'!$D$30-('Price List i-Store vs MSS'!$D$30*'NET ISS vs MSS AC'!E7)</f>
        <v>10200</v>
      </c>
      <c r="F60" s="265">
        <f>'Price List i-Store vs MSS'!$E$30-('Price List i-Store vs MSS'!$E$30*'NET ISS vs MSS AC'!F7)</f>
        <v>10800</v>
      </c>
      <c r="G60" s="265">
        <f>'Price List i-Store vs MSS'!$F$30-('Price List i-Store vs MSS'!$F$30*'NET ISS vs MSS AC'!G7)</f>
        <v>10200</v>
      </c>
      <c r="H60" s="265">
        <f>'Price List i-Store vs MSS'!$G$30-('Price List i-Store vs MSS'!$G$30*'NET ISS vs MSS AC'!H7)</f>
        <v>8400</v>
      </c>
      <c r="I60" s="265">
        <f>'Price List i-Store vs MSS'!$H$30-('Price List i-Store vs MSS'!$H$30*'NET ISS vs MSS AC'!I7)</f>
        <v>7700</v>
      </c>
      <c r="J60" s="265">
        <f>'Price List i-Store vs MSS'!$I$30-('Price List i-Store vs MSS'!$I$30*'NET ISS vs MSS AC'!J7)</f>
        <v>9350</v>
      </c>
      <c r="K60" s="265"/>
      <c r="L60" s="265"/>
      <c r="M60" s="265"/>
      <c r="N60" s="265"/>
      <c r="O60" s="265"/>
      <c r="Q60" s="301"/>
      <c r="R60" s="301">
        <f>'Price List i-Store vs MSS'!$N$30*0.7</f>
        <v>8400</v>
      </c>
      <c r="S60" s="301"/>
      <c r="T60" s="301">
        <f>'Price List i-Store vs MSS'!$P$30*0.65</f>
        <v>7150</v>
      </c>
      <c r="U60" s="301">
        <f>'Price List i-Store vs MSS'!$Q$30*0.7</f>
        <v>7699.9999999999991</v>
      </c>
      <c r="V60" s="301"/>
      <c r="W60" s="301">
        <f>'Price List i-Store vs MSS'!$S$30*0.6</f>
        <v>6728.9719799999993</v>
      </c>
      <c r="X60" s="301">
        <f>'Price List i-Store vs MSS'!$T$30*0.6</f>
        <v>6720</v>
      </c>
      <c r="Y60" s="301">
        <f>'Price List i-Store vs MSS'!$U$30*0.6</f>
        <v>6900</v>
      </c>
    </row>
    <row r="61" spans="1:25" x14ac:dyDescent="0.2">
      <c r="A61" s="348" t="s">
        <v>57</v>
      </c>
      <c r="B61" s="351">
        <v>12.5</v>
      </c>
      <c r="C61" s="244">
        <v>1</v>
      </c>
      <c r="D61" s="263">
        <f>'Price List i-Store vs MSS'!$C$31-('Price List i-Store vs MSS'!$C$31*'NET ISS vs MSS AC'!D3)</f>
        <v>0</v>
      </c>
      <c r="E61" s="263">
        <f>'Price List i-Store vs MSS'!$D$31-('Price List i-Store vs MSS'!$D$31*'NET ISS vs MSS AC'!E3)</f>
        <v>0</v>
      </c>
      <c r="F61" s="263">
        <f>'Price List i-Store vs MSS'!$E$31-('Price List i-Store vs MSS'!$E$31*'NET ISS vs MSS AC'!F3)</f>
        <v>0</v>
      </c>
      <c r="G61" s="263">
        <f>'Price List i-Store vs MSS'!$F$31-('Price List i-Store vs MSS'!$F$31*'NET ISS vs MSS AC'!G3)</f>
        <v>17000</v>
      </c>
      <c r="H61" s="263">
        <f>'Price List i-Store vs MSS'!$G$31-('Price List i-Store vs MSS'!$G$31*'NET ISS vs MSS AC'!H3)</f>
        <v>11900</v>
      </c>
      <c r="I61" s="263">
        <f>'Price List i-Store vs MSS'!$H$31-('Price List i-Store vs MSS'!$H$31*'NET ISS vs MSS AC'!I3)</f>
        <v>0</v>
      </c>
      <c r="J61" s="263">
        <f>'Price List i-Store vs MSS'!$I$31-('Price List i-Store vs MSS'!$I$31*'NET ISS vs MSS AC'!J3)</f>
        <v>14000</v>
      </c>
      <c r="K61" s="263"/>
      <c r="L61" s="263"/>
      <c r="M61" s="263"/>
      <c r="N61" s="263"/>
      <c r="O61" s="263"/>
      <c r="Q61" s="299"/>
      <c r="R61" s="299">
        <f>'Price List i-Store vs MSS'!$N$31*0.9</f>
        <v>15570</v>
      </c>
      <c r="S61" s="299"/>
      <c r="T61" s="299">
        <f>'Price List i-Store vs MSS'!$P$31*0.65</f>
        <v>10660</v>
      </c>
      <c r="U61" s="299"/>
      <c r="V61" s="299"/>
      <c r="W61" s="299">
        <f>'Price List i-Store vs MSS'!$S$31*0.6</f>
        <v>6953.2709999999997</v>
      </c>
      <c r="X61" s="299">
        <f>'Price List i-Store vs MSS'!$T$31*0.9</f>
        <v>15300</v>
      </c>
      <c r="Y61" s="299">
        <f>'Price List i-Store vs MSS'!$U$31*0.9</f>
        <v>11970</v>
      </c>
    </row>
    <row r="62" spans="1:25" x14ac:dyDescent="0.2">
      <c r="A62" s="349"/>
      <c r="B62" s="352"/>
      <c r="C62" s="245">
        <v>3</v>
      </c>
      <c r="D62" s="264">
        <f>'Price List i-Store vs MSS'!$C$31-('Price List i-Store vs MSS'!$C$31*'NET ISS vs MSS AC'!D4)</f>
        <v>0</v>
      </c>
      <c r="E62" s="264">
        <f>'Price List i-Store vs MSS'!$D$31-('Price List i-Store vs MSS'!$D$31*'NET ISS vs MSS AC'!E4)</f>
        <v>0</v>
      </c>
      <c r="F62" s="264">
        <f>'Price List i-Store vs MSS'!$E$31-('Price List i-Store vs MSS'!$E$31*'NET ISS vs MSS AC'!F4)</f>
        <v>0</v>
      </c>
      <c r="G62" s="264">
        <f>'Price List i-Store vs MSS'!$F$31-('Price List i-Store vs MSS'!$F$31*'NET ISS vs MSS AC'!G4)</f>
        <v>16150</v>
      </c>
      <c r="H62" s="264">
        <f>'Price List i-Store vs MSS'!$G$31-('Price List i-Store vs MSS'!$G$31*'NET ISS vs MSS AC'!H4)</f>
        <v>11900</v>
      </c>
      <c r="I62" s="264">
        <f>'Price List i-Store vs MSS'!$H$31-('Price List i-Store vs MSS'!$H$31*'NET ISS vs MSS AC'!I4)</f>
        <v>0</v>
      </c>
      <c r="J62" s="264">
        <f>'Price List i-Store vs MSS'!$I$31-('Price List i-Store vs MSS'!$I$31*'NET ISS vs MSS AC'!J4)</f>
        <v>13300</v>
      </c>
      <c r="K62" s="264"/>
      <c r="L62" s="264"/>
      <c r="M62" s="264"/>
      <c r="N62" s="264"/>
      <c r="O62" s="264"/>
      <c r="Q62" s="300"/>
      <c r="R62" s="300">
        <f>'Price List i-Store vs MSS'!$N$31*0.85</f>
        <v>14705</v>
      </c>
      <c r="S62" s="300"/>
      <c r="T62" s="300">
        <f>'Price List i-Store vs MSS'!$P$31*0.65</f>
        <v>10660</v>
      </c>
      <c r="U62" s="300"/>
      <c r="V62" s="300"/>
      <c r="W62" s="300">
        <f>'Price List i-Store vs MSS'!$S$31*0.6</f>
        <v>6953.2709999999997</v>
      </c>
      <c r="X62" s="300">
        <f>'Price List i-Store vs MSS'!$T$31*0.75</f>
        <v>12750</v>
      </c>
      <c r="Y62" s="300">
        <f>'Price List i-Store vs MSS'!$U$31*0.75</f>
        <v>9975</v>
      </c>
    </row>
    <row r="63" spans="1:25" x14ac:dyDescent="0.2">
      <c r="A63" s="349"/>
      <c r="B63" s="352"/>
      <c r="C63" s="245">
        <v>6</v>
      </c>
      <c r="D63" s="264">
        <f>'Price List i-Store vs MSS'!$C$31-('Price List i-Store vs MSS'!$C$31*'NET ISS vs MSS AC'!D5)</f>
        <v>0</v>
      </c>
      <c r="E63" s="264">
        <f>'Price List i-Store vs MSS'!$D$31-('Price List i-Store vs MSS'!$D$31*'NET ISS vs MSS AC'!E5)</f>
        <v>0</v>
      </c>
      <c r="F63" s="264">
        <f>'Price List i-Store vs MSS'!$E$31-('Price List i-Store vs MSS'!$E$31*'NET ISS vs MSS AC'!F5)</f>
        <v>0</v>
      </c>
      <c r="G63" s="264">
        <f>'Price List i-Store vs MSS'!$F$31-('Price List i-Store vs MSS'!$F$31*'NET ISS vs MSS AC'!G5)</f>
        <v>15300</v>
      </c>
      <c r="H63" s="264">
        <f>'Price List i-Store vs MSS'!$G$31-('Price List i-Store vs MSS'!$G$31*'NET ISS vs MSS AC'!H5)</f>
        <v>11900</v>
      </c>
      <c r="I63" s="264">
        <f>'Price List i-Store vs MSS'!$H$31-('Price List i-Store vs MSS'!$H$31*'NET ISS vs MSS AC'!I5)</f>
        <v>0</v>
      </c>
      <c r="J63" s="264">
        <f>'Price List i-Store vs MSS'!$I$31-('Price List i-Store vs MSS'!$I$31*'NET ISS vs MSS AC'!J5)</f>
        <v>12600</v>
      </c>
      <c r="K63" s="264"/>
      <c r="L63" s="264"/>
      <c r="M63" s="264"/>
      <c r="N63" s="264"/>
      <c r="O63" s="264"/>
      <c r="Q63" s="300"/>
      <c r="R63" s="300">
        <f>'Price List i-Store vs MSS'!$N$31*0.8</f>
        <v>13840</v>
      </c>
      <c r="S63" s="300"/>
      <c r="T63" s="300">
        <f>'Price List i-Store vs MSS'!$P$31*0.65</f>
        <v>10660</v>
      </c>
      <c r="U63" s="300"/>
      <c r="V63" s="300"/>
      <c r="W63" s="300">
        <f>'Price List i-Store vs MSS'!$S$31*0.6</f>
        <v>6953.2709999999997</v>
      </c>
      <c r="X63" s="300">
        <f>'Price List i-Store vs MSS'!$T$31*0.7</f>
        <v>11900</v>
      </c>
      <c r="Y63" s="300">
        <f>'Price List i-Store vs MSS'!$U$31*0.7</f>
        <v>9310</v>
      </c>
    </row>
    <row r="64" spans="1:25" x14ac:dyDescent="0.2">
      <c r="A64" s="349"/>
      <c r="B64" s="352"/>
      <c r="C64" s="245">
        <v>9</v>
      </c>
      <c r="D64" s="264">
        <f>'Price List i-Store vs MSS'!$C$31-('Price List i-Store vs MSS'!$C$31*'NET ISS vs MSS AC'!D6)</f>
        <v>0</v>
      </c>
      <c r="E64" s="264">
        <f>'Price List i-Store vs MSS'!$D$31-('Price List i-Store vs MSS'!$D$31*'NET ISS vs MSS AC'!E6)</f>
        <v>0</v>
      </c>
      <c r="F64" s="264">
        <f>'Price List i-Store vs MSS'!$E$31-('Price List i-Store vs MSS'!$E$31*'NET ISS vs MSS AC'!F6)</f>
        <v>0</v>
      </c>
      <c r="G64" s="264">
        <f>'Price List i-Store vs MSS'!$F$31-('Price List i-Store vs MSS'!$F$31*'NET ISS vs MSS AC'!G6)</f>
        <v>15300</v>
      </c>
      <c r="H64" s="264">
        <f>'Price List i-Store vs MSS'!$G$31-('Price List i-Store vs MSS'!$G$31*'NET ISS vs MSS AC'!H6)</f>
        <v>11900</v>
      </c>
      <c r="I64" s="264">
        <f>'Price List i-Store vs MSS'!$H$31-('Price List i-Store vs MSS'!$H$31*'NET ISS vs MSS AC'!I6)</f>
        <v>0</v>
      </c>
      <c r="J64" s="264">
        <f>'Price List i-Store vs MSS'!$I$31-('Price List i-Store vs MSS'!$I$31*'NET ISS vs MSS AC'!J6)</f>
        <v>12600</v>
      </c>
      <c r="K64" s="264"/>
      <c r="L64" s="264"/>
      <c r="M64" s="264"/>
      <c r="N64" s="264"/>
      <c r="O64" s="264"/>
      <c r="Q64" s="300"/>
      <c r="R64" s="300">
        <f>'Price List i-Store vs MSS'!$N$31*0.75</f>
        <v>12975</v>
      </c>
      <c r="S64" s="300"/>
      <c r="T64" s="300">
        <f>'Price List i-Store vs MSS'!$P$31*0.65</f>
        <v>10660</v>
      </c>
      <c r="U64" s="300"/>
      <c r="V64" s="300"/>
      <c r="W64" s="300">
        <f>'Price List i-Store vs MSS'!$S$31*0.6</f>
        <v>6953.2709999999997</v>
      </c>
      <c r="X64" s="300">
        <f>'Price List i-Store vs MSS'!$T$31*0.65</f>
        <v>11050</v>
      </c>
      <c r="Y64" s="300">
        <f>'Price List i-Store vs MSS'!$U$31*0.65</f>
        <v>8645</v>
      </c>
    </row>
    <row r="65" spans="1:25" x14ac:dyDescent="0.2">
      <c r="A65" s="350"/>
      <c r="B65" s="353"/>
      <c r="C65" s="246">
        <v>12</v>
      </c>
      <c r="D65" s="265">
        <f>'Price List i-Store vs MSS'!$C$31-('Price List i-Store vs MSS'!$C$31*'NET ISS vs MSS AC'!D7)</f>
        <v>0</v>
      </c>
      <c r="E65" s="265">
        <f>'Price List i-Store vs MSS'!$D$31-('Price List i-Store vs MSS'!$D$31*'NET ISS vs MSS AC'!E7)</f>
        <v>0</v>
      </c>
      <c r="F65" s="265">
        <f>'Price List i-Store vs MSS'!$E$31-('Price List i-Store vs MSS'!$E$31*'NET ISS vs MSS AC'!F7)</f>
        <v>0</v>
      </c>
      <c r="G65" s="265">
        <f>'Price List i-Store vs MSS'!$F$31-('Price List i-Store vs MSS'!$F$31*'NET ISS vs MSS AC'!G7)</f>
        <v>14450</v>
      </c>
      <c r="H65" s="265">
        <f>'Price List i-Store vs MSS'!$G$31-('Price List i-Store vs MSS'!$G$31*'NET ISS vs MSS AC'!H7)</f>
        <v>11900</v>
      </c>
      <c r="I65" s="265">
        <f>'Price List i-Store vs MSS'!$H$31-('Price List i-Store vs MSS'!$H$31*'NET ISS vs MSS AC'!I7)</f>
        <v>0</v>
      </c>
      <c r="J65" s="265">
        <f>'Price List i-Store vs MSS'!$I$31-('Price List i-Store vs MSS'!$I$31*'NET ISS vs MSS AC'!J7)</f>
        <v>11900</v>
      </c>
      <c r="K65" s="265"/>
      <c r="L65" s="265"/>
      <c r="M65" s="265"/>
      <c r="N65" s="265"/>
      <c r="O65" s="265"/>
      <c r="Q65" s="301"/>
      <c r="R65" s="301">
        <f>'Price List i-Store vs MSS'!$N$31*0.7</f>
        <v>12110</v>
      </c>
      <c r="S65" s="301"/>
      <c r="T65" s="301">
        <f>'Price List i-Store vs MSS'!$P$31*0.65</f>
        <v>10660</v>
      </c>
      <c r="U65" s="301"/>
      <c r="V65" s="301"/>
      <c r="W65" s="301">
        <f>'Price List i-Store vs MSS'!$S$31*0.6</f>
        <v>6953.2709999999997</v>
      </c>
      <c r="X65" s="301">
        <f>'Price List i-Store vs MSS'!$T$31*0.6</f>
        <v>10200</v>
      </c>
      <c r="Y65" s="301">
        <f>'Price List i-Store vs MSS'!$U$31*0.6</f>
        <v>7980</v>
      </c>
    </row>
    <row r="66" spans="1:25" x14ac:dyDescent="0.2">
      <c r="A66" s="348" t="s">
        <v>65</v>
      </c>
      <c r="B66" s="351">
        <v>19.8</v>
      </c>
      <c r="C66" s="244">
        <v>1</v>
      </c>
      <c r="D66" s="263">
        <f>'Price List i-Store vs MSS'!$C$32-('Price List i-Store vs MSS'!$C$32*'NET ISS vs MSS AC'!D3)</f>
        <v>0</v>
      </c>
      <c r="E66" s="263">
        <f>'Price List i-Store vs MSS'!$D$32-('Price List i-Store vs MSS'!$D$32*'NET ISS vs MSS AC'!E3)</f>
        <v>0</v>
      </c>
      <c r="F66" s="263">
        <f>'Price List i-Store vs MSS'!$E$32-('Price List i-Store vs MSS'!$E$32*'NET ISS vs MSS AC'!F3)</f>
        <v>25000</v>
      </c>
      <c r="G66" s="263">
        <f>'Price List i-Store vs MSS'!$F$32-('Price List i-Store vs MSS'!$F$32*'NET ISS vs MSS AC'!G3)</f>
        <v>0</v>
      </c>
      <c r="H66" s="263">
        <f>'Price List i-Store vs MSS'!$G$32-('Price List i-Store vs MSS'!$G$32*'NET ISS vs MSS AC'!H3)</f>
        <v>16100</v>
      </c>
      <c r="I66" s="263">
        <f>'Price List i-Store vs MSS'!$H$32-('Price List i-Store vs MSS'!$H$32*'NET ISS vs MSS AC'!I3)</f>
        <v>0</v>
      </c>
      <c r="J66" s="263">
        <f>'Price List i-Store vs MSS'!$I$32-('Price List i-Store vs MSS'!$I$32*'NET ISS vs MSS AC'!J3)</f>
        <v>18000</v>
      </c>
      <c r="K66" s="263"/>
      <c r="L66" s="263"/>
      <c r="M66" s="263"/>
      <c r="N66" s="263"/>
      <c r="O66" s="263"/>
      <c r="Q66" s="299"/>
      <c r="R66" s="299"/>
      <c r="S66" s="299"/>
      <c r="T66" s="299"/>
      <c r="U66" s="299"/>
      <c r="V66" s="299"/>
      <c r="W66" s="299"/>
      <c r="X66" s="299">
        <f>'Price List i-Store vs MSS'!$T$32*0.9</f>
        <v>18000</v>
      </c>
      <c r="Y66" s="299"/>
    </row>
    <row r="67" spans="1:25" x14ac:dyDescent="0.2">
      <c r="A67" s="349"/>
      <c r="B67" s="352"/>
      <c r="C67" s="245">
        <v>3</v>
      </c>
      <c r="D67" s="264">
        <f>'Price List i-Store vs MSS'!$C$32-('Price List i-Store vs MSS'!$C$32*'NET ISS vs MSS AC'!D4)</f>
        <v>0</v>
      </c>
      <c r="E67" s="264">
        <f>'Price List i-Store vs MSS'!$D$32-('Price List i-Store vs MSS'!$D$32*'NET ISS vs MSS AC'!E4)</f>
        <v>0</v>
      </c>
      <c r="F67" s="264">
        <f>'Price List i-Store vs MSS'!$E$32-('Price List i-Store vs MSS'!$E$32*'NET ISS vs MSS AC'!F4)</f>
        <v>25000</v>
      </c>
      <c r="G67" s="264">
        <f>'Price List i-Store vs MSS'!$F$32-('Price List i-Store vs MSS'!$F$32*'NET ISS vs MSS AC'!G4)</f>
        <v>0</v>
      </c>
      <c r="H67" s="264">
        <f>'Price List i-Store vs MSS'!$G$32-('Price List i-Store vs MSS'!$G$32*'NET ISS vs MSS AC'!H4)</f>
        <v>16100</v>
      </c>
      <c r="I67" s="264">
        <f>'Price List i-Store vs MSS'!$H$32-('Price List i-Store vs MSS'!$H$32*'NET ISS vs MSS AC'!I4)</f>
        <v>0</v>
      </c>
      <c r="J67" s="264">
        <f>'Price List i-Store vs MSS'!$I$32-('Price List i-Store vs MSS'!$I$32*'NET ISS vs MSS AC'!J4)</f>
        <v>17100</v>
      </c>
      <c r="K67" s="264"/>
      <c r="L67" s="264"/>
      <c r="M67" s="264"/>
      <c r="N67" s="264"/>
      <c r="O67" s="264"/>
      <c r="Q67" s="300"/>
      <c r="R67" s="300"/>
      <c r="S67" s="300"/>
      <c r="T67" s="300"/>
      <c r="U67" s="300"/>
      <c r="V67" s="300"/>
      <c r="W67" s="300"/>
      <c r="X67" s="300">
        <f>'Price List i-Store vs MSS'!$T$32*0.85</f>
        <v>17000</v>
      </c>
      <c r="Y67" s="300"/>
    </row>
    <row r="68" spans="1:25" x14ac:dyDescent="0.2">
      <c r="A68" s="349"/>
      <c r="B68" s="352"/>
      <c r="C68" s="245">
        <v>6</v>
      </c>
      <c r="D68" s="264">
        <f>'Price List i-Store vs MSS'!$C$32-('Price List i-Store vs MSS'!$C$32*'NET ISS vs MSS AC'!D5)</f>
        <v>0</v>
      </c>
      <c r="E68" s="264">
        <f>'Price List i-Store vs MSS'!$D$32-('Price List i-Store vs MSS'!$D$32*'NET ISS vs MSS AC'!E5)</f>
        <v>0</v>
      </c>
      <c r="F68" s="264">
        <f>'Price List i-Store vs MSS'!$E$32-('Price List i-Store vs MSS'!$E$32*'NET ISS vs MSS AC'!F5)</f>
        <v>23750</v>
      </c>
      <c r="G68" s="264">
        <f>'Price List i-Store vs MSS'!$F$32-('Price List i-Store vs MSS'!$F$32*'NET ISS vs MSS AC'!G5)</f>
        <v>0</v>
      </c>
      <c r="H68" s="264">
        <f>'Price List i-Store vs MSS'!$G$32-('Price List i-Store vs MSS'!$G$32*'NET ISS vs MSS AC'!H5)</f>
        <v>16100</v>
      </c>
      <c r="I68" s="264">
        <f>'Price List i-Store vs MSS'!$H$32-('Price List i-Store vs MSS'!$H$32*'NET ISS vs MSS AC'!I5)</f>
        <v>0</v>
      </c>
      <c r="J68" s="264">
        <f>'Price List i-Store vs MSS'!$I$32-('Price List i-Store vs MSS'!$I$32*'NET ISS vs MSS AC'!J5)</f>
        <v>16200</v>
      </c>
      <c r="K68" s="264"/>
      <c r="L68" s="264"/>
      <c r="M68" s="264"/>
      <c r="N68" s="264"/>
      <c r="O68" s="264"/>
      <c r="Q68" s="300"/>
      <c r="R68" s="300"/>
      <c r="S68" s="300"/>
      <c r="T68" s="300"/>
      <c r="U68" s="300"/>
      <c r="V68" s="300"/>
      <c r="W68" s="300"/>
      <c r="X68" s="300">
        <f>'Price List i-Store vs MSS'!$T$32*0.7</f>
        <v>14000</v>
      </c>
      <c r="Y68" s="300"/>
    </row>
    <row r="69" spans="1:25" x14ac:dyDescent="0.2">
      <c r="A69" s="349"/>
      <c r="B69" s="352"/>
      <c r="C69" s="245">
        <v>9</v>
      </c>
      <c r="D69" s="264">
        <f>'Price List i-Store vs MSS'!$C$32-('Price List i-Store vs MSS'!$C$32*'NET ISS vs MSS AC'!D6)</f>
        <v>0</v>
      </c>
      <c r="E69" s="264">
        <f>'Price List i-Store vs MSS'!$D$32-('Price List i-Store vs MSS'!$D$32*'NET ISS vs MSS AC'!E6)</f>
        <v>0</v>
      </c>
      <c r="F69" s="264">
        <f>'Price List i-Store vs MSS'!$E$32-('Price List i-Store vs MSS'!$E$32*'NET ISS vs MSS AC'!F6)</f>
        <v>23750</v>
      </c>
      <c r="G69" s="264">
        <f>'Price List i-Store vs MSS'!$F$32-('Price List i-Store vs MSS'!$F$32*'NET ISS vs MSS AC'!G6)</f>
        <v>0</v>
      </c>
      <c r="H69" s="264">
        <f>'Price List i-Store vs MSS'!$G$32-('Price List i-Store vs MSS'!$G$32*'NET ISS vs MSS AC'!H6)</f>
        <v>16100</v>
      </c>
      <c r="I69" s="264">
        <f>'Price List i-Store vs MSS'!$H$32-('Price List i-Store vs MSS'!$H$32*'NET ISS vs MSS AC'!I6)</f>
        <v>0</v>
      </c>
      <c r="J69" s="264">
        <f>'Price List i-Store vs MSS'!$I$32-('Price List i-Store vs MSS'!$I$32*'NET ISS vs MSS AC'!J6)</f>
        <v>16200</v>
      </c>
      <c r="K69" s="264"/>
      <c r="L69" s="264"/>
      <c r="M69" s="264"/>
      <c r="N69" s="264"/>
      <c r="O69" s="264"/>
      <c r="Q69" s="300"/>
      <c r="R69" s="300"/>
      <c r="S69" s="300"/>
      <c r="T69" s="300"/>
      <c r="U69" s="300"/>
      <c r="V69" s="300"/>
      <c r="W69" s="300"/>
      <c r="X69" s="300">
        <f>'Price List i-Store vs MSS'!$T$32*0.65</f>
        <v>13000</v>
      </c>
      <c r="Y69" s="300"/>
    </row>
    <row r="70" spans="1:25" x14ac:dyDescent="0.2">
      <c r="A70" s="350"/>
      <c r="B70" s="353"/>
      <c r="C70" s="246">
        <v>12</v>
      </c>
      <c r="D70" s="265">
        <f>'Price List i-Store vs MSS'!$C$32-('Price List i-Store vs MSS'!$C$32*'NET ISS vs MSS AC'!D7)</f>
        <v>0</v>
      </c>
      <c r="E70" s="265">
        <f>'Price List i-Store vs MSS'!$D$32-('Price List i-Store vs MSS'!$D$32*'NET ISS vs MSS AC'!E7)</f>
        <v>0</v>
      </c>
      <c r="F70" s="265">
        <f>'Price List i-Store vs MSS'!$E$32-('Price List i-Store vs MSS'!$E$32*'NET ISS vs MSS AC'!F7)</f>
        <v>22500</v>
      </c>
      <c r="G70" s="265">
        <f>'Price List i-Store vs MSS'!$F$32-('Price List i-Store vs MSS'!$F$32*'NET ISS vs MSS AC'!G7)</f>
        <v>0</v>
      </c>
      <c r="H70" s="265">
        <f>'Price List i-Store vs MSS'!$G$32-('Price List i-Store vs MSS'!$G$32*'NET ISS vs MSS AC'!H7)</f>
        <v>16100</v>
      </c>
      <c r="I70" s="265">
        <f>'Price List i-Store vs MSS'!$H$32-('Price List i-Store vs MSS'!$H$32*'NET ISS vs MSS AC'!I7)</f>
        <v>0</v>
      </c>
      <c r="J70" s="265">
        <f>'Price List i-Store vs MSS'!$I$32-('Price List i-Store vs MSS'!$I$32*'NET ISS vs MSS AC'!J7)</f>
        <v>15300</v>
      </c>
      <c r="K70" s="265"/>
      <c r="L70" s="265"/>
      <c r="M70" s="265"/>
      <c r="N70" s="265"/>
      <c r="O70" s="265"/>
      <c r="Q70" s="301"/>
      <c r="R70" s="301"/>
      <c r="S70" s="301"/>
      <c r="T70" s="301"/>
      <c r="U70" s="301"/>
      <c r="V70" s="301"/>
      <c r="W70" s="301"/>
      <c r="X70" s="301">
        <f>'Price List i-Store vs MSS'!$T$32*0.6</f>
        <v>12000</v>
      </c>
      <c r="Y70" s="301"/>
    </row>
    <row r="71" spans="1:25" x14ac:dyDescent="0.2">
      <c r="A71" s="347" t="s">
        <v>66</v>
      </c>
      <c r="B71" s="355">
        <v>25</v>
      </c>
      <c r="C71" s="244">
        <v>1</v>
      </c>
      <c r="D71" s="263">
        <f>'Price List i-Store vs MSS'!$C$33-('Price List i-Store vs MSS'!$C$33*'NET ISS vs MSS AC'!D3)</f>
        <v>0</v>
      </c>
      <c r="E71" s="263">
        <f>'Price List i-Store vs MSS'!$D$33-('Price List i-Store vs MSS'!$D$33*'NET ISS vs MSS AC'!E3)</f>
        <v>0</v>
      </c>
      <c r="F71" s="263">
        <f>'Price List i-Store vs MSS'!$E$33-('Price List i-Store vs MSS'!$E$33*'NET ISS vs MSS AC'!F3)</f>
        <v>0</v>
      </c>
      <c r="G71" s="263">
        <f>'Price List i-Store vs MSS'!$F$33-('Price List i-Store vs MSS'!$F$33*'NET ISS vs MSS AC'!G3)</f>
        <v>0</v>
      </c>
      <c r="H71" s="263">
        <f>'Price List i-Store vs MSS'!$G$33-('Price List i-Store vs MSS'!$G$33*'NET ISS vs MSS AC'!H3)</f>
        <v>14700</v>
      </c>
      <c r="I71" s="263">
        <f>'Price List i-Store vs MSS'!$H$33-('Price List i-Store vs MSS'!$H$33*'NET ISS vs MSS AC'!I3)</f>
        <v>0</v>
      </c>
      <c r="J71" s="263">
        <f>'Price List i-Store vs MSS'!$I$33-('Price List i-Store vs MSS'!$I$33*'NET ISS vs MSS AC'!J3)</f>
        <v>22000</v>
      </c>
      <c r="K71" s="263"/>
      <c r="L71" s="263"/>
      <c r="M71" s="263"/>
      <c r="N71" s="263"/>
      <c r="O71" s="263"/>
      <c r="Q71" s="302"/>
      <c r="R71" s="302"/>
      <c r="S71" s="302"/>
      <c r="T71" s="302"/>
      <c r="U71" s="302"/>
      <c r="V71" s="302"/>
      <c r="W71" s="302"/>
      <c r="X71" s="302"/>
      <c r="Y71" s="302"/>
    </row>
    <row r="72" spans="1:25" x14ac:dyDescent="0.2">
      <c r="A72" s="347"/>
      <c r="B72" s="355"/>
      <c r="C72" s="245">
        <v>3</v>
      </c>
      <c r="D72" s="264">
        <f>'Price List i-Store vs MSS'!$C$33-('Price List i-Store vs MSS'!$C$33*'NET ISS vs MSS AC'!D4)</f>
        <v>0</v>
      </c>
      <c r="E72" s="264">
        <f>'Price List i-Store vs MSS'!$D$33-('Price List i-Store vs MSS'!$D$33*'NET ISS vs MSS AC'!E4)</f>
        <v>0</v>
      </c>
      <c r="F72" s="264">
        <f>'Price List i-Store vs MSS'!$E$33-('Price List i-Store vs MSS'!$E$33*'NET ISS vs MSS AC'!F4)</f>
        <v>0</v>
      </c>
      <c r="G72" s="264">
        <f>'Price List i-Store vs MSS'!$F$33-('Price List i-Store vs MSS'!$F$33*'NET ISS vs MSS AC'!G4)</f>
        <v>0</v>
      </c>
      <c r="H72" s="264">
        <f>'Price List i-Store vs MSS'!$G$33-('Price List i-Store vs MSS'!$G$33*'NET ISS vs MSS AC'!H4)</f>
        <v>14700</v>
      </c>
      <c r="I72" s="264">
        <f>'Price List i-Store vs MSS'!$H$33-('Price List i-Store vs MSS'!$H$33*'NET ISS vs MSS AC'!I4)</f>
        <v>0</v>
      </c>
      <c r="J72" s="264">
        <f>'Price List i-Store vs MSS'!$I$33-('Price List i-Store vs MSS'!$I$33*'NET ISS vs MSS AC'!J4)</f>
        <v>20900</v>
      </c>
      <c r="K72" s="264"/>
      <c r="L72" s="264"/>
      <c r="M72" s="264"/>
      <c r="N72" s="264"/>
      <c r="O72" s="264"/>
      <c r="Q72" s="300"/>
      <c r="R72" s="300"/>
      <c r="S72" s="300"/>
      <c r="T72" s="300"/>
      <c r="U72" s="300"/>
      <c r="V72" s="300"/>
      <c r="W72" s="300"/>
      <c r="X72" s="300"/>
      <c r="Y72" s="300"/>
    </row>
    <row r="73" spans="1:25" x14ac:dyDescent="0.2">
      <c r="A73" s="347"/>
      <c r="B73" s="355"/>
      <c r="C73" s="245">
        <v>6</v>
      </c>
      <c r="D73" s="264">
        <f>'Price List i-Store vs MSS'!$C$33-('Price List i-Store vs MSS'!$C$33*'NET ISS vs MSS AC'!D5)</f>
        <v>0</v>
      </c>
      <c r="E73" s="264">
        <f>'Price List i-Store vs MSS'!$D$33-('Price List i-Store vs MSS'!$D$33*'NET ISS vs MSS AC'!E5)</f>
        <v>0</v>
      </c>
      <c r="F73" s="264">
        <f>'Price List i-Store vs MSS'!$E$33-('Price List i-Store vs MSS'!$E$33*'NET ISS vs MSS AC'!F5)</f>
        <v>0</v>
      </c>
      <c r="G73" s="264">
        <f>'Price List i-Store vs MSS'!$F$33-('Price List i-Store vs MSS'!$F$33*'NET ISS vs MSS AC'!G5)</f>
        <v>0</v>
      </c>
      <c r="H73" s="264">
        <f>'Price List i-Store vs MSS'!$G$33-('Price List i-Store vs MSS'!$G$33*'NET ISS vs MSS AC'!H5)</f>
        <v>14700</v>
      </c>
      <c r="I73" s="264">
        <f>'Price List i-Store vs MSS'!$H$33-('Price List i-Store vs MSS'!$H$33*'NET ISS vs MSS AC'!I5)</f>
        <v>0</v>
      </c>
      <c r="J73" s="264">
        <f>'Price List i-Store vs MSS'!$I$33-('Price List i-Store vs MSS'!$I$33*'NET ISS vs MSS AC'!J5)</f>
        <v>19800</v>
      </c>
      <c r="K73" s="264"/>
      <c r="L73" s="264"/>
      <c r="M73" s="264"/>
      <c r="N73" s="264"/>
      <c r="O73" s="264"/>
      <c r="Q73" s="300"/>
      <c r="R73" s="300"/>
      <c r="S73" s="300"/>
      <c r="T73" s="300"/>
      <c r="U73" s="300"/>
      <c r="V73" s="300"/>
      <c r="W73" s="300"/>
      <c r="X73" s="300"/>
      <c r="Y73" s="300"/>
    </row>
    <row r="74" spans="1:25" x14ac:dyDescent="0.2">
      <c r="A74" s="347"/>
      <c r="B74" s="355"/>
      <c r="C74" s="245">
        <v>9</v>
      </c>
      <c r="D74" s="264">
        <f>'Price List i-Store vs MSS'!$C$33-('Price List i-Store vs MSS'!$C$33*'NET ISS vs MSS AC'!D6)</f>
        <v>0</v>
      </c>
      <c r="E74" s="264">
        <f>'Price List i-Store vs MSS'!$D$33-('Price List i-Store vs MSS'!$D$33*'NET ISS vs MSS AC'!E6)</f>
        <v>0</v>
      </c>
      <c r="F74" s="264">
        <f>'Price List i-Store vs MSS'!$E$33-('Price List i-Store vs MSS'!$E$33*'NET ISS vs MSS AC'!F6)</f>
        <v>0</v>
      </c>
      <c r="G74" s="264">
        <f>'Price List i-Store vs MSS'!$F$33-('Price List i-Store vs MSS'!$F$33*'NET ISS vs MSS AC'!G6)</f>
        <v>0</v>
      </c>
      <c r="H74" s="264">
        <f>'Price List i-Store vs MSS'!$G$33-('Price List i-Store vs MSS'!$G$33*'NET ISS vs MSS AC'!H6)</f>
        <v>14700</v>
      </c>
      <c r="I74" s="264">
        <f>'Price List i-Store vs MSS'!$H$33-('Price List i-Store vs MSS'!$H$33*'NET ISS vs MSS AC'!I6)</f>
        <v>0</v>
      </c>
      <c r="J74" s="264">
        <f>'Price List i-Store vs MSS'!$I$33-('Price List i-Store vs MSS'!$I$33*'NET ISS vs MSS AC'!J6)</f>
        <v>19800</v>
      </c>
      <c r="K74" s="264"/>
      <c r="L74" s="264"/>
      <c r="M74" s="264"/>
      <c r="N74" s="264"/>
      <c r="O74" s="264"/>
      <c r="Q74" s="300"/>
      <c r="R74" s="300"/>
      <c r="S74" s="300"/>
      <c r="T74" s="300"/>
      <c r="U74" s="300"/>
      <c r="V74" s="300"/>
      <c r="W74" s="300"/>
      <c r="X74" s="300"/>
      <c r="Y74" s="300"/>
    </row>
    <row r="75" spans="1:25" x14ac:dyDescent="0.2">
      <c r="A75" s="347"/>
      <c r="B75" s="355"/>
      <c r="C75" s="246">
        <v>12</v>
      </c>
      <c r="D75" s="265">
        <f>'Price List i-Store vs MSS'!$C$33-('Price List i-Store vs MSS'!$C$33*'NET ISS vs MSS AC'!D7)</f>
        <v>0</v>
      </c>
      <c r="E75" s="265">
        <f>'Price List i-Store vs MSS'!$D$33-('Price List i-Store vs MSS'!$D$33*'NET ISS vs MSS AC'!E7)</f>
        <v>0</v>
      </c>
      <c r="F75" s="265">
        <f>'Price List i-Store vs MSS'!$E$33-('Price List i-Store vs MSS'!$E$33*'NET ISS vs MSS AC'!F7)</f>
        <v>0</v>
      </c>
      <c r="G75" s="265">
        <f>'Price List i-Store vs MSS'!$F$33-('Price List i-Store vs MSS'!$F$33*'NET ISS vs MSS AC'!G7)</f>
        <v>0</v>
      </c>
      <c r="H75" s="265">
        <f>'Price List i-Store vs MSS'!$G$33-('Price List i-Store vs MSS'!$G$33*'NET ISS vs MSS AC'!H7)</f>
        <v>14700</v>
      </c>
      <c r="I75" s="265">
        <f>'Price List i-Store vs MSS'!$H$33-('Price List i-Store vs MSS'!$H$33*'NET ISS vs MSS AC'!I7)</f>
        <v>0</v>
      </c>
      <c r="J75" s="265">
        <f>'Price List i-Store vs MSS'!$I$33-('Price List i-Store vs MSS'!$I$33*'NET ISS vs MSS AC'!J7)</f>
        <v>18700</v>
      </c>
      <c r="K75" s="265"/>
      <c r="L75" s="265"/>
      <c r="M75" s="265"/>
      <c r="N75" s="265"/>
      <c r="O75" s="265"/>
      <c r="Q75" s="301"/>
      <c r="R75" s="301"/>
      <c r="S75" s="301"/>
      <c r="T75" s="301"/>
      <c r="U75" s="301"/>
      <c r="V75" s="301"/>
      <c r="W75" s="301"/>
      <c r="X75" s="301"/>
      <c r="Y75" s="301"/>
    </row>
  </sheetData>
  <mergeCells count="26">
    <mergeCell ref="A61:A65"/>
    <mergeCell ref="B61:B65"/>
    <mergeCell ref="A66:A70"/>
    <mergeCell ref="B66:B70"/>
    <mergeCell ref="A71:A75"/>
    <mergeCell ref="B71:B75"/>
    <mergeCell ref="A46:A50"/>
    <mergeCell ref="B46:B50"/>
    <mergeCell ref="A51:A55"/>
    <mergeCell ref="B51:B55"/>
    <mergeCell ref="A56:A60"/>
    <mergeCell ref="B56:B60"/>
    <mergeCell ref="A26:A30"/>
    <mergeCell ref="B26:B30"/>
    <mergeCell ref="A36:A40"/>
    <mergeCell ref="B36:B40"/>
    <mergeCell ref="A41:A45"/>
    <mergeCell ref="B41:B45"/>
    <mergeCell ref="A31:A35"/>
    <mergeCell ref="B31:B35"/>
    <mergeCell ref="A11:A15"/>
    <mergeCell ref="B11:B15"/>
    <mergeCell ref="A16:A20"/>
    <mergeCell ref="B16:B20"/>
    <mergeCell ref="A21:A25"/>
    <mergeCell ref="B21:B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AA88-543A-48D6-916A-BC4C1F8FD740}">
  <sheetPr>
    <tabColor rgb="FFFF9900"/>
    <outlinePr summaryBelow="0" summaryRight="0"/>
  </sheetPr>
  <dimension ref="A1:AA1083"/>
  <sheetViews>
    <sheetView topLeftCell="A494" zoomScale="90" zoomScaleNormal="90" workbookViewId="0">
      <selection activeCell="J33" sqref="J33"/>
    </sheetView>
  </sheetViews>
  <sheetFormatPr baseColWidth="10" defaultColWidth="12.6640625" defaultRowHeight="15.75" customHeight="1" x14ac:dyDescent="0.2"/>
  <cols>
    <col min="1" max="1" width="8.33203125" style="90" customWidth="1"/>
    <col min="2" max="2" width="38.6640625" style="90" customWidth="1"/>
    <col min="3" max="4" width="35.83203125" style="90" customWidth="1"/>
    <col min="5" max="5" width="32.33203125" style="90" customWidth="1"/>
    <col min="6" max="7" width="27.5" style="90" customWidth="1"/>
    <col min="8" max="8" width="19.6640625" style="90" customWidth="1"/>
    <col min="9" max="9" width="14.6640625" style="90" customWidth="1"/>
    <col min="10" max="10" width="12.6640625" style="90"/>
    <col min="11" max="11" width="13.5" style="90" customWidth="1"/>
    <col min="12" max="12" width="14.1640625" style="90" customWidth="1"/>
    <col min="13" max="13" width="14.33203125" style="90" customWidth="1"/>
    <col min="14" max="14" width="14.6640625" style="90" customWidth="1"/>
    <col min="15" max="15" width="14" style="90" customWidth="1"/>
    <col min="16" max="16" width="15.1640625" style="90" customWidth="1"/>
    <col min="17" max="17" width="14.5" style="90" customWidth="1"/>
    <col min="18" max="19" width="12.6640625" style="90"/>
    <col min="20" max="20" width="16.6640625" style="90" customWidth="1"/>
    <col min="21" max="16384" width="12.6640625" style="90"/>
  </cols>
  <sheetData>
    <row r="1" spans="1:26" ht="78" customHeight="1" x14ac:dyDescent="0.25">
      <c r="A1" s="88"/>
      <c r="B1" s="89"/>
      <c r="C1" s="362" t="s">
        <v>121</v>
      </c>
      <c r="D1" s="363"/>
      <c r="E1" s="88"/>
      <c r="F1" s="88"/>
      <c r="G1" s="88"/>
      <c r="H1" s="89"/>
      <c r="I1" s="89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69" x14ac:dyDescent="0.25">
      <c r="A2" s="91"/>
      <c r="B2" s="364" t="s">
        <v>122</v>
      </c>
      <c r="C2" s="365" t="s">
        <v>123</v>
      </c>
      <c r="D2" s="366"/>
      <c r="E2" s="365" t="s">
        <v>124</v>
      </c>
      <c r="F2" s="367"/>
      <c r="G2" s="366"/>
      <c r="H2" s="92" t="s">
        <v>125</v>
      </c>
      <c r="I2" s="93"/>
      <c r="J2" s="94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23" x14ac:dyDescent="0.25">
      <c r="A3" s="91"/>
      <c r="B3" s="357"/>
      <c r="C3" s="95" t="s">
        <v>126</v>
      </c>
      <c r="D3" s="95" t="s">
        <v>127</v>
      </c>
      <c r="E3" s="95" t="s">
        <v>126</v>
      </c>
      <c r="F3" s="95" t="s">
        <v>127</v>
      </c>
      <c r="G3" s="96"/>
      <c r="H3" s="97"/>
      <c r="I3" s="94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6" ht="19" x14ac:dyDescent="0.25">
      <c r="A4" s="91"/>
      <c r="B4" s="98" t="s">
        <v>128</v>
      </c>
      <c r="C4" s="99" t="s">
        <v>114</v>
      </c>
      <c r="D4" s="99" t="s">
        <v>114</v>
      </c>
      <c r="E4" s="100" t="s">
        <v>114</v>
      </c>
      <c r="F4" s="100" t="s">
        <v>114</v>
      </c>
      <c r="G4" s="100"/>
      <c r="H4" s="100"/>
      <c r="I4" s="94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6" ht="19" x14ac:dyDescent="0.25">
      <c r="A5" s="91"/>
      <c r="B5" s="98" t="s">
        <v>121</v>
      </c>
      <c r="C5" s="98" t="s">
        <v>121</v>
      </c>
      <c r="D5" s="99" t="s">
        <v>129</v>
      </c>
      <c r="E5" s="100" t="s">
        <v>114</v>
      </c>
      <c r="F5" s="100" t="s">
        <v>114</v>
      </c>
      <c r="G5" s="100"/>
      <c r="H5" s="100"/>
      <c r="I5" s="94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6" ht="19" x14ac:dyDescent="0.25">
      <c r="A6" s="91"/>
      <c r="B6" s="98" t="s">
        <v>130</v>
      </c>
      <c r="C6" s="99" t="s">
        <v>131</v>
      </c>
      <c r="D6" s="99" t="s">
        <v>132</v>
      </c>
      <c r="E6" s="100" t="s">
        <v>114</v>
      </c>
      <c r="F6" s="100" t="s">
        <v>114</v>
      </c>
      <c r="G6" s="100"/>
      <c r="H6" s="100"/>
      <c r="I6" s="94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" x14ac:dyDescent="0.25">
      <c r="A7" s="91"/>
      <c r="B7" s="98"/>
      <c r="C7" s="99" t="s">
        <v>133</v>
      </c>
      <c r="D7" s="101" t="s">
        <v>134</v>
      </c>
      <c r="E7" s="100" t="s">
        <v>114</v>
      </c>
      <c r="F7" s="100" t="s">
        <v>114</v>
      </c>
      <c r="G7" s="100"/>
      <c r="H7" s="100"/>
      <c r="I7" s="94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" x14ac:dyDescent="0.25">
      <c r="A8" s="91"/>
      <c r="B8" s="98"/>
      <c r="C8" s="99" t="s">
        <v>135</v>
      </c>
      <c r="D8" s="101" t="s">
        <v>136</v>
      </c>
      <c r="E8" s="100" t="s">
        <v>114</v>
      </c>
      <c r="F8" s="100" t="s">
        <v>114</v>
      </c>
      <c r="G8" s="100"/>
      <c r="H8" s="100"/>
      <c r="I8" s="94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6" ht="19" x14ac:dyDescent="0.25">
      <c r="A9" s="91"/>
      <c r="B9" s="98"/>
      <c r="C9" s="99" t="s">
        <v>137</v>
      </c>
      <c r="D9" s="101" t="s">
        <v>138</v>
      </c>
      <c r="E9" s="100" t="s">
        <v>114</v>
      </c>
      <c r="F9" s="100" t="s">
        <v>114</v>
      </c>
      <c r="G9" s="100"/>
      <c r="H9" s="100"/>
      <c r="I9" s="94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6" ht="19" x14ac:dyDescent="0.25">
      <c r="A10" s="91"/>
      <c r="B10" s="98"/>
      <c r="C10" s="99" t="s">
        <v>139</v>
      </c>
      <c r="D10" s="101" t="s">
        <v>140</v>
      </c>
      <c r="E10" s="100" t="s">
        <v>114</v>
      </c>
      <c r="F10" s="100" t="s">
        <v>114</v>
      </c>
      <c r="G10" s="100"/>
      <c r="H10" s="100"/>
      <c r="I10" s="94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6" ht="19" x14ac:dyDescent="0.25">
      <c r="A11" s="91"/>
      <c r="B11" s="98"/>
      <c r="C11" s="99" t="s">
        <v>141</v>
      </c>
      <c r="D11" s="101" t="s">
        <v>142</v>
      </c>
      <c r="E11" s="100" t="s">
        <v>114</v>
      </c>
      <c r="F11" s="100" t="s">
        <v>114</v>
      </c>
      <c r="G11" s="100"/>
      <c r="H11" s="100"/>
      <c r="I11" s="94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6" ht="19" x14ac:dyDescent="0.25">
      <c r="A12" s="91"/>
      <c r="B12" s="98"/>
      <c r="C12" s="99" t="s">
        <v>143</v>
      </c>
      <c r="D12" s="101" t="s">
        <v>144</v>
      </c>
      <c r="E12" s="100" t="s">
        <v>114</v>
      </c>
      <c r="F12" s="100" t="s">
        <v>114</v>
      </c>
      <c r="G12" s="100"/>
      <c r="H12" s="100"/>
      <c r="I12" s="94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6" ht="19" x14ac:dyDescent="0.25">
      <c r="A13" s="91"/>
      <c r="B13" s="98"/>
      <c r="C13" s="99" t="s">
        <v>145</v>
      </c>
      <c r="D13" s="101" t="s">
        <v>146</v>
      </c>
      <c r="E13" s="100" t="s">
        <v>114</v>
      </c>
      <c r="F13" s="100" t="s">
        <v>114</v>
      </c>
      <c r="G13" s="100"/>
      <c r="H13" s="100"/>
      <c r="I13" s="94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6" ht="19" x14ac:dyDescent="0.25">
      <c r="A14" s="91"/>
      <c r="B14" s="98"/>
      <c r="C14" s="99" t="s">
        <v>147</v>
      </c>
      <c r="D14" s="101" t="s">
        <v>148</v>
      </c>
      <c r="E14" s="100" t="s">
        <v>114</v>
      </c>
      <c r="F14" s="100" t="s">
        <v>114</v>
      </c>
      <c r="G14" s="100"/>
      <c r="H14" s="100"/>
      <c r="I14" s="94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6" ht="19" x14ac:dyDescent="0.25">
      <c r="A15" s="91"/>
      <c r="B15" s="98"/>
      <c r="C15" s="99" t="s">
        <v>149</v>
      </c>
      <c r="D15" s="101" t="s">
        <v>150</v>
      </c>
      <c r="E15" s="100" t="s">
        <v>114</v>
      </c>
      <c r="F15" s="100" t="s">
        <v>114</v>
      </c>
      <c r="G15" s="100"/>
      <c r="H15" s="100"/>
      <c r="I15" s="94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spans="1:26" ht="19" x14ac:dyDescent="0.25">
      <c r="A16" s="91"/>
      <c r="B16" s="98"/>
      <c r="C16" s="99" t="s">
        <v>151</v>
      </c>
      <c r="D16" s="101" t="s">
        <v>152</v>
      </c>
      <c r="E16" s="100" t="s">
        <v>114</v>
      </c>
      <c r="F16" s="100" t="s">
        <v>114</v>
      </c>
      <c r="G16" s="100"/>
      <c r="H16" s="100"/>
      <c r="I16" s="94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1:25" ht="19" x14ac:dyDescent="0.25">
      <c r="A17" s="91"/>
      <c r="B17" s="98"/>
      <c r="C17" s="99" t="s">
        <v>153</v>
      </c>
      <c r="D17" s="101" t="s">
        <v>154</v>
      </c>
      <c r="E17" s="100" t="s">
        <v>114</v>
      </c>
      <c r="F17" s="100" t="s">
        <v>114</v>
      </c>
      <c r="G17" s="100"/>
      <c r="H17" s="100"/>
      <c r="I17" s="94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25" ht="19" x14ac:dyDescent="0.25">
      <c r="A18" s="91"/>
      <c r="B18" s="98"/>
      <c r="C18" s="99" t="s">
        <v>77</v>
      </c>
      <c r="D18" s="101" t="s">
        <v>155</v>
      </c>
      <c r="E18" s="100" t="s">
        <v>114</v>
      </c>
      <c r="F18" s="100" t="s">
        <v>114</v>
      </c>
      <c r="G18" s="100"/>
      <c r="H18" s="100"/>
      <c r="I18" s="94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9" x14ac:dyDescent="0.25">
      <c r="A19" s="91"/>
      <c r="B19" s="98"/>
      <c r="C19" s="99" t="s">
        <v>156</v>
      </c>
      <c r="D19" s="101" t="s">
        <v>157</v>
      </c>
      <c r="E19" s="100" t="s">
        <v>114</v>
      </c>
      <c r="F19" s="100" t="s">
        <v>114</v>
      </c>
      <c r="G19" s="100"/>
      <c r="H19" s="100"/>
      <c r="I19" s="94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25" ht="19" x14ac:dyDescent="0.25">
      <c r="A20" s="91"/>
      <c r="B20" s="98"/>
      <c r="C20" s="99" t="s">
        <v>158</v>
      </c>
      <c r="D20" s="101" t="s">
        <v>159</v>
      </c>
      <c r="E20" s="100" t="s">
        <v>114</v>
      </c>
      <c r="F20" s="100" t="s">
        <v>114</v>
      </c>
      <c r="G20" s="100"/>
      <c r="H20" s="100"/>
      <c r="I20" s="94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9" x14ac:dyDescent="0.25">
      <c r="A21" s="91"/>
      <c r="B21" s="98"/>
      <c r="C21" s="99" t="s">
        <v>160</v>
      </c>
      <c r="D21" s="101" t="s">
        <v>161</v>
      </c>
      <c r="E21" s="100" t="s">
        <v>114</v>
      </c>
      <c r="F21" s="100" t="s">
        <v>114</v>
      </c>
      <c r="G21" s="100"/>
      <c r="H21" s="100"/>
      <c r="I21" s="94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9" x14ac:dyDescent="0.25">
      <c r="A22" s="91"/>
      <c r="B22" s="98"/>
      <c r="C22" s="101" t="s">
        <v>162</v>
      </c>
      <c r="D22" s="101" t="s">
        <v>163</v>
      </c>
      <c r="E22" s="100" t="s">
        <v>114</v>
      </c>
      <c r="F22" s="100" t="s">
        <v>114</v>
      </c>
      <c r="G22" s="100"/>
      <c r="H22" s="100"/>
      <c r="I22" s="94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9" x14ac:dyDescent="0.25">
      <c r="A23" s="91"/>
      <c r="B23" s="98"/>
      <c r="C23" s="101" t="s">
        <v>164</v>
      </c>
      <c r="D23" s="101" t="s">
        <v>165</v>
      </c>
      <c r="E23" s="100" t="s">
        <v>114</v>
      </c>
      <c r="F23" s="100" t="s">
        <v>114</v>
      </c>
      <c r="G23" s="100"/>
      <c r="H23" s="100"/>
      <c r="I23" s="94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9" x14ac:dyDescent="0.25">
      <c r="A24" s="91"/>
      <c r="B24" s="98" t="s">
        <v>166</v>
      </c>
      <c r="C24" s="102" t="s">
        <v>167</v>
      </c>
      <c r="D24" s="99"/>
      <c r="E24" s="100" t="s">
        <v>114</v>
      </c>
      <c r="F24" s="100" t="s">
        <v>114</v>
      </c>
      <c r="G24" s="100"/>
      <c r="H24" s="100"/>
      <c r="I24" s="94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9" x14ac:dyDescent="0.25">
      <c r="A25" s="91"/>
      <c r="B25" s="98"/>
      <c r="C25" s="99" t="s">
        <v>168</v>
      </c>
      <c r="D25" s="99" t="s">
        <v>169</v>
      </c>
      <c r="E25" s="100" t="s">
        <v>114</v>
      </c>
      <c r="F25" s="100" t="s">
        <v>114</v>
      </c>
      <c r="G25" s="100"/>
      <c r="H25" s="100"/>
      <c r="I25" s="103"/>
      <c r="J25" s="8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57" x14ac:dyDescent="0.25">
      <c r="A26" s="91"/>
      <c r="B26" s="98"/>
      <c r="C26" s="101" t="s">
        <v>170</v>
      </c>
      <c r="D26" s="101" t="s">
        <v>171</v>
      </c>
      <c r="E26" s="100" t="s">
        <v>114</v>
      </c>
      <c r="F26" s="100" t="s">
        <v>114</v>
      </c>
      <c r="G26" s="100"/>
      <c r="H26" s="100"/>
      <c r="I26" s="104"/>
      <c r="J26" s="104"/>
      <c r="K26" s="10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57" x14ac:dyDescent="0.25">
      <c r="A27" s="91"/>
      <c r="B27" s="98"/>
      <c r="C27" s="105" t="s">
        <v>172</v>
      </c>
      <c r="D27" s="99"/>
      <c r="E27" s="106" t="s">
        <v>173</v>
      </c>
      <c r="F27" s="100"/>
      <c r="G27" s="100"/>
      <c r="H27" s="100"/>
      <c r="I27" s="104"/>
      <c r="J27" s="104"/>
      <c r="K27" s="10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8" x14ac:dyDescent="0.25">
      <c r="A28" s="91"/>
      <c r="B28" s="98"/>
      <c r="C28" s="107"/>
      <c r="D28" s="99"/>
      <c r="E28" s="100"/>
      <c r="F28" s="100"/>
      <c r="G28" s="100"/>
      <c r="H28" s="100"/>
      <c r="I28" s="104"/>
      <c r="J28" s="104"/>
      <c r="K28" s="104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spans="1:25" ht="19" x14ac:dyDescent="0.25">
      <c r="A29" s="91"/>
      <c r="B29" s="108" t="s">
        <v>174</v>
      </c>
      <c r="C29" s="356" t="s">
        <v>167</v>
      </c>
      <c r="D29" s="110" t="s">
        <v>120</v>
      </c>
      <c r="E29" s="110" t="s">
        <v>118</v>
      </c>
      <c r="F29" s="111" t="s">
        <v>52</v>
      </c>
      <c r="G29" s="111" t="s">
        <v>53</v>
      </c>
      <c r="H29" s="111" t="s">
        <v>54</v>
      </c>
      <c r="I29" s="111" t="s">
        <v>55</v>
      </c>
      <c r="J29" s="110" t="s">
        <v>56</v>
      </c>
      <c r="K29" s="110" t="s">
        <v>57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 ht="57" x14ac:dyDescent="0.25">
      <c r="A30" s="91"/>
      <c r="B30" s="112"/>
      <c r="C30" s="357"/>
      <c r="D30" s="111" t="s">
        <v>88</v>
      </c>
      <c r="E30" s="111" t="s">
        <v>119</v>
      </c>
      <c r="F30" s="111" t="s">
        <v>89</v>
      </c>
      <c r="G30" s="111" t="s">
        <v>90</v>
      </c>
      <c r="H30" s="111" t="s">
        <v>91</v>
      </c>
      <c r="I30" s="111" t="s">
        <v>92</v>
      </c>
      <c r="J30" s="111" t="s">
        <v>93</v>
      </c>
      <c r="K30" s="111" t="s">
        <v>94</v>
      </c>
      <c r="L30" s="88" t="s">
        <v>175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spans="1:25" ht="19" x14ac:dyDescent="0.25">
      <c r="A31" s="91"/>
      <c r="B31" s="112"/>
      <c r="C31" s="99" t="s">
        <v>176</v>
      </c>
      <c r="D31" s="113">
        <v>567.48</v>
      </c>
      <c r="E31" s="114">
        <v>1300</v>
      </c>
      <c r="F31" s="114">
        <v>1500</v>
      </c>
      <c r="G31" s="114">
        <v>3600</v>
      </c>
      <c r="H31" s="114">
        <v>5200</v>
      </c>
      <c r="I31" s="115">
        <v>10500</v>
      </c>
      <c r="J31" s="115">
        <v>20100</v>
      </c>
      <c r="K31" s="115">
        <v>31800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spans="1:25" ht="19" x14ac:dyDescent="0.25">
      <c r="A32" s="91"/>
      <c r="B32" s="112"/>
      <c r="C32" s="99" t="s">
        <v>177</v>
      </c>
      <c r="D32" s="113"/>
      <c r="E32" s="116"/>
      <c r="F32" s="116"/>
      <c r="G32" s="116"/>
      <c r="H32" s="117">
        <f>5200*0.9</f>
        <v>4680</v>
      </c>
      <c r="I32" s="118">
        <f>10500*0.9</f>
        <v>9450</v>
      </c>
      <c r="J32" s="118">
        <f>J31*0.9</f>
        <v>18090</v>
      </c>
      <c r="K32" s="118">
        <f>31800*0.9</f>
        <v>28620</v>
      </c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7" ht="19" x14ac:dyDescent="0.25">
      <c r="A33" s="91"/>
      <c r="B33" s="119"/>
      <c r="C33" s="99" t="s">
        <v>178</v>
      </c>
      <c r="D33" s="113">
        <f t="shared" ref="D33:F33" si="0">D31*3</f>
        <v>1702.44</v>
      </c>
      <c r="E33" s="120">
        <f t="shared" si="0"/>
        <v>3900</v>
      </c>
      <c r="F33" s="120">
        <f t="shared" si="0"/>
        <v>4500</v>
      </c>
      <c r="G33" s="120">
        <f>G31*3</f>
        <v>10800</v>
      </c>
      <c r="H33" s="120">
        <f>H31*3</f>
        <v>15600</v>
      </c>
      <c r="I33" s="120">
        <f t="shared" ref="I33:K33" si="1">I31*3</f>
        <v>31500</v>
      </c>
      <c r="J33" s="120">
        <f t="shared" si="1"/>
        <v>60300</v>
      </c>
      <c r="K33" s="121">
        <f t="shared" si="1"/>
        <v>95400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27" ht="19" x14ac:dyDescent="0.25">
      <c r="A34" s="91"/>
      <c r="B34" s="122" t="s">
        <v>179</v>
      </c>
      <c r="C34" s="123"/>
      <c r="D34" s="124"/>
      <c r="E34" s="125">
        <f>E33*0.85</f>
        <v>3315</v>
      </c>
      <c r="F34" s="125">
        <f>F33*0.85</f>
        <v>3825</v>
      </c>
      <c r="G34" s="125">
        <f>G33*0.85</f>
        <v>9180</v>
      </c>
      <c r="H34" s="125">
        <f>H33*0.75</f>
        <v>11700</v>
      </c>
      <c r="I34" s="125">
        <f>I33*0.75</f>
        <v>23625</v>
      </c>
      <c r="J34" s="125">
        <f>J33*0.75</f>
        <v>45225</v>
      </c>
      <c r="K34" s="126">
        <f>K33*0.75</f>
        <v>71550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27"/>
    </row>
    <row r="35" spans="1:27" ht="19" x14ac:dyDescent="0.25">
      <c r="A35" s="91"/>
      <c r="B35" s="119"/>
      <c r="C35" s="99" t="s">
        <v>180</v>
      </c>
      <c r="D35" s="113">
        <f t="shared" ref="D35:G35" si="2">D31*6</f>
        <v>3404.88</v>
      </c>
      <c r="E35" s="120">
        <f t="shared" si="2"/>
        <v>7800</v>
      </c>
      <c r="F35" s="120">
        <f t="shared" si="2"/>
        <v>9000</v>
      </c>
      <c r="G35" s="120">
        <f t="shared" si="2"/>
        <v>21600</v>
      </c>
      <c r="H35" s="120">
        <f>H31*6</f>
        <v>31200</v>
      </c>
      <c r="I35" s="120">
        <f t="shared" ref="I35:K35" si="3">I31*6</f>
        <v>63000</v>
      </c>
      <c r="J35" s="120">
        <f t="shared" si="3"/>
        <v>120600</v>
      </c>
      <c r="K35" s="121">
        <f t="shared" si="3"/>
        <v>190800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</row>
    <row r="36" spans="1:27" ht="19" x14ac:dyDescent="0.25">
      <c r="A36" s="128"/>
      <c r="B36" s="122" t="s">
        <v>181</v>
      </c>
      <c r="C36" s="123"/>
      <c r="D36" s="129"/>
      <c r="E36" s="130">
        <f>E35*0.8</f>
        <v>6240</v>
      </c>
      <c r="F36" s="130">
        <f>F35*0.8</f>
        <v>7200</v>
      </c>
      <c r="G36" s="130">
        <f>G35*0.8</f>
        <v>17280</v>
      </c>
      <c r="H36" s="130">
        <f>H35*0.7</f>
        <v>21840</v>
      </c>
      <c r="I36" s="130">
        <f>I35*0.7</f>
        <v>44100</v>
      </c>
      <c r="J36" s="130">
        <f>J35*0.7</f>
        <v>84420</v>
      </c>
      <c r="K36" s="131">
        <f>K35*0.7</f>
        <v>133560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27"/>
    </row>
    <row r="37" spans="1:27" s="139" customFormat="1" ht="18" x14ac:dyDescent="0.25">
      <c r="A37" s="132"/>
      <c r="B37" s="133"/>
      <c r="C37" s="134" t="s">
        <v>182</v>
      </c>
      <c r="D37" s="135">
        <f t="shared" ref="D37:G37" si="4">D31*9</f>
        <v>5107.32</v>
      </c>
      <c r="E37" s="136">
        <f t="shared" si="4"/>
        <v>11700</v>
      </c>
      <c r="F37" s="136">
        <f t="shared" si="4"/>
        <v>13500</v>
      </c>
      <c r="G37" s="136">
        <f t="shared" si="4"/>
        <v>32400</v>
      </c>
      <c r="H37" s="136">
        <f>H31*9</f>
        <v>46800</v>
      </c>
      <c r="I37" s="136">
        <f t="shared" ref="I37:K37" si="5">I31*9</f>
        <v>94500</v>
      </c>
      <c r="J37" s="136">
        <f t="shared" si="5"/>
        <v>180900</v>
      </c>
      <c r="K37" s="137">
        <f t="shared" si="5"/>
        <v>286200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27"/>
      <c r="AA37" s="138"/>
    </row>
    <row r="38" spans="1:27" s="139" customFormat="1" ht="19" x14ac:dyDescent="0.25">
      <c r="A38" s="132"/>
      <c r="B38" s="140" t="s">
        <v>183</v>
      </c>
      <c r="C38" s="141"/>
      <c r="D38" s="142"/>
      <c r="E38" s="143">
        <f>E37*0.75</f>
        <v>8775</v>
      </c>
      <c r="F38" s="143">
        <f>F37*0.75</f>
        <v>10125</v>
      </c>
      <c r="G38" s="143">
        <f>G37*0.75</f>
        <v>24300</v>
      </c>
      <c r="H38" s="143">
        <f>H37*0.65</f>
        <v>30420</v>
      </c>
      <c r="I38" s="143">
        <f>I37*0.65</f>
        <v>61425</v>
      </c>
      <c r="J38" s="143">
        <f>J37*0.65</f>
        <v>117585</v>
      </c>
      <c r="K38" s="144">
        <f>K37*0.65</f>
        <v>186030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27"/>
      <c r="AA38" s="138"/>
    </row>
    <row r="39" spans="1:27" ht="19" x14ac:dyDescent="0.25">
      <c r="A39" s="145"/>
      <c r="B39" s="146"/>
      <c r="C39" s="147" t="s">
        <v>184</v>
      </c>
      <c r="D39" s="148">
        <f t="shared" ref="D39:G39" si="6">D31*12</f>
        <v>6809.76</v>
      </c>
      <c r="E39" s="149">
        <f t="shared" si="6"/>
        <v>15600</v>
      </c>
      <c r="F39" s="149">
        <f t="shared" si="6"/>
        <v>18000</v>
      </c>
      <c r="G39" s="149">
        <f t="shared" si="6"/>
        <v>43200</v>
      </c>
      <c r="H39" s="149">
        <f>H31*12</f>
        <v>62400</v>
      </c>
      <c r="I39" s="149">
        <f t="shared" ref="I39:K39" si="7">I31*12</f>
        <v>126000</v>
      </c>
      <c r="J39" s="149">
        <f t="shared" si="7"/>
        <v>241200</v>
      </c>
      <c r="K39" s="150">
        <f t="shared" si="7"/>
        <v>381600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 spans="1:27" ht="19" x14ac:dyDescent="0.25">
      <c r="A40" s="91"/>
      <c r="B40" s="140" t="s">
        <v>185</v>
      </c>
      <c r="C40" s="123"/>
      <c r="D40" s="124"/>
      <c r="E40" s="125">
        <f t="shared" ref="E40:G40" si="8">E39*0.7</f>
        <v>10920</v>
      </c>
      <c r="F40" s="125">
        <f>F39*0.7</f>
        <v>12600</v>
      </c>
      <c r="G40" s="125">
        <f t="shared" si="8"/>
        <v>30239.999999999996</v>
      </c>
      <c r="H40" s="125">
        <f>H39*0.6</f>
        <v>37440</v>
      </c>
      <c r="I40" s="125">
        <f>I39*0.6</f>
        <v>75600</v>
      </c>
      <c r="J40" s="125">
        <f>J39*0.6</f>
        <v>144720</v>
      </c>
      <c r="K40" s="126">
        <f>K39*0.6</f>
        <v>228960</v>
      </c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27"/>
    </row>
    <row r="41" spans="1:27" ht="19" hidden="1" x14ac:dyDescent="0.25">
      <c r="A41" s="91"/>
      <c r="B41" s="112" t="s">
        <v>186</v>
      </c>
      <c r="C41" s="356" t="s">
        <v>167</v>
      </c>
      <c r="D41" s="110" t="s">
        <v>120</v>
      </c>
      <c r="E41" s="110" t="s">
        <v>118</v>
      </c>
      <c r="F41" s="111" t="s">
        <v>52</v>
      </c>
      <c r="G41" s="111" t="s">
        <v>53</v>
      </c>
      <c r="H41" s="111" t="s">
        <v>54</v>
      </c>
      <c r="I41" s="111" t="s">
        <v>55</v>
      </c>
      <c r="J41" s="110" t="s">
        <v>56</v>
      </c>
      <c r="K41" s="151" t="s">
        <v>57</v>
      </c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7" ht="19" hidden="1" x14ac:dyDescent="0.25">
      <c r="A42" s="91"/>
      <c r="B42" s="112"/>
      <c r="C42" s="357"/>
      <c r="D42" s="110" t="s">
        <v>88</v>
      </c>
      <c r="E42" s="111" t="s">
        <v>187</v>
      </c>
      <c r="F42" s="111" t="s">
        <v>89</v>
      </c>
      <c r="G42" s="111" t="s">
        <v>188</v>
      </c>
      <c r="H42" s="111" t="s">
        <v>91</v>
      </c>
      <c r="I42" s="110" t="s">
        <v>92</v>
      </c>
      <c r="J42" s="110" t="s">
        <v>93</v>
      </c>
      <c r="K42" s="151" t="s">
        <v>189</v>
      </c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 spans="1:27" ht="19" hidden="1" x14ac:dyDescent="0.25">
      <c r="A43" s="88"/>
      <c r="B43" s="112"/>
      <c r="C43" s="99" t="s">
        <v>176</v>
      </c>
      <c r="D43" s="99"/>
      <c r="E43" s="100"/>
      <c r="F43" s="100"/>
      <c r="G43" s="100"/>
      <c r="H43" s="100"/>
      <c r="I43" s="99"/>
      <c r="J43" s="99"/>
      <c r="K43" s="152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 spans="1:27" ht="19" hidden="1" x14ac:dyDescent="0.25">
      <c r="A44" s="88"/>
      <c r="B44" s="153"/>
      <c r="C44" s="99" t="s">
        <v>178</v>
      </c>
      <c r="D44" s="99"/>
      <c r="E44" s="100"/>
      <c r="F44" s="100"/>
      <c r="G44" s="100"/>
      <c r="H44" s="100"/>
      <c r="I44" s="99"/>
      <c r="J44" s="99"/>
      <c r="K44" s="152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 spans="1:27" ht="19" hidden="1" x14ac:dyDescent="0.25">
      <c r="A45" s="88"/>
      <c r="B45" s="153"/>
      <c r="C45" s="99" t="s">
        <v>180</v>
      </c>
      <c r="D45" s="99"/>
      <c r="E45" s="100"/>
      <c r="F45" s="100"/>
      <c r="G45" s="100"/>
      <c r="H45" s="100"/>
      <c r="I45" s="99"/>
      <c r="J45" s="99"/>
      <c r="K45" s="152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 spans="1:27" ht="19" hidden="1" x14ac:dyDescent="0.25">
      <c r="A46" s="88"/>
      <c r="B46" s="153"/>
      <c r="C46" s="99" t="s">
        <v>184</v>
      </c>
      <c r="D46" s="99"/>
      <c r="E46" s="100"/>
      <c r="F46" s="100"/>
      <c r="G46" s="154"/>
      <c r="H46" s="154"/>
      <c r="I46" s="99"/>
      <c r="J46" s="99"/>
      <c r="K46" s="152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 spans="1:27" ht="19" hidden="1" x14ac:dyDescent="0.25">
      <c r="A47" s="88"/>
      <c r="B47" s="112" t="s">
        <v>190</v>
      </c>
      <c r="C47" s="356" t="s">
        <v>167</v>
      </c>
      <c r="D47" s="110" t="s">
        <v>120</v>
      </c>
      <c r="E47" s="110" t="s">
        <v>118</v>
      </c>
      <c r="F47" s="111" t="s">
        <v>52</v>
      </c>
      <c r="G47" s="111" t="s">
        <v>53</v>
      </c>
      <c r="H47" s="111" t="s">
        <v>54</v>
      </c>
      <c r="I47" s="111" t="s">
        <v>55</v>
      </c>
      <c r="J47" s="110" t="s">
        <v>56</v>
      </c>
      <c r="K47" s="151" t="s">
        <v>57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 spans="1:27" ht="19" hidden="1" x14ac:dyDescent="0.25">
      <c r="A48" s="88"/>
      <c r="B48" s="153"/>
      <c r="C48" s="357"/>
      <c r="D48" s="110" t="s">
        <v>88</v>
      </c>
      <c r="E48" s="111" t="s">
        <v>187</v>
      </c>
      <c r="F48" s="111" t="s">
        <v>89</v>
      </c>
      <c r="G48" s="111" t="s">
        <v>188</v>
      </c>
      <c r="H48" s="111" t="s">
        <v>91</v>
      </c>
      <c r="I48" s="110" t="s">
        <v>92</v>
      </c>
      <c r="J48" s="110" t="s">
        <v>93</v>
      </c>
      <c r="K48" s="151" t="s">
        <v>189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6" ht="19" hidden="1" x14ac:dyDescent="0.25">
      <c r="A49" s="88"/>
      <c r="B49" s="153"/>
      <c r="C49" s="99" t="s">
        <v>176</v>
      </c>
      <c r="D49" s="99"/>
      <c r="E49" s="100"/>
      <c r="F49" s="100"/>
      <c r="G49" s="100"/>
      <c r="H49" s="100"/>
      <c r="I49" s="99"/>
      <c r="J49" s="99"/>
      <c r="K49" s="152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1:26" ht="19" hidden="1" x14ac:dyDescent="0.25">
      <c r="A50" s="88"/>
      <c r="B50" s="153"/>
      <c r="C50" s="99" t="s">
        <v>178</v>
      </c>
      <c r="D50" s="99"/>
      <c r="E50" s="100"/>
      <c r="F50" s="100"/>
      <c r="G50" s="100"/>
      <c r="H50" s="100"/>
      <c r="I50" s="99"/>
      <c r="J50" s="99"/>
      <c r="K50" s="152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1:26" ht="19" hidden="1" x14ac:dyDescent="0.25">
      <c r="A51" s="88"/>
      <c r="B51" s="153"/>
      <c r="C51" s="99" t="s">
        <v>180</v>
      </c>
      <c r="D51" s="99"/>
      <c r="E51" s="100"/>
      <c r="F51" s="100"/>
      <c r="G51" s="100"/>
      <c r="H51" s="100"/>
      <c r="I51" s="99"/>
      <c r="J51" s="99"/>
      <c r="K51" s="152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1:26" ht="19" hidden="1" x14ac:dyDescent="0.25">
      <c r="A52" s="88"/>
      <c r="B52" s="153"/>
      <c r="C52" s="99" t="s">
        <v>184</v>
      </c>
      <c r="D52" s="99"/>
      <c r="E52" s="100"/>
      <c r="F52" s="100"/>
      <c r="G52" s="154"/>
      <c r="H52" s="154"/>
      <c r="I52" s="99"/>
      <c r="J52" s="99"/>
      <c r="K52" s="152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1:26" ht="19" x14ac:dyDescent="0.25">
      <c r="A53" s="88"/>
      <c r="B53" s="108" t="s">
        <v>191</v>
      </c>
      <c r="C53" s="356" t="s">
        <v>167</v>
      </c>
      <c r="D53" s="110" t="s">
        <v>120</v>
      </c>
      <c r="E53" s="110" t="s">
        <v>118</v>
      </c>
      <c r="F53" s="111" t="s">
        <v>52</v>
      </c>
      <c r="G53" s="111" t="s">
        <v>53</v>
      </c>
      <c r="H53" s="111" t="s">
        <v>54</v>
      </c>
      <c r="I53" s="111" t="s">
        <v>55</v>
      </c>
      <c r="J53" s="110" t="s">
        <v>56</v>
      </c>
      <c r="K53" s="151" t="s">
        <v>57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1:26" ht="19" x14ac:dyDescent="0.25">
      <c r="A54" s="88"/>
      <c r="B54" s="153"/>
      <c r="C54" s="357"/>
      <c r="D54" s="110" t="s">
        <v>88</v>
      </c>
      <c r="E54" s="111" t="s">
        <v>119</v>
      </c>
      <c r="F54" s="111" t="s">
        <v>89</v>
      </c>
      <c r="G54" s="111" t="s">
        <v>188</v>
      </c>
      <c r="H54" s="111" t="s">
        <v>91</v>
      </c>
      <c r="I54" s="110" t="s">
        <v>92</v>
      </c>
      <c r="J54" s="110" t="s">
        <v>93</v>
      </c>
      <c r="K54" s="151" t="s">
        <v>94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pans="1:26" ht="19" x14ac:dyDescent="0.25">
      <c r="A55" s="91"/>
      <c r="B55" s="112"/>
      <c r="C55" s="99" t="s">
        <v>176</v>
      </c>
      <c r="D55" s="99" t="s">
        <v>114</v>
      </c>
      <c r="E55" s="99" t="s">
        <v>114</v>
      </c>
      <c r="F55" s="99" t="s">
        <v>114</v>
      </c>
      <c r="G55" s="99" t="s">
        <v>114</v>
      </c>
      <c r="H55" s="114">
        <v>5200</v>
      </c>
      <c r="I55" s="115">
        <v>10500</v>
      </c>
      <c r="J55" s="115">
        <v>20100</v>
      </c>
      <c r="K55" s="155">
        <v>31800</v>
      </c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6" ht="19" x14ac:dyDescent="0.25">
      <c r="A56" s="91"/>
      <c r="B56" s="112"/>
      <c r="C56" s="99" t="s">
        <v>177</v>
      </c>
      <c r="D56" s="113"/>
      <c r="E56" s="116"/>
      <c r="F56" s="116"/>
      <c r="G56" s="116"/>
      <c r="H56" s="117">
        <f>H55*0.9</f>
        <v>4680</v>
      </c>
      <c r="I56" s="117">
        <f t="shared" ref="I56:K56" si="9">I55*0.9</f>
        <v>9450</v>
      </c>
      <c r="J56" s="117">
        <f t="shared" si="9"/>
        <v>18090</v>
      </c>
      <c r="K56" s="156">
        <f t="shared" si="9"/>
        <v>28620</v>
      </c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spans="1:26" ht="19" x14ac:dyDescent="0.25">
      <c r="A57" s="91"/>
      <c r="B57" s="157"/>
      <c r="C57" s="99" t="s">
        <v>178</v>
      </c>
      <c r="D57" s="99" t="s">
        <v>114</v>
      </c>
      <c r="E57" s="99" t="s">
        <v>114</v>
      </c>
      <c r="F57" s="99" t="s">
        <v>114</v>
      </c>
      <c r="G57" s="99" t="s">
        <v>114</v>
      </c>
      <c r="H57" s="120">
        <f>H55*3</f>
        <v>15600</v>
      </c>
      <c r="I57" s="120">
        <f t="shared" ref="I57:K57" si="10">I55*3</f>
        <v>31500</v>
      </c>
      <c r="J57" s="120">
        <f t="shared" si="10"/>
        <v>60300</v>
      </c>
      <c r="K57" s="121">
        <f t="shared" si="10"/>
        <v>95400</v>
      </c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 spans="1:26" ht="19" x14ac:dyDescent="0.25">
      <c r="A58" s="91"/>
      <c r="B58" s="140" t="s">
        <v>192</v>
      </c>
      <c r="C58" s="123"/>
      <c r="D58" s="158" t="s">
        <v>114</v>
      </c>
      <c r="E58" s="158" t="s">
        <v>114</v>
      </c>
      <c r="F58" s="158" t="s">
        <v>114</v>
      </c>
      <c r="G58" s="158" t="s">
        <v>114</v>
      </c>
      <c r="H58" s="125">
        <f>H57*0.75</f>
        <v>11700</v>
      </c>
      <c r="I58" s="125">
        <f t="shared" ref="I58:K58" si="11">I57*0.75</f>
        <v>23625</v>
      </c>
      <c r="J58" s="125">
        <f t="shared" si="11"/>
        <v>45225</v>
      </c>
      <c r="K58" s="126">
        <f t="shared" si="11"/>
        <v>71550</v>
      </c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27"/>
    </row>
    <row r="59" spans="1:26" ht="19" x14ac:dyDescent="0.25">
      <c r="A59" s="91"/>
      <c r="B59" s="157" t="s">
        <v>193</v>
      </c>
      <c r="C59" s="99" t="s">
        <v>180</v>
      </c>
      <c r="D59" s="159" t="s">
        <v>114</v>
      </c>
      <c r="E59" s="159" t="s">
        <v>114</v>
      </c>
      <c r="F59" s="159" t="s">
        <v>114</v>
      </c>
      <c r="G59" s="159" t="s">
        <v>114</v>
      </c>
      <c r="H59" s="120">
        <f>H55*6</f>
        <v>31200</v>
      </c>
      <c r="I59" s="120">
        <f t="shared" ref="I59:K59" si="12">I55*6</f>
        <v>63000</v>
      </c>
      <c r="J59" s="120">
        <f t="shared" si="12"/>
        <v>120600</v>
      </c>
      <c r="K59" s="121">
        <f t="shared" si="12"/>
        <v>190800</v>
      </c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 spans="1:26" ht="19" x14ac:dyDescent="0.25">
      <c r="A60" s="91"/>
      <c r="B60" s="140" t="s">
        <v>194</v>
      </c>
      <c r="C60" s="123"/>
      <c r="D60" s="160"/>
      <c r="E60" s="160"/>
      <c r="F60" s="160"/>
      <c r="G60" s="160"/>
      <c r="H60" s="130">
        <f>H59*0.7</f>
        <v>21840</v>
      </c>
      <c r="I60" s="130">
        <f t="shared" ref="I60:K60" si="13">I59*0.7</f>
        <v>44100</v>
      </c>
      <c r="J60" s="130">
        <f t="shared" si="13"/>
        <v>84420</v>
      </c>
      <c r="K60" s="131">
        <f t="shared" si="13"/>
        <v>133560</v>
      </c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 spans="1:26" ht="19" x14ac:dyDescent="0.25">
      <c r="A61" s="91"/>
      <c r="B61" s="157" t="s">
        <v>193</v>
      </c>
      <c r="C61" s="134" t="s">
        <v>182</v>
      </c>
      <c r="D61" s="147"/>
      <c r="E61" s="147"/>
      <c r="F61" s="147"/>
      <c r="G61" s="147"/>
      <c r="H61" s="136">
        <f>H55*9</f>
        <v>46800</v>
      </c>
      <c r="I61" s="136">
        <f t="shared" ref="I61:K61" si="14">I55*9</f>
        <v>94500</v>
      </c>
      <c r="J61" s="136">
        <f t="shared" si="14"/>
        <v>180900</v>
      </c>
      <c r="K61" s="137">
        <f t="shared" si="14"/>
        <v>286200</v>
      </c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 spans="1:26" ht="19" x14ac:dyDescent="0.25">
      <c r="A62" s="91"/>
      <c r="B62" s="140" t="s">
        <v>195</v>
      </c>
      <c r="C62" s="141"/>
      <c r="D62" s="158" t="s">
        <v>114</v>
      </c>
      <c r="E62" s="158" t="s">
        <v>114</v>
      </c>
      <c r="F62" s="158" t="s">
        <v>114</v>
      </c>
      <c r="G62" s="158" t="s">
        <v>114</v>
      </c>
      <c r="H62" s="143">
        <f>H61*0.65</f>
        <v>30420</v>
      </c>
      <c r="I62" s="143">
        <f t="shared" ref="I62:K62" si="15">I61*0.65</f>
        <v>61425</v>
      </c>
      <c r="J62" s="143">
        <f t="shared" si="15"/>
        <v>117585</v>
      </c>
      <c r="K62" s="144">
        <f t="shared" si="15"/>
        <v>186030</v>
      </c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27"/>
    </row>
    <row r="63" spans="1:26" ht="19" x14ac:dyDescent="0.25">
      <c r="A63" s="91"/>
      <c r="B63" s="157" t="s">
        <v>193</v>
      </c>
      <c r="C63" s="147" t="s">
        <v>184</v>
      </c>
      <c r="D63" s="99" t="s">
        <v>114</v>
      </c>
      <c r="E63" s="99" t="s">
        <v>114</v>
      </c>
      <c r="F63" s="99" t="s">
        <v>114</v>
      </c>
      <c r="G63" s="99" t="s">
        <v>114</v>
      </c>
      <c r="H63" s="149">
        <f>H55*12</f>
        <v>62400</v>
      </c>
      <c r="I63" s="149">
        <f t="shared" ref="I63:K63" si="16">I55*12</f>
        <v>126000</v>
      </c>
      <c r="J63" s="149">
        <f t="shared" si="16"/>
        <v>241200</v>
      </c>
      <c r="K63" s="150">
        <f t="shared" si="16"/>
        <v>381600</v>
      </c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 spans="1:26" ht="19" x14ac:dyDescent="0.25">
      <c r="A64" s="91"/>
      <c r="B64" s="140" t="s">
        <v>196</v>
      </c>
      <c r="C64" s="123"/>
      <c r="D64" s="158" t="s">
        <v>114</v>
      </c>
      <c r="E64" s="158" t="s">
        <v>114</v>
      </c>
      <c r="F64" s="158" t="s">
        <v>114</v>
      </c>
      <c r="G64" s="158" t="s">
        <v>114</v>
      </c>
      <c r="H64" s="125">
        <f>H63*0.6</f>
        <v>37440</v>
      </c>
      <c r="I64" s="125">
        <f t="shared" ref="I64:K64" si="17">I63*0.6</f>
        <v>75600</v>
      </c>
      <c r="J64" s="125">
        <f t="shared" si="17"/>
        <v>144720</v>
      </c>
      <c r="K64" s="126">
        <f t="shared" si="17"/>
        <v>228960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27"/>
    </row>
    <row r="65" spans="1:25" ht="19" hidden="1" x14ac:dyDescent="0.25">
      <c r="A65" s="88"/>
      <c r="B65" s="153"/>
      <c r="C65" s="99" t="s">
        <v>178</v>
      </c>
      <c r="D65" s="99"/>
      <c r="E65" s="100"/>
      <c r="F65" s="100"/>
      <c r="G65" s="100"/>
      <c r="H65" s="100"/>
      <c r="I65" s="99"/>
      <c r="J65" s="99"/>
      <c r="K65" s="152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 spans="1:25" ht="19" hidden="1" x14ac:dyDescent="0.25">
      <c r="A66" s="88"/>
      <c r="B66" s="153"/>
      <c r="C66" s="99" t="s">
        <v>180</v>
      </c>
      <c r="D66" s="99"/>
      <c r="E66" s="100"/>
      <c r="F66" s="100"/>
      <c r="G66" s="100"/>
      <c r="H66" s="100"/>
      <c r="I66" s="99"/>
      <c r="J66" s="99"/>
      <c r="K66" s="152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 spans="1:25" ht="19" hidden="1" x14ac:dyDescent="0.25">
      <c r="A67" s="88"/>
      <c r="B67" s="153"/>
      <c r="C67" s="99" t="s">
        <v>184</v>
      </c>
      <c r="D67" s="99"/>
      <c r="E67" s="100"/>
      <c r="F67" s="100"/>
      <c r="G67" s="154"/>
      <c r="H67" s="154"/>
      <c r="I67" s="99"/>
      <c r="J67" s="99"/>
      <c r="K67" s="152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 spans="1:25" ht="19" hidden="1" x14ac:dyDescent="0.25">
      <c r="A68" s="88"/>
      <c r="B68" s="112" t="s">
        <v>186</v>
      </c>
      <c r="C68" s="356" t="s">
        <v>167</v>
      </c>
      <c r="D68" s="110" t="s">
        <v>120</v>
      </c>
      <c r="E68" s="110" t="s">
        <v>118</v>
      </c>
      <c r="F68" s="111" t="s">
        <v>52</v>
      </c>
      <c r="G68" s="111" t="s">
        <v>53</v>
      </c>
      <c r="H68" s="111" t="s">
        <v>54</v>
      </c>
      <c r="I68" s="111" t="s">
        <v>55</v>
      </c>
      <c r="J68" s="110" t="s">
        <v>56</v>
      </c>
      <c r="K68" s="151" t="s">
        <v>57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 spans="1:25" ht="19" hidden="1" x14ac:dyDescent="0.25">
      <c r="A69" s="88"/>
      <c r="B69" s="153"/>
      <c r="C69" s="357"/>
      <c r="D69" s="110" t="s">
        <v>88</v>
      </c>
      <c r="E69" s="111" t="s">
        <v>187</v>
      </c>
      <c r="F69" s="111" t="s">
        <v>89</v>
      </c>
      <c r="G69" s="111" t="s">
        <v>188</v>
      </c>
      <c r="H69" s="111" t="s">
        <v>91</v>
      </c>
      <c r="I69" s="110" t="s">
        <v>92</v>
      </c>
      <c r="J69" s="110" t="s">
        <v>93</v>
      </c>
      <c r="K69" s="151" t="s">
        <v>189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 spans="1:25" ht="19" hidden="1" x14ac:dyDescent="0.25">
      <c r="A70" s="88"/>
      <c r="B70" s="153"/>
      <c r="C70" s="99" t="s">
        <v>176</v>
      </c>
      <c r="D70" s="99"/>
      <c r="E70" s="100"/>
      <c r="F70" s="100"/>
      <c r="G70" s="100"/>
      <c r="H70" s="100"/>
      <c r="I70" s="99"/>
      <c r="J70" s="99"/>
      <c r="K70" s="152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 spans="1:25" ht="19" hidden="1" x14ac:dyDescent="0.25">
      <c r="A71" s="88"/>
      <c r="B71" s="153"/>
      <c r="C71" s="99" t="s">
        <v>178</v>
      </c>
      <c r="D71" s="99"/>
      <c r="E71" s="100"/>
      <c r="F71" s="100"/>
      <c r="G71" s="100"/>
      <c r="H71" s="100"/>
      <c r="I71" s="99"/>
      <c r="J71" s="99"/>
      <c r="K71" s="15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 spans="1:25" ht="19" hidden="1" x14ac:dyDescent="0.25">
      <c r="A72" s="88"/>
      <c r="B72" s="153"/>
      <c r="C72" s="99" t="s">
        <v>180</v>
      </c>
      <c r="D72" s="99"/>
      <c r="E72" s="100"/>
      <c r="F72" s="100"/>
      <c r="G72" s="100"/>
      <c r="H72" s="100"/>
      <c r="I72" s="99"/>
      <c r="J72" s="99"/>
      <c r="K72" s="15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 spans="1:25" ht="19" hidden="1" x14ac:dyDescent="0.25">
      <c r="A73" s="88"/>
      <c r="B73" s="153"/>
      <c r="C73" s="99" t="s">
        <v>184</v>
      </c>
      <c r="D73" s="99"/>
      <c r="E73" s="100"/>
      <c r="F73" s="100"/>
      <c r="G73" s="154"/>
      <c r="H73" s="154"/>
      <c r="I73" s="99"/>
      <c r="J73" s="99"/>
      <c r="K73" s="15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 spans="1:25" ht="19" hidden="1" x14ac:dyDescent="0.25">
      <c r="A74" s="88"/>
      <c r="B74" s="112" t="s">
        <v>197</v>
      </c>
      <c r="C74" s="356" t="s">
        <v>167</v>
      </c>
      <c r="D74" s="110" t="s">
        <v>120</v>
      </c>
      <c r="E74" s="110" t="s">
        <v>118</v>
      </c>
      <c r="F74" s="111" t="s">
        <v>52</v>
      </c>
      <c r="G74" s="111" t="s">
        <v>53</v>
      </c>
      <c r="H74" s="111" t="s">
        <v>54</v>
      </c>
      <c r="I74" s="111" t="s">
        <v>55</v>
      </c>
      <c r="J74" s="110" t="s">
        <v>56</v>
      </c>
      <c r="K74" s="151" t="s">
        <v>57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 spans="1:25" ht="19" hidden="1" x14ac:dyDescent="0.25">
      <c r="A75" s="88"/>
      <c r="B75" s="153"/>
      <c r="C75" s="357"/>
      <c r="D75" s="110" t="s">
        <v>88</v>
      </c>
      <c r="E75" s="111" t="s">
        <v>187</v>
      </c>
      <c r="F75" s="111" t="s">
        <v>89</v>
      </c>
      <c r="G75" s="111" t="s">
        <v>188</v>
      </c>
      <c r="H75" s="111" t="s">
        <v>91</v>
      </c>
      <c r="I75" s="110" t="s">
        <v>92</v>
      </c>
      <c r="J75" s="110" t="s">
        <v>93</v>
      </c>
      <c r="K75" s="151" t="s">
        <v>189</v>
      </c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 spans="1:25" ht="19" hidden="1" x14ac:dyDescent="0.25">
      <c r="A76" s="88"/>
      <c r="B76" s="153"/>
      <c r="C76" s="99" t="s">
        <v>176</v>
      </c>
      <c r="D76" s="99"/>
      <c r="E76" s="100"/>
      <c r="F76" s="100"/>
      <c r="G76" s="100"/>
      <c r="H76" s="100"/>
      <c r="I76" s="99"/>
      <c r="J76" s="99"/>
      <c r="K76" s="15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ht="19" hidden="1" x14ac:dyDescent="0.25">
      <c r="A77" s="88"/>
      <c r="B77" s="153"/>
      <c r="C77" s="99" t="s">
        <v>178</v>
      </c>
      <c r="D77" s="99"/>
      <c r="E77" s="100"/>
      <c r="F77" s="100"/>
      <c r="G77" s="100"/>
      <c r="H77" s="100"/>
      <c r="I77" s="99"/>
      <c r="J77" s="99"/>
      <c r="K77" s="15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 spans="1:25" ht="19" hidden="1" x14ac:dyDescent="0.25">
      <c r="A78" s="88"/>
      <c r="B78" s="153"/>
      <c r="C78" s="99" t="s">
        <v>180</v>
      </c>
      <c r="D78" s="99"/>
      <c r="E78" s="100"/>
      <c r="F78" s="100"/>
      <c r="G78" s="100"/>
      <c r="H78" s="100"/>
      <c r="I78" s="99"/>
      <c r="J78" s="99"/>
      <c r="K78" s="152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 spans="1:25" ht="19" hidden="1" x14ac:dyDescent="0.25">
      <c r="A79" s="88"/>
      <c r="B79" s="153"/>
      <c r="C79" s="159" t="s">
        <v>184</v>
      </c>
      <c r="D79" s="99"/>
      <c r="E79" s="100"/>
      <c r="F79" s="100"/>
      <c r="G79" s="154"/>
      <c r="H79" s="154"/>
      <c r="I79" s="99"/>
      <c r="J79" s="99"/>
      <c r="K79" s="152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 spans="1:25" ht="19" x14ac:dyDescent="0.25">
      <c r="A80" s="88"/>
      <c r="B80" s="108" t="s">
        <v>198</v>
      </c>
      <c r="C80" s="356" t="s">
        <v>167</v>
      </c>
      <c r="D80" s="110" t="s">
        <v>120</v>
      </c>
      <c r="E80" s="110" t="s">
        <v>118</v>
      </c>
      <c r="F80" s="111" t="s">
        <v>52</v>
      </c>
      <c r="G80" s="111" t="s">
        <v>53</v>
      </c>
      <c r="H80" s="111" t="s">
        <v>54</v>
      </c>
      <c r="I80" s="111" t="s">
        <v>55</v>
      </c>
      <c r="J80" s="110" t="s">
        <v>56</v>
      </c>
      <c r="K80" s="151" t="s">
        <v>57</v>
      </c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spans="1:26" ht="19" x14ac:dyDescent="0.25">
      <c r="A81" s="88"/>
      <c r="B81" s="161" t="s">
        <v>199</v>
      </c>
      <c r="C81" s="357"/>
      <c r="D81" s="110" t="s">
        <v>88</v>
      </c>
      <c r="E81" s="111" t="s">
        <v>119</v>
      </c>
      <c r="F81" s="111" t="s">
        <v>200</v>
      </c>
      <c r="G81" s="111" t="s">
        <v>201</v>
      </c>
      <c r="H81" s="111" t="s">
        <v>91</v>
      </c>
      <c r="I81" s="110" t="s">
        <v>92</v>
      </c>
      <c r="J81" s="110" t="s">
        <v>93</v>
      </c>
      <c r="K81" s="151" t="s">
        <v>202</v>
      </c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 spans="1:26" ht="19" x14ac:dyDescent="0.25">
      <c r="A82" s="91"/>
      <c r="B82" s="162"/>
      <c r="C82" s="99" t="s">
        <v>176</v>
      </c>
      <c r="D82" s="99">
        <v>847.85</v>
      </c>
      <c r="E82" s="163">
        <v>2100</v>
      </c>
      <c r="F82" s="163">
        <v>2200</v>
      </c>
      <c r="G82" s="163">
        <v>3500</v>
      </c>
      <c r="H82" s="163">
        <v>6300</v>
      </c>
      <c r="I82" s="164">
        <v>13900</v>
      </c>
      <c r="J82" s="164">
        <v>23700</v>
      </c>
      <c r="K82" s="165">
        <v>36500</v>
      </c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 spans="1:26" ht="19" x14ac:dyDescent="0.25">
      <c r="A83" s="91"/>
      <c r="B83" s="162" t="s">
        <v>203</v>
      </c>
      <c r="C83" s="99" t="s">
        <v>177</v>
      </c>
      <c r="D83" s="113"/>
      <c r="E83" s="116"/>
      <c r="F83" s="116"/>
      <c r="G83" s="116"/>
      <c r="H83" s="117">
        <f>H82*0.9</f>
        <v>5670</v>
      </c>
      <c r="I83" s="117">
        <f t="shared" ref="I83:K83" si="18">I82*0.9</f>
        <v>12510</v>
      </c>
      <c r="J83" s="117">
        <f t="shared" si="18"/>
        <v>21330</v>
      </c>
      <c r="K83" s="156">
        <f t="shared" si="18"/>
        <v>32850</v>
      </c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 spans="1:26" ht="19" x14ac:dyDescent="0.25">
      <c r="A84" s="91"/>
      <c r="B84" s="162"/>
      <c r="C84" s="99" t="s">
        <v>178</v>
      </c>
      <c r="D84" s="113">
        <f t="shared" ref="D84:F84" si="19">D82*3</f>
        <v>2543.5500000000002</v>
      </c>
      <c r="E84" s="120">
        <f t="shared" si="19"/>
        <v>6300</v>
      </c>
      <c r="F84" s="120">
        <f t="shared" si="19"/>
        <v>6600</v>
      </c>
      <c r="G84" s="120">
        <f>G82*3</f>
        <v>10500</v>
      </c>
      <c r="H84" s="120">
        <f>H82*3</f>
        <v>18900</v>
      </c>
      <c r="I84" s="120">
        <f t="shared" ref="I84:K84" si="20">I82*3</f>
        <v>41700</v>
      </c>
      <c r="J84" s="120">
        <f t="shared" si="20"/>
        <v>71100</v>
      </c>
      <c r="K84" s="121">
        <f t="shared" si="20"/>
        <v>109500</v>
      </c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 spans="1:26" ht="19" x14ac:dyDescent="0.25">
      <c r="A85" s="91"/>
      <c r="B85" s="140" t="s">
        <v>204</v>
      </c>
      <c r="C85" s="123"/>
      <c r="D85" s="124"/>
      <c r="E85" s="125">
        <f>E84*0.9</f>
        <v>5670</v>
      </c>
      <c r="F85" s="125">
        <f t="shared" ref="F85:G85" si="21">F84*0.9</f>
        <v>5940</v>
      </c>
      <c r="G85" s="125">
        <f t="shared" si="21"/>
        <v>9450</v>
      </c>
      <c r="H85" s="125">
        <f>H84*0.85</f>
        <v>16065</v>
      </c>
      <c r="I85" s="125">
        <f t="shared" ref="I85:K85" si="22">I84*0.85</f>
        <v>35445</v>
      </c>
      <c r="J85" s="125">
        <f t="shared" si="22"/>
        <v>60435</v>
      </c>
      <c r="K85" s="125">
        <f t="shared" si="22"/>
        <v>93075</v>
      </c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 spans="1:26" ht="19" x14ac:dyDescent="0.25">
      <c r="A86" s="91"/>
      <c r="B86" s="162"/>
      <c r="C86" s="99" t="s">
        <v>180</v>
      </c>
      <c r="D86" s="113">
        <f t="shared" ref="D86:G86" si="23">D82*6</f>
        <v>5087.1000000000004</v>
      </c>
      <c r="E86" s="120">
        <f t="shared" si="23"/>
        <v>12600</v>
      </c>
      <c r="F86" s="120">
        <f t="shared" si="23"/>
        <v>13200</v>
      </c>
      <c r="G86" s="120">
        <f t="shared" si="23"/>
        <v>21000</v>
      </c>
      <c r="H86" s="120">
        <f>H82*6</f>
        <v>37800</v>
      </c>
      <c r="I86" s="120">
        <f t="shared" ref="I86:K86" si="24">I82*6</f>
        <v>83400</v>
      </c>
      <c r="J86" s="120">
        <f t="shared" si="24"/>
        <v>142200</v>
      </c>
      <c r="K86" s="121">
        <f t="shared" si="24"/>
        <v>219000</v>
      </c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 spans="1:26" ht="19" x14ac:dyDescent="0.25">
      <c r="A87" s="91"/>
      <c r="B87" s="140" t="s">
        <v>205</v>
      </c>
      <c r="C87" s="123"/>
      <c r="D87" s="129"/>
      <c r="E87" s="130">
        <f>E86*0.85</f>
        <v>10710</v>
      </c>
      <c r="F87" s="130">
        <f t="shared" ref="F87:G87" si="25">F86*0.85</f>
        <v>11220</v>
      </c>
      <c r="G87" s="130">
        <f t="shared" si="25"/>
        <v>17850</v>
      </c>
      <c r="H87" s="130">
        <f>H86*0.8</f>
        <v>30240</v>
      </c>
      <c r="I87" s="130">
        <f t="shared" ref="I87:K87" si="26">I86*0.8</f>
        <v>66720</v>
      </c>
      <c r="J87" s="130">
        <f t="shared" si="26"/>
        <v>113760</v>
      </c>
      <c r="K87" s="130">
        <f t="shared" si="26"/>
        <v>175200</v>
      </c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27"/>
    </row>
    <row r="88" spans="1:26" ht="18" x14ac:dyDescent="0.25">
      <c r="A88" s="91"/>
      <c r="B88" s="162"/>
      <c r="C88" s="134" t="s">
        <v>182</v>
      </c>
      <c r="D88" s="135">
        <f t="shared" ref="D88:G88" si="27">D82*9</f>
        <v>7630.6500000000005</v>
      </c>
      <c r="E88" s="136">
        <f t="shared" si="27"/>
        <v>18900</v>
      </c>
      <c r="F88" s="136">
        <f t="shared" si="27"/>
        <v>19800</v>
      </c>
      <c r="G88" s="136">
        <f t="shared" si="27"/>
        <v>31500</v>
      </c>
      <c r="H88" s="136">
        <f>H82*9</f>
        <v>56700</v>
      </c>
      <c r="I88" s="136">
        <f t="shared" ref="I88:K88" si="28">I82*9</f>
        <v>125100</v>
      </c>
      <c r="J88" s="136">
        <f t="shared" si="28"/>
        <v>213300</v>
      </c>
      <c r="K88" s="137">
        <f t="shared" si="28"/>
        <v>328500</v>
      </c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 spans="1:26" ht="19" x14ac:dyDescent="0.25">
      <c r="A89" s="91"/>
      <c r="B89" s="140" t="s">
        <v>206</v>
      </c>
      <c r="C89" s="141"/>
      <c r="D89" s="142"/>
      <c r="E89" s="143">
        <f>E88*0.8</f>
        <v>15120</v>
      </c>
      <c r="F89" s="143">
        <f t="shared" ref="F89:G89" si="29">F88*0.8</f>
        <v>15840</v>
      </c>
      <c r="G89" s="143">
        <f t="shared" si="29"/>
        <v>25200</v>
      </c>
      <c r="H89" s="143">
        <f>H88*0.75</f>
        <v>42525</v>
      </c>
      <c r="I89" s="143">
        <f t="shared" ref="I89:K89" si="30">I88*0.75</f>
        <v>93825</v>
      </c>
      <c r="J89" s="143">
        <f t="shared" si="30"/>
        <v>159975</v>
      </c>
      <c r="K89" s="143">
        <f t="shared" si="30"/>
        <v>246375</v>
      </c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27"/>
    </row>
    <row r="90" spans="1:26" ht="19" x14ac:dyDescent="0.25">
      <c r="A90" s="91"/>
      <c r="B90" s="162"/>
      <c r="C90" s="147" t="s">
        <v>184</v>
      </c>
      <c r="D90" s="148">
        <f t="shared" ref="D90:G90" si="31">D82*12</f>
        <v>10174.200000000001</v>
      </c>
      <c r="E90" s="149">
        <f t="shared" si="31"/>
        <v>25200</v>
      </c>
      <c r="F90" s="149">
        <f t="shared" si="31"/>
        <v>26400</v>
      </c>
      <c r="G90" s="149">
        <f t="shared" si="31"/>
        <v>42000</v>
      </c>
      <c r="H90" s="149">
        <f>H82*12</f>
        <v>75600</v>
      </c>
      <c r="I90" s="149">
        <f t="shared" ref="I90:K90" si="32">I82*12</f>
        <v>166800</v>
      </c>
      <c r="J90" s="149">
        <f t="shared" si="32"/>
        <v>284400</v>
      </c>
      <c r="K90" s="150">
        <f t="shared" si="32"/>
        <v>438000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 spans="1:26" ht="19" x14ac:dyDescent="0.25">
      <c r="A91" s="91"/>
      <c r="B91" s="140" t="s">
        <v>207</v>
      </c>
      <c r="C91" s="123"/>
      <c r="D91" s="124"/>
      <c r="E91" s="125">
        <f>E90*0.75</f>
        <v>18900</v>
      </c>
      <c r="F91" s="125">
        <f t="shared" ref="F91:G91" si="33">F90*0.75</f>
        <v>19800</v>
      </c>
      <c r="G91" s="125">
        <f t="shared" si="33"/>
        <v>31500</v>
      </c>
      <c r="H91" s="125">
        <f>H90*0.7</f>
        <v>52920</v>
      </c>
      <c r="I91" s="125">
        <f t="shared" ref="I91:K91" si="34">I90*0.7</f>
        <v>116759.99999999999</v>
      </c>
      <c r="J91" s="125">
        <f t="shared" si="34"/>
        <v>199080</v>
      </c>
      <c r="K91" s="125">
        <f t="shared" si="34"/>
        <v>306600</v>
      </c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27"/>
    </row>
    <row r="92" spans="1:26" ht="19" x14ac:dyDescent="0.25">
      <c r="A92" s="88"/>
      <c r="B92" s="108" t="s">
        <v>208</v>
      </c>
      <c r="C92" s="359" t="s">
        <v>167</v>
      </c>
      <c r="D92" s="166"/>
      <c r="E92" s="166" t="s">
        <v>209</v>
      </c>
      <c r="F92" s="167" t="s">
        <v>210</v>
      </c>
      <c r="G92" s="167" t="s">
        <v>211</v>
      </c>
      <c r="H92" s="167" t="s">
        <v>212</v>
      </c>
      <c r="I92" s="167"/>
      <c r="J92" s="166"/>
      <c r="K92" s="168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 spans="1:26" ht="19" x14ac:dyDescent="0.25">
      <c r="A93" s="88"/>
      <c r="B93" s="161"/>
      <c r="C93" s="357"/>
      <c r="D93" s="166"/>
      <c r="E93" s="167" t="s">
        <v>213</v>
      </c>
      <c r="F93" s="167" t="s">
        <v>214</v>
      </c>
      <c r="G93" s="167" t="s">
        <v>215</v>
      </c>
      <c r="H93" s="167" t="s">
        <v>216</v>
      </c>
      <c r="I93" s="166"/>
      <c r="J93" s="166"/>
      <c r="K93" s="168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 spans="1:26" ht="19" x14ac:dyDescent="0.25">
      <c r="A94" s="88"/>
      <c r="B94" s="161"/>
      <c r="C94" s="120" t="s">
        <v>176</v>
      </c>
      <c r="D94" s="120" t="s">
        <v>114</v>
      </c>
      <c r="E94" s="114"/>
      <c r="F94" s="114"/>
      <c r="G94" s="114"/>
      <c r="H94" s="114"/>
      <c r="I94" s="120"/>
      <c r="J94" s="120"/>
      <c r="K94" s="121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 spans="1:26" ht="19" x14ac:dyDescent="0.25">
      <c r="A95" s="88"/>
      <c r="B95" s="161"/>
      <c r="C95" s="120" t="s">
        <v>217</v>
      </c>
      <c r="D95" s="120" t="s">
        <v>114</v>
      </c>
      <c r="E95" s="114">
        <v>2400</v>
      </c>
      <c r="F95" s="114">
        <v>3200</v>
      </c>
      <c r="G95" s="114">
        <v>4200</v>
      </c>
      <c r="H95" s="114">
        <v>5200</v>
      </c>
      <c r="I95" s="120"/>
      <c r="J95" s="120"/>
      <c r="K95" s="121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 spans="1:26" ht="19" x14ac:dyDescent="0.25">
      <c r="A96" s="88"/>
      <c r="B96" s="161"/>
      <c r="C96" s="120" t="s">
        <v>218</v>
      </c>
      <c r="D96" s="120" t="s">
        <v>114</v>
      </c>
      <c r="E96" s="114">
        <v>5000</v>
      </c>
      <c r="F96" s="114">
        <v>7600</v>
      </c>
      <c r="G96" s="169">
        <v>9900</v>
      </c>
      <c r="H96" s="169">
        <v>12000</v>
      </c>
      <c r="I96" s="120"/>
      <c r="J96" s="120"/>
      <c r="K96" s="121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 spans="1:26" ht="19" x14ac:dyDescent="0.25">
      <c r="A97" s="88"/>
      <c r="B97" s="108" t="s">
        <v>219</v>
      </c>
      <c r="C97" s="356" t="s">
        <v>167</v>
      </c>
      <c r="D97" s="110" t="s">
        <v>120</v>
      </c>
      <c r="E97" s="110" t="s">
        <v>118</v>
      </c>
      <c r="F97" s="111" t="s">
        <v>52</v>
      </c>
      <c r="G97" s="111" t="s">
        <v>53</v>
      </c>
      <c r="H97" s="111" t="s">
        <v>54</v>
      </c>
      <c r="I97" s="111" t="s">
        <v>55</v>
      </c>
      <c r="J97" s="110" t="s">
        <v>56</v>
      </c>
      <c r="K97" s="151" t="s">
        <v>57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 spans="1:26" ht="19" x14ac:dyDescent="0.25">
      <c r="A98" s="88"/>
      <c r="B98" s="161"/>
      <c r="C98" s="358"/>
      <c r="D98" s="110" t="s">
        <v>88</v>
      </c>
      <c r="E98" s="111" t="s">
        <v>187</v>
      </c>
      <c r="F98" s="111" t="s">
        <v>89</v>
      </c>
      <c r="G98" s="111" t="s">
        <v>188</v>
      </c>
      <c r="H98" s="111" t="s">
        <v>91</v>
      </c>
      <c r="I98" s="110" t="s">
        <v>92</v>
      </c>
      <c r="J98" s="110" t="s">
        <v>93</v>
      </c>
      <c r="K98" s="151" t="s">
        <v>202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 spans="1:26" ht="19" x14ac:dyDescent="0.25">
      <c r="A99" s="91"/>
      <c r="B99" s="162"/>
      <c r="C99" s="99" t="s">
        <v>176</v>
      </c>
      <c r="D99" s="99" t="s">
        <v>114</v>
      </c>
      <c r="E99" s="99" t="s">
        <v>114</v>
      </c>
      <c r="F99" s="99" t="s">
        <v>114</v>
      </c>
      <c r="G99" s="99" t="s">
        <v>114</v>
      </c>
      <c r="H99" s="163">
        <v>6300</v>
      </c>
      <c r="I99" s="164">
        <v>13900</v>
      </c>
      <c r="J99" s="164">
        <v>23700</v>
      </c>
      <c r="K99" s="165">
        <v>36500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 spans="1:26" ht="19" x14ac:dyDescent="0.25">
      <c r="A100" s="91"/>
      <c r="B100" s="170" t="s">
        <v>203</v>
      </c>
      <c r="C100" s="99" t="s">
        <v>177</v>
      </c>
      <c r="D100" s="113"/>
      <c r="E100" s="116"/>
      <c r="F100" s="116"/>
      <c r="G100" s="116"/>
      <c r="H100" s="117">
        <f>H99*0.9</f>
        <v>5670</v>
      </c>
      <c r="I100" s="117">
        <f t="shared" ref="I100:K100" si="35">I99*0.9</f>
        <v>12510</v>
      </c>
      <c r="J100" s="117">
        <f t="shared" si="35"/>
        <v>21330</v>
      </c>
      <c r="K100" s="117">
        <f t="shared" si="35"/>
        <v>32850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 spans="1:26" ht="19" x14ac:dyDescent="0.25">
      <c r="A101" s="91"/>
      <c r="B101" s="162"/>
      <c r="C101" s="99" t="s">
        <v>178</v>
      </c>
      <c r="D101" s="99" t="s">
        <v>114</v>
      </c>
      <c r="E101" s="99" t="s">
        <v>114</v>
      </c>
      <c r="F101" s="99" t="s">
        <v>114</v>
      </c>
      <c r="G101" s="99" t="s">
        <v>114</v>
      </c>
      <c r="H101" s="120">
        <f>H99*3</f>
        <v>18900</v>
      </c>
      <c r="I101" s="120">
        <f t="shared" ref="I101:K101" si="36">I99*3</f>
        <v>41700</v>
      </c>
      <c r="J101" s="120">
        <f t="shared" si="36"/>
        <v>71100</v>
      </c>
      <c r="K101" s="121">
        <f t="shared" si="36"/>
        <v>109500</v>
      </c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 spans="1:26" ht="19" x14ac:dyDescent="0.25">
      <c r="A102" s="91"/>
      <c r="B102" s="140" t="s">
        <v>220</v>
      </c>
      <c r="C102" s="123"/>
      <c r="D102" s="158" t="s">
        <v>114</v>
      </c>
      <c r="E102" s="158" t="s">
        <v>114</v>
      </c>
      <c r="F102" s="158" t="s">
        <v>114</v>
      </c>
      <c r="G102" s="158" t="s">
        <v>114</v>
      </c>
      <c r="H102" s="125">
        <f>H101*0.85</f>
        <v>16065</v>
      </c>
      <c r="I102" s="125">
        <f t="shared" ref="I102:K102" si="37">I101*0.85</f>
        <v>35445</v>
      </c>
      <c r="J102" s="125">
        <f t="shared" si="37"/>
        <v>60435</v>
      </c>
      <c r="K102" s="125">
        <f t="shared" si="37"/>
        <v>93075</v>
      </c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 spans="1:26" ht="19" x14ac:dyDescent="0.25">
      <c r="A103" s="91"/>
      <c r="B103" s="162" t="s">
        <v>193</v>
      </c>
      <c r="C103" s="99" t="s">
        <v>180</v>
      </c>
      <c r="D103" s="159" t="s">
        <v>114</v>
      </c>
      <c r="E103" s="159" t="s">
        <v>114</v>
      </c>
      <c r="F103" s="159" t="s">
        <v>114</v>
      </c>
      <c r="G103" s="159" t="s">
        <v>114</v>
      </c>
      <c r="H103" s="120">
        <f>H99*6</f>
        <v>37800</v>
      </c>
      <c r="I103" s="120">
        <f t="shared" ref="I103:K103" si="38">I99*6</f>
        <v>83400</v>
      </c>
      <c r="J103" s="120">
        <f t="shared" si="38"/>
        <v>142200</v>
      </c>
      <c r="K103" s="121">
        <f t="shared" si="38"/>
        <v>219000</v>
      </c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 spans="1:26" ht="19" x14ac:dyDescent="0.25">
      <c r="A104" s="91"/>
      <c r="B104" s="140" t="s">
        <v>221</v>
      </c>
      <c r="C104" s="123"/>
      <c r="D104" s="160"/>
      <c r="E104" s="160"/>
      <c r="F104" s="160"/>
      <c r="G104" s="160"/>
      <c r="H104" s="130">
        <f>H103*0.8</f>
        <v>30240</v>
      </c>
      <c r="I104" s="130">
        <f t="shared" ref="I104:K104" si="39">I103*0.8</f>
        <v>66720</v>
      </c>
      <c r="J104" s="130">
        <f t="shared" si="39"/>
        <v>113760</v>
      </c>
      <c r="K104" s="130">
        <f t="shared" si="39"/>
        <v>175200</v>
      </c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27"/>
    </row>
    <row r="105" spans="1:26" ht="19" x14ac:dyDescent="0.25">
      <c r="A105" s="91"/>
      <c r="B105" s="162" t="s">
        <v>193</v>
      </c>
      <c r="C105" s="134" t="s">
        <v>182</v>
      </c>
      <c r="D105" s="147"/>
      <c r="E105" s="147"/>
      <c r="F105" s="147"/>
      <c r="G105" s="147"/>
      <c r="H105" s="136">
        <f>H99*9</f>
        <v>56700</v>
      </c>
      <c r="I105" s="136">
        <f t="shared" ref="I105:K105" si="40">I99*9</f>
        <v>125100</v>
      </c>
      <c r="J105" s="136">
        <f t="shared" si="40"/>
        <v>213300</v>
      </c>
      <c r="K105" s="137">
        <f t="shared" si="40"/>
        <v>328500</v>
      </c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 spans="1:26" ht="19" x14ac:dyDescent="0.25">
      <c r="A106" s="91"/>
      <c r="B106" s="140" t="s">
        <v>222</v>
      </c>
      <c r="C106" s="141"/>
      <c r="D106" s="158" t="s">
        <v>114</v>
      </c>
      <c r="E106" s="158" t="s">
        <v>114</v>
      </c>
      <c r="F106" s="158" t="s">
        <v>114</v>
      </c>
      <c r="G106" s="158" t="s">
        <v>114</v>
      </c>
      <c r="H106" s="143">
        <f>H105*0.75</f>
        <v>42525</v>
      </c>
      <c r="I106" s="143">
        <f t="shared" ref="I106:K106" si="41">I105*0.75</f>
        <v>93825</v>
      </c>
      <c r="J106" s="143">
        <f t="shared" si="41"/>
        <v>159975</v>
      </c>
      <c r="K106" s="143">
        <f t="shared" si="41"/>
        <v>246375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27"/>
    </row>
    <row r="107" spans="1:26" ht="19" x14ac:dyDescent="0.25">
      <c r="A107" s="91"/>
      <c r="B107" s="162" t="s">
        <v>193</v>
      </c>
      <c r="C107" s="147" t="s">
        <v>184</v>
      </c>
      <c r="D107" s="99" t="s">
        <v>114</v>
      </c>
      <c r="E107" s="99" t="s">
        <v>114</v>
      </c>
      <c r="F107" s="99" t="s">
        <v>114</v>
      </c>
      <c r="G107" s="99" t="s">
        <v>114</v>
      </c>
      <c r="H107" s="149">
        <f>H99*12</f>
        <v>75600</v>
      </c>
      <c r="I107" s="149">
        <f t="shared" ref="I107:K107" si="42">I99*12</f>
        <v>166800</v>
      </c>
      <c r="J107" s="149">
        <f t="shared" si="42"/>
        <v>284400</v>
      </c>
      <c r="K107" s="150">
        <f t="shared" si="42"/>
        <v>438000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 spans="1:26" ht="19" x14ac:dyDescent="0.25">
      <c r="A108" s="91"/>
      <c r="B108" s="140" t="s">
        <v>223</v>
      </c>
      <c r="C108" s="123"/>
      <c r="D108" s="158" t="s">
        <v>114</v>
      </c>
      <c r="E108" s="158" t="s">
        <v>114</v>
      </c>
      <c r="F108" s="158" t="s">
        <v>114</v>
      </c>
      <c r="G108" s="158" t="s">
        <v>114</v>
      </c>
      <c r="H108" s="125">
        <f>H107*0.7</f>
        <v>52920</v>
      </c>
      <c r="I108" s="125">
        <f t="shared" ref="I108:K108" si="43">I107*0.7</f>
        <v>116759.99999999999</v>
      </c>
      <c r="J108" s="125">
        <f t="shared" si="43"/>
        <v>199080</v>
      </c>
      <c r="K108" s="125">
        <f t="shared" si="43"/>
        <v>306600</v>
      </c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27"/>
    </row>
    <row r="109" spans="1:26" ht="19" x14ac:dyDescent="0.25">
      <c r="A109" s="88"/>
      <c r="B109" s="108" t="s">
        <v>224</v>
      </c>
      <c r="C109" s="359" t="s">
        <v>167</v>
      </c>
      <c r="D109" s="166"/>
      <c r="E109" s="166" t="s">
        <v>225</v>
      </c>
      <c r="F109" s="167" t="s">
        <v>226</v>
      </c>
      <c r="G109" s="167" t="s">
        <v>227</v>
      </c>
      <c r="H109" s="167" t="s">
        <v>228</v>
      </c>
      <c r="I109" s="167" t="s">
        <v>229</v>
      </c>
      <c r="J109" s="166" t="s">
        <v>230</v>
      </c>
      <c r="K109" s="168" t="s">
        <v>56</v>
      </c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 spans="1:26" ht="19" x14ac:dyDescent="0.25">
      <c r="A110" s="88"/>
      <c r="B110" s="161"/>
      <c r="C110" s="357"/>
      <c r="D110" s="166"/>
      <c r="E110" s="167" t="s">
        <v>231</v>
      </c>
      <c r="F110" s="167" t="s">
        <v>232</v>
      </c>
      <c r="G110" s="167" t="s">
        <v>233</v>
      </c>
      <c r="H110" s="167" t="s">
        <v>234</v>
      </c>
      <c r="I110" s="166" t="s">
        <v>235</v>
      </c>
      <c r="J110" s="166" t="s">
        <v>236</v>
      </c>
      <c r="K110" s="168" t="s">
        <v>237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 spans="1:26" ht="19" x14ac:dyDescent="0.25">
      <c r="A111" s="88"/>
      <c r="B111" s="161"/>
      <c r="C111" s="120" t="s">
        <v>176</v>
      </c>
      <c r="D111" s="120" t="s">
        <v>114</v>
      </c>
      <c r="E111" s="116">
        <v>3500</v>
      </c>
      <c r="F111" s="116">
        <v>3900</v>
      </c>
      <c r="G111" s="116">
        <v>4500</v>
      </c>
      <c r="H111" s="116">
        <v>5500</v>
      </c>
      <c r="I111" s="120">
        <v>6300</v>
      </c>
      <c r="J111" s="120">
        <v>6600</v>
      </c>
      <c r="K111" s="121">
        <v>6900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 spans="1:26" ht="19" x14ac:dyDescent="0.25">
      <c r="A112" s="88"/>
      <c r="B112" s="161"/>
      <c r="C112" s="120" t="s">
        <v>217</v>
      </c>
      <c r="D112" s="120" t="s">
        <v>114</v>
      </c>
      <c r="E112" s="116">
        <f>E111*3</f>
        <v>10500</v>
      </c>
      <c r="F112" s="116">
        <f t="shared" ref="F112:K112" si="44">F111*3</f>
        <v>11700</v>
      </c>
      <c r="G112" s="116">
        <f t="shared" si="44"/>
        <v>13500</v>
      </c>
      <c r="H112" s="116">
        <f t="shared" si="44"/>
        <v>16500</v>
      </c>
      <c r="I112" s="116">
        <f t="shared" si="44"/>
        <v>18900</v>
      </c>
      <c r="J112" s="116">
        <f t="shared" si="44"/>
        <v>19800</v>
      </c>
      <c r="K112" s="171">
        <f t="shared" si="44"/>
        <v>20700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 spans="1:25" ht="19" x14ac:dyDescent="0.25">
      <c r="A113" s="88"/>
      <c r="B113" s="161"/>
      <c r="C113" s="120" t="s">
        <v>238</v>
      </c>
      <c r="D113" s="120"/>
      <c r="E113" s="116">
        <f>E111*6</f>
        <v>21000</v>
      </c>
      <c r="F113" s="116">
        <f t="shared" ref="F113:K113" si="45">F111*6</f>
        <v>23400</v>
      </c>
      <c r="G113" s="116">
        <f t="shared" si="45"/>
        <v>27000</v>
      </c>
      <c r="H113" s="116">
        <f t="shared" si="45"/>
        <v>33000</v>
      </c>
      <c r="I113" s="116">
        <f t="shared" si="45"/>
        <v>37800</v>
      </c>
      <c r="J113" s="116">
        <f t="shared" si="45"/>
        <v>39600</v>
      </c>
      <c r="K113" s="171">
        <f t="shared" si="45"/>
        <v>41400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 spans="1:25" ht="19" x14ac:dyDescent="0.25">
      <c r="A114" s="88"/>
      <c r="B114" s="161"/>
      <c r="C114" s="120" t="s">
        <v>239</v>
      </c>
      <c r="D114" s="120"/>
      <c r="E114" s="116">
        <f>E111*9</f>
        <v>31500</v>
      </c>
      <c r="F114" s="116">
        <f t="shared" ref="F114:K114" si="46">F111*9</f>
        <v>35100</v>
      </c>
      <c r="G114" s="116">
        <f t="shared" si="46"/>
        <v>40500</v>
      </c>
      <c r="H114" s="116">
        <f t="shared" si="46"/>
        <v>49500</v>
      </c>
      <c r="I114" s="116">
        <f t="shared" si="46"/>
        <v>56700</v>
      </c>
      <c r="J114" s="116">
        <f t="shared" si="46"/>
        <v>59400</v>
      </c>
      <c r="K114" s="171">
        <f t="shared" si="46"/>
        <v>62100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 spans="1:25" ht="19" x14ac:dyDescent="0.25">
      <c r="A115" s="88"/>
      <c r="B115" s="161"/>
      <c r="C115" s="120" t="s">
        <v>218</v>
      </c>
      <c r="D115" s="120" t="s">
        <v>114</v>
      </c>
      <c r="E115" s="116">
        <f>E111*12</f>
        <v>42000</v>
      </c>
      <c r="F115" s="116">
        <f t="shared" ref="F115:K115" si="47">F111*12</f>
        <v>46800</v>
      </c>
      <c r="G115" s="116">
        <f t="shared" si="47"/>
        <v>54000</v>
      </c>
      <c r="H115" s="116">
        <f t="shared" si="47"/>
        <v>66000</v>
      </c>
      <c r="I115" s="116">
        <f t="shared" si="47"/>
        <v>75600</v>
      </c>
      <c r="J115" s="116">
        <f t="shared" si="47"/>
        <v>79200</v>
      </c>
      <c r="K115" s="171">
        <f t="shared" si="47"/>
        <v>82800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 spans="1:25" ht="19" x14ac:dyDescent="0.25">
      <c r="A116" s="88"/>
      <c r="B116" s="172" t="s">
        <v>240</v>
      </c>
      <c r="C116" s="356" t="s">
        <v>167</v>
      </c>
      <c r="D116" s="110" t="s">
        <v>120</v>
      </c>
      <c r="E116" s="110" t="s">
        <v>118</v>
      </c>
      <c r="F116" s="111" t="s">
        <v>52</v>
      </c>
      <c r="G116" s="111" t="s">
        <v>53</v>
      </c>
      <c r="H116" s="111" t="s">
        <v>54</v>
      </c>
      <c r="I116" s="111" t="s">
        <v>55</v>
      </c>
      <c r="J116" s="110" t="s">
        <v>56</v>
      </c>
      <c r="K116" s="151" t="s">
        <v>57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 spans="1:25" ht="19" x14ac:dyDescent="0.25">
      <c r="A117" s="88"/>
      <c r="B117" s="161"/>
      <c r="C117" s="357"/>
      <c r="D117" s="110" t="s">
        <v>88</v>
      </c>
      <c r="E117" s="111" t="s">
        <v>187</v>
      </c>
      <c r="F117" s="111" t="s">
        <v>89</v>
      </c>
      <c r="G117" s="111" t="s">
        <v>188</v>
      </c>
      <c r="H117" s="111" t="s">
        <v>91</v>
      </c>
      <c r="I117" s="110" t="s">
        <v>92</v>
      </c>
      <c r="J117" s="110" t="s">
        <v>93</v>
      </c>
      <c r="K117" s="151" t="s">
        <v>189</v>
      </c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 spans="1:25" ht="19" x14ac:dyDescent="0.25">
      <c r="A118" s="88"/>
      <c r="B118" s="161"/>
      <c r="C118" s="99" t="s">
        <v>176</v>
      </c>
      <c r="D118" s="99"/>
      <c r="E118" s="100"/>
      <c r="F118" s="100"/>
      <c r="G118" s="100"/>
      <c r="H118" s="100"/>
      <c r="I118" s="99"/>
      <c r="J118" s="99"/>
      <c r="K118" s="15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 spans="1:25" ht="19" x14ac:dyDescent="0.25">
      <c r="A119" s="88"/>
      <c r="B119" s="161"/>
      <c r="C119" s="99" t="s">
        <v>178</v>
      </c>
      <c r="D119" s="99"/>
      <c r="E119" s="100"/>
      <c r="F119" s="100"/>
      <c r="G119" s="100"/>
      <c r="H119" s="100"/>
      <c r="I119" s="99"/>
      <c r="J119" s="99"/>
      <c r="K119" s="15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 spans="1:25" ht="19" x14ac:dyDescent="0.25">
      <c r="A120" s="88"/>
      <c r="B120" s="161"/>
      <c r="C120" s="99" t="s">
        <v>180</v>
      </c>
      <c r="D120" s="99"/>
      <c r="E120" s="100"/>
      <c r="F120" s="100"/>
      <c r="G120" s="100"/>
      <c r="H120" s="100"/>
      <c r="I120" s="99"/>
      <c r="J120" s="99"/>
      <c r="K120" s="152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 spans="1:25" ht="19" x14ac:dyDescent="0.25">
      <c r="A121" s="88"/>
      <c r="B121" s="161"/>
      <c r="C121" s="159" t="s">
        <v>184</v>
      </c>
      <c r="D121" s="99"/>
      <c r="E121" s="100"/>
      <c r="F121" s="100"/>
      <c r="G121" s="154"/>
      <c r="H121" s="154"/>
      <c r="I121" s="99"/>
      <c r="J121" s="99"/>
      <c r="K121" s="152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 spans="1:25" ht="19" x14ac:dyDescent="0.25">
      <c r="A122" s="88"/>
      <c r="B122" s="173" t="s">
        <v>241</v>
      </c>
      <c r="C122" s="356" t="s">
        <v>167</v>
      </c>
      <c r="D122" s="110" t="s">
        <v>120</v>
      </c>
      <c r="E122" s="110" t="s">
        <v>118</v>
      </c>
      <c r="F122" s="111" t="s">
        <v>52</v>
      </c>
      <c r="G122" s="111" t="s">
        <v>53</v>
      </c>
      <c r="H122" s="111" t="s">
        <v>54</v>
      </c>
      <c r="I122" s="111" t="s">
        <v>55</v>
      </c>
      <c r="J122" s="110" t="s">
        <v>56</v>
      </c>
      <c r="K122" s="151" t="s">
        <v>57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 spans="1:25" ht="19" x14ac:dyDescent="0.25">
      <c r="A123" s="88"/>
      <c r="B123" s="174"/>
      <c r="C123" s="357"/>
      <c r="D123" s="110" t="s">
        <v>88</v>
      </c>
      <c r="E123" s="111" t="s">
        <v>242</v>
      </c>
      <c r="F123" s="111" t="s">
        <v>89</v>
      </c>
      <c r="G123" s="111" t="s">
        <v>201</v>
      </c>
      <c r="H123" s="111" t="s">
        <v>91</v>
      </c>
      <c r="I123" s="110" t="s">
        <v>92</v>
      </c>
      <c r="J123" s="110" t="s">
        <v>93</v>
      </c>
      <c r="K123" s="151" t="s">
        <v>189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 spans="1:25" ht="19" x14ac:dyDescent="0.25">
      <c r="A124" s="88"/>
      <c r="B124" s="112"/>
      <c r="C124" s="99" t="s">
        <v>176</v>
      </c>
      <c r="D124" s="113">
        <v>660.93</v>
      </c>
      <c r="E124" s="114">
        <v>1700</v>
      </c>
      <c r="F124" s="114">
        <v>1900</v>
      </c>
      <c r="G124" s="114">
        <v>3300</v>
      </c>
      <c r="H124" s="114">
        <v>5800</v>
      </c>
      <c r="I124" s="115">
        <v>13900</v>
      </c>
      <c r="J124" s="115">
        <v>23500</v>
      </c>
      <c r="K124" s="155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 spans="1:25" ht="19" x14ac:dyDescent="0.25">
      <c r="A125" s="88"/>
      <c r="B125" s="112"/>
      <c r="C125" s="99" t="s">
        <v>177</v>
      </c>
      <c r="D125" s="113"/>
      <c r="E125" s="116"/>
      <c r="F125" s="116"/>
      <c r="G125" s="116"/>
      <c r="H125" s="117">
        <f>H124*0.9</f>
        <v>5220</v>
      </c>
      <c r="I125" s="117">
        <f t="shared" ref="I125:J125" si="48">I124*0.9</f>
        <v>12510</v>
      </c>
      <c r="J125" s="117">
        <f t="shared" si="48"/>
        <v>21150</v>
      </c>
      <c r="K125" s="175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 spans="1:25" ht="19" x14ac:dyDescent="0.25">
      <c r="A126" s="88"/>
      <c r="B126" s="119"/>
      <c r="C126" s="99" t="s">
        <v>178</v>
      </c>
      <c r="D126" s="113">
        <f t="shared" ref="D126:F126" si="49">D124*3</f>
        <v>1982.79</v>
      </c>
      <c r="E126" s="120">
        <f t="shared" si="49"/>
        <v>5100</v>
      </c>
      <c r="F126" s="120">
        <f t="shared" si="49"/>
        <v>5700</v>
      </c>
      <c r="G126" s="120">
        <f>G124*3</f>
        <v>9900</v>
      </c>
      <c r="H126" s="120">
        <f>H124*3</f>
        <v>17400</v>
      </c>
      <c r="I126" s="120">
        <f t="shared" ref="I126:J126" si="50">I124*3</f>
        <v>41700</v>
      </c>
      <c r="J126" s="120">
        <f t="shared" si="50"/>
        <v>70500</v>
      </c>
      <c r="K126" s="121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 spans="1:25" ht="19" x14ac:dyDescent="0.25">
      <c r="A127" s="88"/>
      <c r="B127" s="122" t="s">
        <v>181</v>
      </c>
      <c r="C127" s="123"/>
      <c r="D127" s="124"/>
      <c r="E127" s="125">
        <f>E126*0.8</f>
        <v>4080</v>
      </c>
      <c r="F127" s="125">
        <f t="shared" ref="F127:G127" si="51">F126*0.8</f>
        <v>4560</v>
      </c>
      <c r="G127" s="125">
        <f t="shared" si="51"/>
        <v>7920</v>
      </c>
      <c r="H127" s="125">
        <f>H126*0.75</f>
        <v>13050</v>
      </c>
      <c r="I127" s="125">
        <f>I126*0.75</f>
        <v>31275</v>
      </c>
      <c r="J127" s="125">
        <f>J126*0.75</f>
        <v>52875</v>
      </c>
      <c r="K127" s="126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 spans="1:25" ht="19" x14ac:dyDescent="0.25">
      <c r="A128" s="88"/>
      <c r="B128" s="119"/>
      <c r="C128" s="99" t="s">
        <v>180</v>
      </c>
      <c r="D128" s="113">
        <f t="shared" ref="D128:G128" si="52">D124*6</f>
        <v>3965.58</v>
      </c>
      <c r="E128" s="120">
        <f t="shared" si="52"/>
        <v>10200</v>
      </c>
      <c r="F128" s="120">
        <f t="shared" si="52"/>
        <v>11400</v>
      </c>
      <c r="G128" s="120">
        <f t="shared" si="52"/>
        <v>19800</v>
      </c>
      <c r="H128" s="120">
        <f>H124*6</f>
        <v>34800</v>
      </c>
      <c r="I128" s="120">
        <f t="shared" ref="I128:J128" si="53">I124*6</f>
        <v>83400</v>
      </c>
      <c r="J128" s="120">
        <f t="shared" si="53"/>
        <v>141000</v>
      </c>
      <c r="K128" s="121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 spans="1:26" ht="19" x14ac:dyDescent="0.25">
      <c r="A129" s="88"/>
      <c r="B129" s="122" t="s">
        <v>183</v>
      </c>
      <c r="C129" s="123"/>
      <c r="D129" s="129"/>
      <c r="E129" s="130">
        <f>E128*0.75</f>
        <v>7650</v>
      </c>
      <c r="F129" s="130">
        <f t="shared" ref="F129:G129" si="54">F128*0.75</f>
        <v>8550</v>
      </c>
      <c r="G129" s="130">
        <f t="shared" si="54"/>
        <v>14850</v>
      </c>
      <c r="H129" s="130">
        <f>H128*0.7</f>
        <v>24360</v>
      </c>
      <c r="I129" s="130">
        <f>I128*0.7</f>
        <v>58379.999999999993</v>
      </c>
      <c r="J129" s="130">
        <f>J128*0.7</f>
        <v>98700</v>
      </c>
      <c r="K129" s="131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 spans="1:26" ht="18" x14ac:dyDescent="0.25">
      <c r="A130" s="88"/>
      <c r="B130" s="133"/>
      <c r="C130" s="134" t="s">
        <v>182</v>
      </c>
      <c r="D130" s="135">
        <f t="shared" ref="D130:G130" si="55">D124*9</f>
        <v>5948.37</v>
      </c>
      <c r="E130" s="136">
        <f t="shared" si="55"/>
        <v>15300</v>
      </c>
      <c r="F130" s="136">
        <f t="shared" si="55"/>
        <v>17100</v>
      </c>
      <c r="G130" s="136">
        <f t="shared" si="55"/>
        <v>29700</v>
      </c>
      <c r="H130" s="136">
        <f>H124*9</f>
        <v>52200</v>
      </c>
      <c r="I130" s="136">
        <f t="shared" ref="I130:J130" si="56">I124*9</f>
        <v>125100</v>
      </c>
      <c r="J130" s="136">
        <f t="shared" si="56"/>
        <v>211500</v>
      </c>
      <c r="K130" s="137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27"/>
    </row>
    <row r="131" spans="1:26" ht="19" x14ac:dyDescent="0.25">
      <c r="A131" s="88"/>
      <c r="B131" s="140" t="s">
        <v>185</v>
      </c>
      <c r="C131" s="141"/>
      <c r="D131" s="142"/>
      <c r="E131" s="143">
        <f>E130*0.7</f>
        <v>10710</v>
      </c>
      <c r="F131" s="143">
        <f t="shared" ref="F131:G131" si="57">F130*0.7</f>
        <v>11970</v>
      </c>
      <c r="G131" s="143">
        <f t="shared" si="57"/>
        <v>20790</v>
      </c>
      <c r="H131" s="143">
        <f>H130*0.65</f>
        <v>33930</v>
      </c>
      <c r="I131" s="143">
        <f>I130*0.65</f>
        <v>81315</v>
      </c>
      <c r="J131" s="143">
        <f>J130*0.65</f>
        <v>137475</v>
      </c>
      <c r="K131" s="14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 spans="1:26" ht="19" x14ac:dyDescent="0.25">
      <c r="A132" s="88"/>
      <c r="B132" s="146"/>
      <c r="C132" s="147" t="s">
        <v>184</v>
      </c>
      <c r="D132" s="148">
        <f t="shared" ref="D132:G132" si="58">D124*12</f>
        <v>7931.16</v>
      </c>
      <c r="E132" s="149">
        <f t="shared" si="58"/>
        <v>20400</v>
      </c>
      <c r="F132" s="149">
        <f t="shared" si="58"/>
        <v>22800</v>
      </c>
      <c r="G132" s="149">
        <f t="shared" si="58"/>
        <v>39600</v>
      </c>
      <c r="H132" s="149">
        <f>H124*12</f>
        <v>69600</v>
      </c>
      <c r="I132" s="149">
        <f t="shared" ref="I132:J132" si="59">I124*12</f>
        <v>166800</v>
      </c>
      <c r="J132" s="149">
        <f t="shared" si="59"/>
        <v>282000</v>
      </c>
      <c r="K132" s="150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27"/>
    </row>
    <row r="133" spans="1:26" ht="19" x14ac:dyDescent="0.25">
      <c r="A133" s="88"/>
      <c r="B133" s="140" t="s">
        <v>243</v>
      </c>
      <c r="C133" s="123"/>
      <c r="D133" s="124"/>
      <c r="E133" s="125">
        <f>E132*0.65</f>
        <v>13260</v>
      </c>
      <c r="F133" s="125">
        <f t="shared" ref="F133:G133" si="60">F132*0.65</f>
        <v>14820</v>
      </c>
      <c r="G133" s="125">
        <f t="shared" si="60"/>
        <v>25740</v>
      </c>
      <c r="H133" s="125">
        <f>H132*0.6</f>
        <v>41760</v>
      </c>
      <c r="I133" s="125">
        <f>I132*0.6</f>
        <v>100080</v>
      </c>
      <c r="J133" s="125">
        <f>J132*0.6</f>
        <v>169200</v>
      </c>
      <c r="K133" s="12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 spans="1:26" ht="19" hidden="1" x14ac:dyDescent="0.25">
      <c r="A134" s="88"/>
      <c r="B134" s="176" t="s">
        <v>244</v>
      </c>
      <c r="C134" s="356" t="s">
        <v>167</v>
      </c>
      <c r="D134" s="110" t="s">
        <v>120</v>
      </c>
      <c r="E134" s="110" t="s">
        <v>118</v>
      </c>
      <c r="F134" s="111" t="s">
        <v>52</v>
      </c>
      <c r="G134" s="111" t="s">
        <v>53</v>
      </c>
      <c r="H134" s="111" t="s">
        <v>54</v>
      </c>
      <c r="I134" s="111" t="s">
        <v>55</v>
      </c>
      <c r="J134" s="110" t="s">
        <v>56</v>
      </c>
      <c r="K134" s="151" t="s">
        <v>57</v>
      </c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 spans="1:26" ht="19" hidden="1" x14ac:dyDescent="0.25">
      <c r="A135" s="88"/>
      <c r="B135" s="174"/>
      <c r="C135" s="357"/>
      <c r="D135" s="110" t="s">
        <v>88</v>
      </c>
      <c r="E135" s="111" t="s">
        <v>187</v>
      </c>
      <c r="F135" s="111" t="s">
        <v>89</v>
      </c>
      <c r="G135" s="111" t="s">
        <v>188</v>
      </c>
      <c r="H135" s="111" t="s">
        <v>91</v>
      </c>
      <c r="I135" s="110" t="s">
        <v>92</v>
      </c>
      <c r="J135" s="110" t="s">
        <v>93</v>
      </c>
      <c r="K135" s="151" t="s">
        <v>189</v>
      </c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 spans="1:26" ht="19" hidden="1" x14ac:dyDescent="0.25">
      <c r="A136" s="88"/>
      <c r="B136" s="174"/>
      <c r="C136" s="99" t="s">
        <v>176</v>
      </c>
      <c r="D136" s="99"/>
      <c r="E136" s="100"/>
      <c r="F136" s="100"/>
      <c r="G136" s="100"/>
      <c r="H136" s="100"/>
      <c r="I136" s="99"/>
      <c r="J136" s="99"/>
      <c r="K136" s="152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 spans="1:26" ht="19" hidden="1" x14ac:dyDescent="0.25">
      <c r="A137" s="88"/>
      <c r="B137" s="174"/>
      <c r="C137" s="99" t="s">
        <v>178</v>
      </c>
      <c r="D137" s="99"/>
      <c r="E137" s="100"/>
      <c r="F137" s="100"/>
      <c r="G137" s="100"/>
      <c r="H137" s="100"/>
      <c r="I137" s="99"/>
      <c r="J137" s="99"/>
      <c r="K137" s="152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 spans="1:26" ht="19" hidden="1" x14ac:dyDescent="0.25">
      <c r="A138" s="88"/>
      <c r="B138" s="174"/>
      <c r="C138" s="99" t="s">
        <v>180</v>
      </c>
      <c r="D138" s="99"/>
      <c r="E138" s="100"/>
      <c r="F138" s="100"/>
      <c r="G138" s="100"/>
      <c r="H138" s="100"/>
      <c r="I138" s="99"/>
      <c r="J138" s="99"/>
      <c r="K138" s="152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 spans="1:26" ht="19" hidden="1" x14ac:dyDescent="0.25">
      <c r="A139" s="88"/>
      <c r="B139" s="174"/>
      <c r="C139" s="99" t="s">
        <v>184</v>
      </c>
      <c r="D139" s="99"/>
      <c r="E139" s="100"/>
      <c r="F139" s="100"/>
      <c r="G139" s="154"/>
      <c r="H139" s="154"/>
      <c r="I139" s="99"/>
      <c r="J139" s="99"/>
      <c r="K139" s="152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 spans="1:26" ht="19" hidden="1" x14ac:dyDescent="0.25">
      <c r="A140" s="88"/>
      <c r="B140" s="176" t="s">
        <v>245</v>
      </c>
      <c r="C140" s="356" t="s">
        <v>167</v>
      </c>
      <c r="D140" s="110" t="s">
        <v>120</v>
      </c>
      <c r="E140" s="110" t="s">
        <v>118</v>
      </c>
      <c r="F140" s="111" t="s">
        <v>52</v>
      </c>
      <c r="G140" s="111" t="s">
        <v>53</v>
      </c>
      <c r="H140" s="111" t="s">
        <v>54</v>
      </c>
      <c r="I140" s="111" t="s">
        <v>55</v>
      </c>
      <c r="J140" s="110" t="s">
        <v>56</v>
      </c>
      <c r="K140" s="151" t="s">
        <v>57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 spans="1:26" ht="19" hidden="1" x14ac:dyDescent="0.25">
      <c r="A141" s="88"/>
      <c r="B141" s="174"/>
      <c r="C141" s="357"/>
      <c r="D141" s="110" t="s">
        <v>88</v>
      </c>
      <c r="E141" s="111" t="s">
        <v>187</v>
      </c>
      <c r="F141" s="111" t="s">
        <v>89</v>
      </c>
      <c r="G141" s="111" t="s">
        <v>188</v>
      </c>
      <c r="H141" s="111" t="s">
        <v>91</v>
      </c>
      <c r="I141" s="110" t="s">
        <v>92</v>
      </c>
      <c r="J141" s="110" t="s">
        <v>93</v>
      </c>
      <c r="K141" s="151" t="s">
        <v>189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 spans="1:26" ht="19" hidden="1" x14ac:dyDescent="0.25">
      <c r="A142" s="88"/>
      <c r="B142" s="174"/>
      <c r="C142" s="99" t="s">
        <v>176</v>
      </c>
      <c r="D142" s="99"/>
      <c r="E142" s="100"/>
      <c r="F142" s="100"/>
      <c r="G142" s="100"/>
      <c r="H142" s="100"/>
      <c r="I142" s="99"/>
      <c r="J142" s="99"/>
      <c r="K142" s="152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 spans="1:26" ht="19" hidden="1" x14ac:dyDescent="0.25">
      <c r="A143" s="88"/>
      <c r="B143" s="174"/>
      <c r="C143" s="99" t="s">
        <v>178</v>
      </c>
      <c r="D143" s="99"/>
      <c r="E143" s="100"/>
      <c r="F143" s="100"/>
      <c r="G143" s="100"/>
      <c r="H143" s="100"/>
      <c r="I143" s="99"/>
      <c r="J143" s="99"/>
      <c r="K143" s="152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 spans="1:26" ht="19" hidden="1" x14ac:dyDescent="0.25">
      <c r="A144" s="88"/>
      <c r="B144" s="174"/>
      <c r="C144" s="99" t="s">
        <v>180</v>
      </c>
      <c r="D144" s="99"/>
      <c r="E144" s="100"/>
      <c r="F144" s="100"/>
      <c r="G144" s="100"/>
      <c r="H144" s="100"/>
      <c r="I144" s="99"/>
      <c r="J144" s="99"/>
      <c r="K144" s="152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 spans="1:26" ht="19" hidden="1" x14ac:dyDescent="0.25">
      <c r="A145" s="88"/>
      <c r="B145" s="174"/>
      <c r="C145" s="99" t="s">
        <v>184</v>
      </c>
      <c r="D145" s="99"/>
      <c r="E145" s="100"/>
      <c r="F145" s="100"/>
      <c r="G145" s="154"/>
      <c r="H145" s="154"/>
      <c r="I145" s="99"/>
      <c r="J145" s="99"/>
      <c r="K145" s="152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 spans="1:26" ht="19" x14ac:dyDescent="0.25">
      <c r="A146" s="88"/>
      <c r="B146" s="173" t="s">
        <v>246</v>
      </c>
      <c r="C146" s="356" t="s">
        <v>167</v>
      </c>
      <c r="D146" s="110" t="s">
        <v>120</v>
      </c>
      <c r="E146" s="110" t="s">
        <v>118</v>
      </c>
      <c r="F146" s="111" t="s">
        <v>52</v>
      </c>
      <c r="G146" s="111" t="s">
        <v>53</v>
      </c>
      <c r="H146" s="111" t="s">
        <v>54</v>
      </c>
      <c r="I146" s="111" t="s">
        <v>55</v>
      </c>
      <c r="J146" s="110" t="s">
        <v>56</v>
      </c>
      <c r="K146" s="151" t="s">
        <v>57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 spans="1:26" ht="19" x14ac:dyDescent="0.25">
      <c r="A147" s="88"/>
      <c r="B147" s="174"/>
      <c r="C147" s="357"/>
      <c r="D147" s="110" t="s">
        <v>88</v>
      </c>
      <c r="E147" s="111" t="s">
        <v>187</v>
      </c>
      <c r="F147" s="111" t="s">
        <v>89</v>
      </c>
      <c r="G147" s="111" t="s">
        <v>188</v>
      </c>
      <c r="H147" s="111" t="s">
        <v>91</v>
      </c>
      <c r="I147" s="110" t="s">
        <v>92</v>
      </c>
      <c r="J147" s="110" t="s">
        <v>93</v>
      </c>
      <c r="K147" s="151" t="s">
        <v>189</v>
      </c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 spans="1:26" ht="19" x14ac:dyDescent="0.25">
      <c r="A148" s="88"/>
      <c r="B148" s="112"/>
      <c r="C148" s="99" t="s">
        <v>176</v>
      </c>
      <c r="D148" s="99" t="s">
        <v>114</v>
      </c>
      <c r="E148" s="99" t="s">
        <v>114</v>
      </c>
      <c r="F148" s="99" t="s">
        <v>114</v>
      </c>
      <c r="G148" s="99" t="s">
        <v>114</v>
      </c>
      <c r="H148" s="114">
        <v>5800</v>
      </c>
      <c r="I148" s="115">
        <v>13900</v>
      </c>
      <c r="J148" s="115">
        <v>23500</v>
      </c>
      <c r="K148" s="155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 spans="1:26" ht="12" customHeight="1" x14ac:dyDescent="0.25">
      <c r="A149" s="88"/>
      <c r="B149" s="112"/>
      <c r="C149" s="99" t="s">
        <v>177</v>
      </c>
      <c r="D149" s="113"/>
      <c r="E149" s="116"/>
      <c r="F149" s="116"/>
      <c r="G149" s="116"/>
      <c r="H149" s="117">
        <f>H148*0.9</f>
        <v>5220</v>
      </c>
      <c r="I149" s="117">
        <f t="shared" ref="I149:J149" si="61">I148*0.9</f>
        <v>12510</v>
      </c>
      <c r="J149" s="117">
        <f t="shared" si="61"/>
        <v>21150</v>
      </c>
      <c r="K149" s="156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 spans="1:26" ht="12" customHeight="1" x14ac:dyDescent="0.25">
      <c r="A150" s="88"/>
      <c r="B150" s="157"/>
      <c r="C150" s="99" t="s">
        <v>178</v>
      </c>
      <c r="D150" s="99" t="s">
        <v>114</v>
      </c>
      <c r="E150" s="99" t="s">
        <v>114</v>
      </c>
      <c r="F150" s="99" t="s">
        <v>114</v>
      </c>
      <c r="G150" s="99" t="s">
        <v>114</v>
      </c>
      <c r="H150" s="120">
        <f>H148*3</f>
        <v>17400</v>
      </c>
      <c r="I150" s="120">
        <f t="shared" ref="I150:J150" si="62">I148*3</f>
        <v>41700</v>
      </c>
      <c r="J150" s="120">
        <f t="shared" si="62"/>
        <v>70500</v>
      </c>
      <c r="K150" s="121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 spans="1:26" ht="12" customHeight="1" x14ac:dyDescent="0.25">
      <c r="A151" s="88"/>
      <c r="B151" s="140" t="s">
        <v>192</v>
      </c>
      <c r="C151" s="123"/>
      <c r="D151" s="158" t="s">
        <v>114</v>
      </c>
      <c r="E151" s="158" t="s">
        <v>114</v>
      </c>
      <c r="F151" s="158" t="s">
        <v>114</v>
      </c>
      <c r="G151" s="158" t="s">
        <v>114</v>
      </c>
      <c r="H151" s="125">
        <f>H150*0.75</f>
        <v>13050</v>
      </c>
      <c r="I151" s="125">
        <f t="shared" ref="I151:J151" si="63">I150*0.75</f>
        <v>31275</v>
      </c>
      <c r="J151" s="125">
        <f t="shared" si="63"/>
        <v>52875</v>
      </c>
      <c r="K151" s="12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 spans="1:26" ht="12" customHeight="1" x14ac:dyDescent="0.25">
      <c r="A152" s="88"/>
      <c r="B152" s="157" t="s">
        <v>193</v>
      </c>
      <c r="C152" s="99" t="s">
        <v>180</v>
      </c>
      <c r="D152" s="159" t="s">
        <v>114</v>
      </c>
      <c r="E152" s="159" t="s">
        <v>114</v>
      </c>
      <c r="F152" s="159" t="s">
        <v>114</v>
      </c>
      <c r="G152" s="159" t="s">
        <v>114</v>
      </c>
      <c r="H152" s="120">
        <f>H148*6</f>
        <v>34800</v>
      </c>
      <c r="I152" s="120">
        <f t="shared" ref="I152:J152" si="64">I148*6</f>
        <v>83400</v>
      </c>
      <c r="J152" s="120">
        <f t="shared" si="64"/>
        <v>141000</v>
      </c>
      <c r="K152" s="121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 spans="1:26" ht="12" customHeight="1" x14ac:dyDescent="0.25">
      <c r="A153" s="88"/>
      <c r="B153" s="140" t="s">
        <v>194</v>
      </c>
      <c r="C153" s="123"/>
      <c r="D153" s="132"/>
      <c r="E153" s="132"/>
      <c r="F153" s="132"/>
      <c r="G153" s="132"/>
      <c r="H153" s="130">
        <f>H152*0.7</f>
        <v>24360</v>
      </c>
      <c r="I153" s="130">
        <f t="shared" ref="I153:J153" si="65">I152*0.7</f>
        <v>58379.999999999993</v>
      </c>
      <c r="J153" s="130">
        <f t="shared" si="65"/>
        <v>98700</v>
      </c>
      <c r="K153" s="131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 spans="1:26" ht="12" customHeight="1" x14ac:dyDescent="0.25">
      <c r="A154" s="88"/>
      <c r="B154" s="157" t="s">
        <v>193</v>
      </c>
      <c r="C154" s="134" t="s">
        <v>182</v>
      </c>
      <c r="D154" s="147"/>
      <c r="E154" s="147"/>
      <c r="F154" s="147"/>
      <c r="G154" s="147"/>
      <c r="H154" s="136">
        <f>H148*9</f>
        <v>52200</v>
      </c>
      <c r="I154" s="136">
        <f t="shared" ref="I154:J154" si="66">I148*9</f>
        <v>125100</v>
      </c>
      <c r="J154" s="136">
        <f t="shared" si="66"/>
        <v>211500</v>
      </c>
      <c r="K154" s="137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27"/>
    </row>
    <row r="155" spans="1:26" ht="12" customHeight="1" x14ac:dyDescent="0.25">
      <c r="A155" s="88"/>
      <c r="B155" s="140" t="s">
        <v>195</v>
      </c>
      <c r="C155" s="141"/>
      <c r="D155" s="158" t="s">
        <v>114</v>
      </c>
      <c r="E155" s="158" t="s">
        <v>114</v>
      </c>
      <c r="F155" s="158" t="s">
        <v>114</v>
      </c>
      <c r="G155" s="158" t="s">
        <v>114</v>
      </c>
      <c r="H155" s="143">
        <f>H154*0.65</f>
        <v>33930</v>
      </c>
      <c r="I155" s="143">
        <f t="shared" ref="I155:J155" si="67">I154*0.65</f>
        <v>81315</v>
      </c>
      <c r="J155" s="143">
        <f t="shared" si="67"/>
        <v>137475</v>
      </c>
      <c r="K155" s="14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 spans="1:26" ht="12" customHeight="1" x14ac:dyDescent="0.25">
      <c r="A156" s="88"/>
      <c r="B156" s="157" t="s">
        <v>193</v>
      </c>
      <c r="C156" s="147" t="s">
        <v>184</v>
      </c>
      <c r="D156" s="99" t="s">
        <v>114</v>
      </c>
      <c r="E156" s="99" t="s">
        <v>114</v>
      </c>
      <c r="F156" s="99" t="s">
        <v>114</v>
      </c>
      <c r="G156" s="99" t="s">
        <v>114</v>
      </c>
      <c r="H156" s="149">
        <f>H148*12</f>
        <v>69600</v>
      </c>
      <c r="I156" s="149">
        <f t="shared" ref="I156:J156" si="68">I148*12</f>
        <v>166800</v>
      </c>
      <c r="J156" s="149">
        <f t="shared" si="68"/>
        <v>282000</v>
      </c>
      <c r="K156" s="150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27"/>
    </row>
    <row r="157" spans="1:26" ht="19" x14ac:dyDescent="0.25">
      <c r="A157" s="88"/>
      <c r="B157" s="140" t="s">
        <v>196</v>
      </c>
      <c r="C157" s="123"/>
      <c r="D157" s="158" t="s">
        <v>114</v>
      </c>
      <c r="E157" s="158" t="s">
        <v>114</v>
      </c>
      <c r="F157" s="158" t="s">
        <v>114</v>
      </c>
      <c r="G157" s="158" t="s">
        <v>114</v>
      </c>
      <c r="H157" s="125">
        <f>H156*0.6</f>
        <v>41760</v>
      </c>
      <c r="I157" s="125">
        <f t="shared" ref="I157:J157" si="69">I156*0.6</f>
        <v>100080</v>
      </c>
      <c r="J157" s="125">
        <f t="shared" si="69"/>
        <v>169200</v>
      </c>
      <c r="K157" s="126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 spans="1:26" ht="19" x14ac:dyDescent="0.25">
      <c r="A158" s="177"/>
      <c r="B158" s="178" t="s">
        <v>247</v>
      </c>
      <c r="C158" s="360" t="s">
        <v>167</v>
      </c>
      <c r="D158" s="179" t="s">
        <v>120</v>
      </c>
      <c r="E158" s="179" t="s">
        <v>118</v>
      </c>
      <c r="F158" s="179" t="s">
        <v>52</v>
      </c>
      <c r="G158" s="111" t="s">
        <v>53</v>
      </c>
      <c r="H158" s="111" t="s">
        <v>54</v>
      </c>
      <c r="I158" s="111" t="s">
        <v>55</v>
      </c>
      <c r="J158" s="110" t="s">
        <v>56</v>
      </c>
      <c r="K158" s="151" t="s">
        <v>57</v>
      </c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</row>
    <row r="159" spans="1:26" ht="19" x14ac:dyDescent="0.25">
      <c r="A159" s="181"/>
      <c r="B159" s="182"/>
      <c r="C159" s="361"/>
      <c r="D159" s="183" t="s">
        <v>88</v>
      </c>
      <c r="E159" s="183" t="s">
        <v>187</v>
      </c>
      <c r="F159" s="183" t="s">
        <v>89</v>
      </c>
      <c r="G159" s="183" t="s">
        <v>188</v>
      </c>
      <c r="H159" s="183" t="s">
        <v>91</v>
      </c>
      <c r="I159" s="183" t="s">
        <v>92</v>
      </c>
      <c r="J159" s="183" t="s">
        <v>93</v>
      </c>
      <c r="K159" s="184" t="s">
        <v>248</v>
      </c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</row>
    <row r="160" spans="1:26" ht="19" x14ac:dyDescent="0.25">
      <c r="A160" s="181"/>
      <c r="B160" s="112"/>
      <c r="C160" s="99" t="s">
        <v>176</v>
      </c>
      <c r="D160" s="99" t="s">
        <v>114</v>
      </c>
      <c r="E160" s="99" t="s">
        <v>114</v>
      </c>
      <c r="F160" s="99" t="s">
        <v>114</v>
      </c>
      <c r="G160" s="99" t="s">
        <v>114</v>
      </c>
      <c r="H160" s="99" t="s">
        <v>114</v>
      </c>
      <c r="I160" s="115">
        <v>16200</v>
      </c>
      <c r="J160" s="99" t="s">
        <v>114</v>
      </c>
      <c r="K160" s="185">
        <v>61400</v>
      </c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</row>
    <row r="161" spans="1:26" ht="19" x14ac:dyDescent="0.25">
      <c r="A161" s="181"/>
      <c r="B161" s="112"/>
      <c r="C161" s="99" t="s">
        <v>177</v>
      </c>
      <c r="D161" s="99" t="s">
        <v>114</v>
      </c>
      <c r="E161" s="99" t="s">
        <v>114</v>
      </c>
      <c r="F161" s="99" t="s">
        <v>114</v>
      </c>
      <c r="G161" s="99" t="s">
        <v>114</v>
      </c>
      <c r="H161" s="99" t="s">
        <v>114</v>
      </c>
      <c r="I161" s="117">
        <f t="shared" ref="I161:K161" si="70">I160*0.9</f>
        <v>14580</v>
      </c>
      <c r="J161" s="117"/>
      <c r="K161" s="156">
        <f t="shared" si="70"/>
        <v>55260</v>
      </c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</row>
    <row r="162" spans="1:26" ht="19" x14ac:dyDescent="0.25">
      <c r="A162" s="181"/>
      <c r="B162" s="157"/>
      <c r="C162" s="99" t="s">
        <v>178</v>
      </c>
      <c r="D162" s="99"/>
      <c r="E162" s="99"/>
      <c r="F162" s="99"/>
      <c r="G162" s="99"/>
      <c r="H162" s="99"/>
      <c r="I162" s="120">
        <f t="shared" ref="I162:K162" si="71">I160*3</f>
        <v>48600</v>
      </c>
      <c r="J162" s="120"/>
      <c r="K162" s="121">
        <f t="shared" si="71"/>
        <v>184200</v>
      </c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</row>
    <row r="163" spans="1:26" ht="19" x14ac:dyDescent="0.25">
      <c r="A163" s="181"/>
      <c r="B163" s="140" t="s">
        <v>192</v>
      </c>
      <c r="C163" s="123"/>
      <c r="D163" s="99"/>
      <c r="E163" s="99"/>
      <c r="F163" s="99"/>
      <c r="G163" s="99"/>
      <c r="H163" s="99"/>
      <c r="I163" s="125">
        <f t="shared" ref="I163:K163" si="72">I162*0.75</f>
        <v>36450</v>
      </c>
      <c r="J163" s="125"/>
      <c r="K163" s="126">
        <f t="shared" si="72"/>
        <v>138150</v>
      </c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</row>
    <row r="164" spans="1:26" ht="19" x14ac:dyDescent="0.25">
      <c r="A164" s="181"/>
      <c r="B164" s="157" t="s">
        <v>193</v>
      </c>
      <c r="C164" s="99" t="s">
        <v>180</v>
      </c>
      <c r="D164" s="99"/>
      <c r="E164" s="99"/>
      <c r="F164" s="99"/>
      <c r="G164" s="99"/>
      <c r="H164" s="99"/>
      <c r="I164" s="120">
        <f t="shared" ref="I164:K164" si="73">I160*6</f>
        <v>97200</v>
      </c>
      <c r="J164" s="120"/>
      <c r="K164" s="121">
        <f t="shared" si="73"/>
        <v>368400</v>
      </c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</row>
    <row r="165" spans="1:26" ht="19" x14ac:dyDescent="0.25">
      <c r="A165" s="181"/>
      <c r="B165" s="140" t="s">
        <v>194</v>
      </c>
      <c r="C165" s="123"/>
      <c r="D165" s="158" t="s">
        <v>114</v>
      </c>
      <c r="E165" s="158" t="s">
        <v>114</v>
      </c>
      <c r="F165" s="158" t="s">
        <v>114</v>
      </c>
      <c r="G165" s="158" t="s">
        <v>114</v>
      </c>
      <c r="H165" s="158" t="s">
        <v>114</v>
      </c>
      <c r="I165" s="130">
        <f t="shared" ref="I165:K165" si="74">I164*0.7</f>
        <v>68040</v>
      </c>
      <c r="J165" s="130"/>
      <c r="K165" s="131">
        <f t="shared" si="74"/>
        <v>257879.99999999997</v>
      </c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</row>
    <row r="166" spans="1:26" ht="19" x14ac:dyDescent="0.25">
      <c r="A166" s="181"/>
      <c r="B166" s="157" t="s">
        <v>193</v>
      </c>
      <c r="C166" s="134" t="s">
        <v>182</v>
      </c>
      <c r="D166" s="99"/>
      <c r="E166" s="99"/>
      <c r="F166" s="99"/>
      <c r="G166" s="99"/>
      <c r="H166" s="99"/>
      <c r="I166" s="136">
        <f t="shared" ref="I166:K166" si="75">I160*9</f>
        <v>145800</v>
      </c>
      <c r="J166" s="136"/>
      <c r="K166" s="137">
        <f t="shared" si="75"/>
        <v>552600</v>
      </c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27"/>
    </row>
    <row r="167" spans="1:26" ht="19" x14ac:dyDescent="0.25">
      <c r="A167" s="181"/>
      <c r="B167" s="140" t="s">
        <v>195</v>
      </c>
      <c r="C167" s="141"/>
      <c r="D167" s="158" t="s">
        <v>114</v>
      </c>
      <c r="E167" s="158" t="s">
        <v>114</v>
      </c>
      <c r="F167" s="158" t="s">
        <v>114</v>
      </c>
      <c r="G167" s="158" t="s">
        <v>114</v>
      </c>
      <c r="H167" s="158" t="s">
        <v>114</v>
      </c>
      <c r="I167" s="143">
        <f t="shared" ref="I167:K167" si="76">I166*0.65</f>
        <v>94770</v>
      </c>
      <c r="J167" s="143"/>
      <c r="K167" s="144">
        <f t="shared" si="76"/>
        <v>359190</v>
      </c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</row>
    <row r="168" spans="1:26" ht="19" x14ac:dyDescent="0.25">
      <c r="A168" s="181"/>
      <c r="B168" s="157" t="s">
        <v>193</v>
      </c>
      <c r="C168" s="147" t="s">
        <v>184</v>
      </c>
      <c r="D168" s="99"/>
      <c r="E168" s="99"/>
      <c r="F168" s="99"/>
      <c r="G168" s="99"/>
      <c r="H168" s="99"/>
      <c r="I168" s="149">
        <f t="shared" ref="I168:K168" si="77">I160*12</f>
        <v>194400</v>
      </c>
      <c r="J168" s="149"/>
      <c r="K168" s="150">
        <f t="shared" si="77"/>
        <v>736800</v>
      </c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27"/>
    </row>
    <row r="169" spans="1:26" ht="19" x14ac:dyDescent="0.25">
      <c r="A169" s="181"/>
      <c r="B169" s="140" t="s">
        <v>196</v>
      </c>
      <c r="C169" s="123"/>
      <c r="D169" s="158" t="s">
        <v>114</v>
      </c>
      <c r="E169" s="158" t="s">
        <v>114</v>
      </c>
      <c r="F169" s="158" t="s">
        <v>114</v>
      </c>
      <c r="G169" s="158" t="s">
        <v>114</v>
      </c>
      <c r="H169" s="158" t="s">
        <v>114</v>
      </c>
      <c r="I169" s="125">
        <f t="shared" ref="I169:K169" si="78">I168*0.6</f>
        <v>116640</v>
      </c>
      <c r="J169" s="125"/>
      <c r="K169" s="126">
        <f t="shared" si="78"/>
        <v>442080</v>
      </c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</row>
    <row r="170" spans="1:26" ht="19" hidden="1" x14ac:dyDescent="0.25">
      <c r="A170" s="88"/>
      <c r="B170" s="176" t="s">
        <v>244</v>
      </c>
      <c r="C170" s="356" t="s">
        <v>167</v>
      </c>
      <c r="D170" s="110" t="s">
        <v>120</v>
      </c>
      <c r="E170" s="110" t="s">
        <v>118</v>
      </c>
      <c r="F170" s="111"/>
      <c r="G170" s="111" t="s">
        <v>52</v>
      </c>
      <c r="H170" s="111" t="s">
        <v>53</v>
      </c>
      <c r="I170" s="111" t="s">
        <v>54</v>
      </c>
      <c r="J170" s="111" t="s">
        <v>55</v>
      </c>
      <c r="K170" s="99" t="s">
        <v>114</v>
      </c>
      <c r="L170" s="147" t="s">
        <v>114</v>
      </c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9" hidden="1" x14ac:dyDescent="0.25">
      <c r="A171" s="88"/>
      <c r="B171" s="174"/>
      <c r="C171" s="357"/>
      <c r="D171" s="110" t="s">
        <v>88</v>
      </c>
      <c r="E171" s="111" t="s">
        <v>187</v>
      </c>
      <c r="F171" s="111"/>
      <c r="G171" s="111" t="s">
        <v>89</v>
      </c>
      <c r="H171" s="111" t="s">
        <v>188</v>
      </c>
      <c r="I171" s="111" t="s">
        <v>91</v>
      </c>
      <c r="J171" s="110" t="s">
        <v>92</v>
      </c>
      <c r="K171" s="99" t="s">
        <v>114</v>
      </c>
      <c r="L171" s="99" t="s">
        <v>114</v>
      </c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9" hidden="1" x14ac:dyDescent="0.25">
      <c r="A172" s="88"/>
      <c r="B172" s="174"/>
      <c r="C172" s="99" t="s">
        <v>176</v>
      </c>
      <c r="D172" s="99"/>
      <c r="E172" s="100"/>
      <c r="F172" s="100"/>
      <c r="G172" s="100"/>
      <c r="H172" s="100"/>
      <c r="I172" s="100"/>
      <c r="J172" s="99"/>
      <c r="K172" s="99" t="s">
        <v>114</v>
      </c>
      <c r="L172" s="99" t="s">
        <v>114</v>
      </c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9" hidden="1" x14ac:dyDescent="0.25">
      <c r="A173" s="88"/>
      <c r="B173" s="174"/>
      <c r="C173" s="99" t="s">
        <v>178</v>
      </c>
      <c r="D173" s="99"/>
      <c r="E173" s="100"/>
      <c r="F173" s="100"/>
      <c r="G173" s="100"/>
      <c r="H173" s="100"/>
      <c r="I173" s="100"/>
      <c r="J173" s="99"/>
      <c r="K173" s="99"/>
      <c r="L173" s="99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9" hidden="1" x14ac:dyDescent="0.25">
      <c r="A174" s="88"/>
      <c r="B174" s="174"/>
      <c r="C174" s="99" t="s">
        <v>180</v>
      </c>
      <c r="D174" s="99"/>
      <c r="E174" s="100"/>
      <c r="F174" s="100"/>
      <c r="G174" s="100"/>
      <c r="H174" s="100"/>
      <c r="I174" s="100"/>
      <c r="J174" s="99"/>
      <c r="K174" s="99"/>
      <c r="L174" s="99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9" hidden="1" x14ac:dyDescent="0.25">
      <c r="A175" s="88"/>
      <c r="B175" s="174"/>
      <c r="C175" s="99" t="s">
        <v>184</v>
      </c>
      <c r="D175" s="99"/>
      <c r="E175" s="100"/>
      <c r="F175" s="100"/>
      <c r="G175" s="100"/>
      <c r="H175" s="154"/>
      <c r="I175" s="154"/>
      <c r="J175" s="99"/>
      <c r="K175" s="99"/>
      <c r="L175" s="99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9" hidden="1" x14ac:dyDescent="0.25">
      <c r="A176" s="88"/>
      <c r="B176" s="176" t="s">
        <v>249</v>
      </c>
      <c r="C176" s="356" t="s">
        <v>167</v>
      </c>
      <c r="D176" s="110" t="s">
        <v>120</v>
      </c>
      <c r="E176" s="110" t="s">
        <v>118</v>
      </c>
      <c r="F176" s="111"/>
      <c r="G176" s="111" t="s">
        <v>52</v>
      </c>
      <c r="H176" s="111" t="s">
        <v>53</v>
      </c>
      <c r="I176" s="111" t="s">
        <v>54</v>
      </c>
      <c r="J176" s="111" t="s">
        <v>55</v>
      </c>
      <c r="K176" s="110" t="s">
        <v>56</v>
      </c>
      <c r="L176" s="110" t="s">
        <v>57</v>
      </c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9" hidden="1" x14ac:dyDescent="0.25">
      <c r="A177" s="88"/>
      <c r="B177" s="174"/>
      <c r="C177" s="357"/>
      <c r="D177" s="110" t="s">
        <v>88</v>
      </c>
      <c r="E177" s="111" t="s">
        <v>187</v>
      </c>
      <c r="F177" s="111"/>
      <c r="G177" s="111" t="s">
        <v>89</v>
      </c>
      <c r="H177" s="111" t="s">
        <v>188</v>
      </c>
      <c r="I177" s="111" t="s">
        <v>91</v>
      </c>
      <c r="J177" s="110" t="s">
        <v>92</v>
      </c>
      <c r="K177" s="110" t="s">
        <v>93</v>
      </c>
      <c r="L177" s="110" t="s">
        <v>189</v>
      </c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9" hidden="1" x14ac:dyDescent="0.25">
      <c r="A178" s="88"/>
      <c r="B178" s="174"/>
      <c r="C178" s="99" t="s">
        <v>176</v>
      </c>
      <c r="D178" s="99"/>
      <c r="E178" s="100"/>
      <c r="F178" s="100"/>
      <c r="G178" s="100"/>
      <c r="H178" s="100"/>
      <c r="I178" s="100"/>
      <c r="J178" s="99"/>
      <c r="K178" s="99"/>
      <c r="L178" s="99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9" hidden="1" x14ac:dyDescent="0.25">
      <c r="A179" s="88"/>
      <c r="B179" s="174"/>
      <c r="C179" s="99" t="s">
        <v>178</v>
      </c>
      <c r="D179" s="99"/>
      <c r="E179" s="100"/>
      <c r="F179" s="100"/>
      <c r="G179" s="100"/>
      <c r="H179" s="100"/>
      <c r="I179" s="100"/>
      <c r="J179" s="99"/>
      <c r="K179" s="99"/>
      <c r="L179" s="99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9" hidden="1" x14ac:dyDescent="0.25">
      <c r="A180" s="88"/>
      <c r="B180" s="174"/>
      <c r="C180" s="99" t="s">
        <v>180</v>
      </c>
      <c r="D180" s="99"/>
      <c r="E180" s="100"/>
      <c r="F180" s="100"/>
      <c r="G180" s="100"/>
      <c r="H180" s="100"/>
      <c r="I180" s="100"/>
      <c r="J180" s="99"/>
      <c r="K180" s="99"/>
      <c r="L180" s="99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9" hidden="1" x14ac:dyDescent="0.25">
      <c r="A181" s="88"/>
      <c r="B181" s="174"/>
      <c r="C181" s="159" t="s">
        <v>184</v>
      </c>
      <c r="D181" s="99"/>
      <c r="E181" s="100"/>
      <c r="F181" s="100"/>
      <c r="G181" s="100"/>
      <c r="H181" s="154"/>
      <c r="I181" s="154"/>
      <c r="J181" s="99"/>
      <c r="K181" s="99"/>
      <c r="L181" s="99"/>
      <c r="M181" s="88"/>
      <c r="N181" s="88"/>
      <c r="O181" s="88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9" x14ac:dyDescent="0.25">
      <c r="A182" s="88"/>
      <c r="B182" s="108" t="s">
        <v>250</v>
      </c>
      <c r="C182" s="356" t="s">
        <v>167</v>
      </c>
      <c r="D182" s="110" t="s">
        <v>120</v>
      </c>
      <c r="E182" s="110" t="s">
        <v>251</v>
      </c>
      <c r="F182" s="110" t="s">
        <v>118</v>
      </c>
      <c r="G182" s="111" t="s">
        <v>252</v>
      </c>
      <c r="H182" s="111" t="s">
        <v>52</v>
      </c>
      <c r="I182" s="111" t="s">
        <v>253</v>
      </c>
      <c r="J182" s="111" t="s">
        <v>53</v>
      </c>
      <c r="K182" s="111" t="s">
        <v>254</v>
      </c>
      <c r="L182" s="111" t="s">
        <v>54</v>
      </c>
      <c r="M182" s="111" t="s">
        <v>255</v>
      </c>
      <c r="N182" s="111" t="s">
        <v>55</v>
      </c>
      <c r="O182" s="151" t="s">
        <v>256</v>
      </c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9" x14ac:dyDescent="0.25">
      <c r="A183" s="88"/>
      <c r="B183" s="161"/>
      <c r="C183" s="357"/>
      <c r="D183" s="110" t="s">
        <v>88</v>
      </c>
      <c r="E183" s="111" t="s">
        <v>119</v>
      </c>
      <c r="F183" s="111" t="s">
        <v>119</v>
      </c>
      <c r="G183" s="111" t="s">
        <v>89</v>
      </c>
      <c r="H183" s="111" t="s">
        <v>257</v>
      </c>
      <c r="I183" s="111" t="s">
        <v>258</v>
      </c>
      <c r="J183" s="111" t="s">
        <v>188</v>
      </c>
      <c r="K183" s="111" t="s">
        <v>91</v>
      </c>
      <c r="L183" s="111" t="s">
        <v>259</v>
      </c>
      <c r="M183" s="110" t="s">
        <v>92</v>
      </c>
      <c r="N183" s="110" t="s">
        <v>260</v>
      </c>
      <c r="O183" s="151" t="s">
        <v>93</v>
      </c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9" x14ac:dyDescent="0.25">
      <c r="A184" s="88"/>
      <c r="B184" s="112"/>
      <c r="C184" s="99" t="s">
        <v>176</v>
      </c>
      <c r="D184" s="99">
        <v>474.02</v>
      </c>
      <c r="E184" s="114">
        <v>1300</v>
      </c>
      <c r="F184" s="114">
        <v>1400</v>
      </c>
      <c r="G184" s="114">
        <v>1600</v>
      </c>
      <c r="H184" s="114">
        <v>1900</v>
      </c>
      <c r="I184" s="114">
        <v>2500</v>
      </c>
      <c r="J184" s="114">
        <v>2500</v>
      </c>
      <c r="K184" s="115">
        <v>5000</v>
      </c>
      <c r="L184" s="115">
        <v>7000</v>
      </c>
      <c r="M184" s="115">
        <v>11000</v>
      </c>
      <c r="N184" s="115">
        <v>14200</v>
      </c>
      <c r="O184" s="155">
        <v>18800</v>
      </c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9" x14ac:dyDescent="0.25">
      <c r="A185" s="88"/>
      <c r="B185" s="112"/>
      <c r="C185" s="99" t="s">
        <v>177</v>
      </c>
      <c r="D185" s="113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71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9" x14ac:dyDescent="0.25">
      <c r="A186" s="88"/>
      <c r="B186" s="119"/>
      <c r="C186" s="99" t="s">
        <v>178</v>
      </c>
      <c r="D186" s="113">
        <f t="shared" ref="D186:O186" si="79">D184*3</f>
        <v>1422.06</v>
      </c>
      <c r="E186" s="120">
        <f t="shared" si="79"/>
        <v>3900</v>
      </c>
      <c r="F186" s="120">
        <f t="shared" si="79"/>
        <v>4200</v>
      </c>
      <c r="G186" s="120">
        <f t="shared" si="79"/>
        <v>4800</v>
      </c>
      <c r="H186" s="120">
        <f t="shared" si="79"/>
        <v>5700</v>
      </c>
      <c r="I186" s="120">
        <f t="shared" si="79"/>
        <v>7500</v>
      </c>
      <c r="J186" s="120">
        <f t="shared" si="79"/>
        <v>7500</v>
      </c>
      <c r="K186" s="120">
        <f t="shared" si="79"/>
        <v>15000</v>
      </c>
      <c r="L186" s="120">
        <f t="shared" si="79"/>
        <v>21000</v>
      </c>
      <c r="M186" s="120">
        <f t="shared" si="79"/>
        <v>33000</v>
      </c>
      <c r="N186" s="120">
        <f t="shared" si="79"/>
        <v>42600</v>
      </c>
      <c r="O186" s="121">
        <f t="shared" si="79"/>
        <v>56400</v>
      </c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9" x14ac:dyDescent="0.25">
      <c r="A187" s="88"/>
      <c r="B187" s="122" t="s">
        <v>181</v>
      </c>
      <c r="C187" s="123"/>
      <c r="D187" s="124"/>
      <c r="E187" s="125">
        <f>E186*0.8</f>
        <v>3120</v>
      </c>
      <c r="F187" s="125">
        <f t="shared" ref="F187:O187" si="80">F186*0.8</f>
        <v>3360</v>
      </c>
      <c r="G187" s="125">
        <f t="shared" si="80"/>
        <v>3840</v>
      </c>
      <c r="H187" s="125">
        <f t="shared" si="80"/>
        <v>4560</v>
      </c>
      <c r="I187" s="125">
        <f t="shared" si="80"/>
        <v>6000</v>
      </c>
      <c r="J187" s="125">
        <f t="shared" si="80"/>
        <v>6000</v>
      </c>
      <c r="K187" s="125">
        <f t="shared" si="80"/>
        <v>12000</v>
      </c>
      <c r="L187" s="125">
        <f t="shared" si="80"/>
        <v>16800</v>
      </c>
      <c r="M187" s="125">
        <f t="shared" si="80"/>
        <v>26400</v>
      </c>
      <c r="N187" s="125">
        <f t="shared" si="80"/>
        <v>34080</v>
      </c>
      <c r="O187" s="126">
        <f t="shared" si="80"/>
        <v>45120</v>
      </c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9" x14ac:dyDescent="0.25">
      <c r="A188" s="88"/>
      <c r="B188" s="119"/>
      <c r="C188" s="99" t="s">
        <v>180</v>
      </c>
      <c r="D188" s="113">
        <f t="shared" ref="D188:O188" si="81">D184*6</f>
        <v>2844.12</v>
      </c>
      <c r="E188" s="120">
        <f t="shared" si="81"/>
        <v>7800</v>
      </c>
      <c r="F188" s="120">
        <f t="shared" si="81"/>
        <v>8400</v>
      </c>
      <c r="G188" s="120">
        <f t="shared" si="81"/>
        <v>9600</v>
      </c>
      <c r="H188" s="120">
        <f t="shared" si="81"/>
        <v>11400</v>
      </c>
      <c r="I188" s="120">
        <f t="shared" si="81"/>
        <v>15000</v>
      </c>
      <c r="J188" s="120">
        <f t="shared" si="81"/>
        <v>15000</v>
      </c>
      <c r="K188" s="120">
        <f t="shared" si="81"/>
        <v>30000</v>
      </c>
      <c r="L188" s="120">
        <f t="shared" si="81"/>
        <v>42000</v>
      </c>
      <c r="M188" s="120">
        <f t="shared" si="81"/>
        <v>66000</v>
      </c>
      <c r="N188" s="120">
        <f t="shared" si="81"/>
        <v>85200</v>
      </c>
      <c r="O188" s="121">
        <f t="shared" si="81"/>
        <v>112800</v>
      </c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9" x14ac:dyDescent="0.25">
      <c r="A189" s="88"/>
      <c r="B189" s="122" t="s">
        <v>183</v>
      </c>
      <c r="C189" s="123"/>
      <c r="D189" s="129"/>
      <c r="E189" s="130">
        <f>E188*0.75</f>
        <v>5850</v>
      </c>
      <c r="F189" s="130">
        <f t="shared" ref="F189:O189" si="82">F188*0.75</f>
        <v>6300</v>
      </c>
      <c r="G189" s="130">
        <f t="shared" si="82"/>
        <v>7200</v>
      </c>
      <c r="H189" s="130">
        <f t="shared" si="82"/>
        <v>8550</v>
      </c>
      <c r="I189" s="130">
        <f t="shared" si="82"/>
        <v>11250</v>
      </c>
      <c r="J189" s="130">
        <f t="shared" si="82"/>
        <v>11250</v>
      </c>
      <c r="K189" s="130">
        <f t="shared" si="82"/>
        <v>22500</v>
      </c>
      <c r="L189" s="130">
        <f t="shared" si="82"/>
        <v>31500</v>
      </c>
      <c r="M189" s="130">
        <f t="shared" si="82"/>
        <v>49500</v>
      </c>
      <c r="N189" s="130">
        <f t="shared" si="82"/>
        <v>63900</v>
      </c>
      <c r="O189" s="131">
        <f t="shared" si="82"/>
        <v>84600</v>
      </c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8" x14ac:dyDescent="0.25">
      <c r="A190" s="88"/>
      <c r="B190" s="133"/>
      <c r="C190" s="134" t="s">
        <v>182</v>
      </c>
      <c r="D190" s="135">
        <f t="shared" ref="D190:O190" si="83">D184*9</f>
        <v>4266.18</v>
      </c>
      <c r="E190" s="136">
        <f t="shared" si="83"/>
        <v>11700</v>
      </c>
      <c r="F190" s="136">
        <f t="shared" si="83"/>
        <v>12600</v>
      </c>
      <c r="G190" s="136">
        <f t="shared" si="83"/>
        <v>14400</v>
      </c>
      <c r="H190" s="136">
        <f t="shared" si="83"/>
        <v>17100</v>
      </c>
      <c r="I190" s="136">
        <f t="shared" si="83"/>
        <v>22500</v>
      </c>
      <c r="J190" s="136">
        <f t="shared" si="83"/>
        <v>22500</v>
      </c>
      <c r="K190" s="136">
        <f t="shared" si="83"/>
        <v>45000</v>
      </c>
      <c r="L190" s="136">
        <f t="shared" si="83"/>
        <v>63000</v>
      </c>
      <c r="M190" s="136">
        <f t="shared" si="83"/>
        <v>99000</v>
      </c>
      <c r="N190" s="136">
        <f t="shared" si="83"/>
        <v>127800</v>
      </c>
      <c r="O190" s="137">
        <f t="shared" si="83"/>
        <v>169200</v>
      </c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9" x14ac:dyDescent="0.25">
      <c r="A191" s="88"/>
      <c r="B191" s="140" t="s">
        <v>185</v>
      </c>
      <c r="C191" s="141"/>
      <c r="D191" s="142"/>
      <c r="E191" s="143">
        <f>E190*0.7</f>
        <v>8189.9999999999991</v>
      </c>
      <c r="F191" s="143">
        <f t="shared" ref="F191:O191" si="84">F190*0.7</f>
        <v>8820</v>
      </c>
      <c r="G191" s="143">
        <f t="shared" si="84"/>
        <v>10080</v>
      </c>
      <c r="H191" s="143">
        <f t="shared" si="84"/>
        <v>11970</v>
      </c>
      <c r="I191" s="143">
        <f t="shared" si="84"/>
        <v>15749.999999999998</v>
      </c>
      <c r="J191" s="143">
        <f t="shared" si="84"/>
        <v>15749.999999999998</v>
      </c>
      <c r="K191" s="143">
        <f t="shared" si="84"/>
        <v>31499.999999999996</v>
      </c>
      <c r="L191" s="143">
        <f t="shared" si="84"/>
        <v>44100</v>
      </c>
      <c r="M191" s="143">
        <f t="shared" si="84"/>
        <v>69300</v>
      </c>
      <c r="N191" s="143">
        <f t="shared" si="84"/>
        <v>89460</v>
      </c>
      <c r="O191" s="144">
        <f t="shared" si="84"/>
        <v>118439.99999999999</v>
      </c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9" x14ac:dyDescent="0.25">
      <c r="A192" s="88"/>
      <c r="B192" s="146"/>
      <c r="C192" s="147" t="s">
        <v>184</v>
      </c>
      <c r="D192" s="148">
        <f t="shared" ref="D192:O192" si="85">D184*12</f>
        <v>5688.24</v>
      </c>
      <c r="E192" s="149">
        <f t="shared" si="85"/>
        <v>15600</v>
      </c>
      <c r="F192" s="149">
        <f t="shared" si="85"/>
        <v>16800</v>
      </c>
      <c r="G192" s="149">
        <f t="shared" si="85"/>
        <v>19200</v>
      </c>
      <c r="H192" s="149">
        <f t="shared" si="85"/>
        <v>22800</v>
      </c>
      <c r="I192" s="149">
        <f t="shared" si="85"/>
        <v>30000</v>
      </c>
      <c r="J192" s="149">
        <f t="shared" si="85"/>
        <v>30000</v>
      </c>
      <c r="K192" s="149">
        <f t="shared" si="85"/>
        <v>60000</v>
      </c>
      <c r="L192" s="149">
        <f t="shared" si="85"/>
        <v>84000</v>
      </c>
      <c r="M192" s="149">
        <f t="shared" si="85"/>
        <v>132000</v>
      </c>
      <c r="N192" s="149">
        <f t="shared" si="85"/>
        <v>170400</v>
      </c>
      <c r="O192" s="150">
        <f t="shared" si="85"/>
        <v>225600</v>
      </c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9" x14ac:dyDescent="0.25">
      <c r="A193" s="88"/>
      <c r="B193" s="140" t="s">
        <v>243</v>
      </c>
      <c r="C193" s="158"/>
      <c r="D193" s="124"/>
      <c r="E193" s="125">
        <f>E192*0.65</f>
        <v>10140</v>
      </c>
      <c r="F193" s="125">
        <f t="shared" ref="F193:O193" si="86">F192*0.65</f>
        <v>10920</v>
      </c>
      <c r="G193" s="125">
        <f t="shared" si="86"/>
        <v>12480</v>
      </c>
      <c r="H193" s="125">
        <f t="shared" si="86"/>
        <v>14820</v>
      </c>
      <c r="I193" s="125">
        <f t="shared" si="86"/>
        <v>19500</v>
      </c>
      <c r="J193" s="125">
        <f t="shared" si="86"/>
        <v>19500</v>
      </c>
      <c r="K193" s="125">
        <f t="shared" si="86"/>
        <v>39000</v>
      </c>
      <c r="L193" s="125">
        <f t="shared" si="86"/>
        <v>54600</v>
      </c>
      <c r="M193" s="125">
        <f t="shared" si="86"/>
        <v>85800</v>
      </c>
      <c r="N193" s="125">
        <f t="shared" si="86"/>
        <v>110760</v>
      </c>
      <c r="O193" s="126">
        <f t="shared" si="86"/>
        <v>146640</v>
      </c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9" hidden="1" x14ac:dyDescent="0.25">
      <c r="A194" s="88"/>
      <c r="B194" s="140" t="s">
        <v>243</v>
      </c>
      <c r="C194" s="356" t="s">
        <v>167</v>
      </c>
      <c r="D194" s="124"/>
      <c r="E194" s="125">
        <f>E193*0.65</f>
        <v>6591</v>
      </c>
      <c r="F194" s="111"/>
      <c r="G194" s="111" t="s">
        <v>52</v>
      </c>
      <c r="H194" s="111" t="s">
        <v>53</v>
      </c>
      <c r="I194" s="111" t="s">
        <v>54</v>
      </c>
      <c r="J194" s="111" t="s">
        <v>55</v>
      </c>
      <c r="K194" s="110" t="s">
        <v>56</v>
      </c>
      <c r="L194" s="110" t="s">
        <v>57</v>
      </c>
      <c r="M194" s="88"/>
      <c r="N194" s="88"/>
      <c r="O194" s="91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9" hidden="1" x14ac:dyDescent="0.25">
      <c r="A195" s="88"/>
      <c r="B195" s="140" t="s">
        <v>243</v>
      </c>
      <c r="C195" s="357"/>
      <c r="D195" s="110" t="s">
        <v>88</v>
      </c>
      <c r="E195" s="111" t="s">
        <v>187</v>
      </c>
      <c r="F195" s="111"/>
      <c r="G195" s="111" t="s">
        <v>89</v>
      </c>
      <c r="H195" s="111" t="s">
        <v>188</v>
      </c>
      <c r="I195" s="111" t="s">
        <v>91</v>
      </c>
      <c r="J195" s="110" t="s">
        <v>92</v>
      </c>
      <c r="K195" s="110" t="s">
        <v>93</v>
      </c>
      <c r="L195" s="110" t="s">
        <v>189</v>
      </c>
      <c r="M195" s="88"/>
      <c r="N195" s="88"/>
      <c r="O195" s="91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9" hidden="1" x14ac:dyDescent="0.25">
      <c r="A196" s="88"/>
      <c r="B196" s="161"/>
      <c r="C196" s="99" t="s">
        <v>176</v>
      </c>
      <c r="D196" s="99"/>
      <c r="E196" s="100"/>
      <c r="F196" s="100"/>
      <c r="G196" s="100"/>
      <c r="H196" s="100"/>
      <c r="I196" s="100"/>
      <c r="J196" s="99"/>
      <c r="K196" s="99"/>
      <c r="L196" s="99"/>
      <c r="M196" s="88"/>
      <c r="N196" s="88"/>
      <c r="O196" s="91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9" hidden="1" x14ac:dyDescent="0.25">
      <c r="A197" s="88"/>
      <c r="B197" s="161"/>
      <c r="C197" s="99" t="s">
        <v>178</v>
      </c>
      <c r="D197" s="99"/>
      <c r="E197" s="100"/>
      <c r="F197" s="100"/>
      <c r="G197" s="100"/>
      <c r="H197" s="100"/>
      <c r="I197" s="100"/>
      <c r="J197" s="99"/>
      <c r="K197" s="99"/>
      <c r="L197" s="99"/>
      <c r="M197" s="88"/>
      <c r="N197" s="88"/>
      <c r="O197" s="91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9" hidden="1" x14ac:dyDescent="0.25">
      <c r="A198" s="88"/>
      <c r="B198" s="161"/>
      <c r="C198" s="99" t="s">
        <v>180</v>
      </c>
      <c r="D198" s="99"/>
      <c r="E198" s="100"/>
      <c r="F198" s="100"/>
      <c r="G198" s="100"/>
      <c r="H198" s="100"/>
      <c r="I198" s="100"/>
      <c r="J198" s="99"/>
      <c r="K198" s="99"/>
      <c r="L198" s="99"/>
      <c r="M198" s="88"/>
      <c r="N198" s="88"/>
      <c r="O198" s="91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9" hidden="1" x14ac:dyDescent="0.25">
      <c r="A199" s="88"/>
      <c r="B199" s="161"/>
      <c r="C199" s="99" t="s">
        <v>184</v>
      </c>
      <c r="D199" s="99"/>
      <c r="E199" s="100"/>
      <c r="F199" s="100"/>
      <c r="G199" s="100"/>
      <c r="H199" s="154"/>
      <c r="I199" s="154"/>
      <c r="J199" s="99"/>
      <c r="K199" s="99"/>
      <c r="L199" s="99"/>
      <c r="M199" s="88"/>
      <c r="N199" s="88"/>
      <c r="O199" s="91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9" hidden="1" x14ac:dyDescent="0.25">
      <c r="A200" s="88"/>
      <c r="B200" s="172" t="s">
        <v>261</v>
      </c>
      <c r="C200" s="356" t="s">
        <v>167</v>
      </c>
      <c r="D200" s="110" t="s">
        <v>120</v>
      </c>
      <c r="E200" s="110" t="s">
        <v>118</v>
      </c>
      <c r="F200" s="111"/>
      <c r="G200" s="111" t="s">
        <v>52</v>
      </c>
      <c r="H200" s="111" t="s">
        <v>53</v>
      </c>
      <c r="I200" s="111" t="s">
        <v>54</v>
      </c>
      <c r="J200" s="111" t="s">
        <v>55</v>
      </c>
      <c r="K200" s="110" t="s">
        <v>56</v>
      </c>
      <c r="L200" s="110" t="s">
        <v>57</v>
      </c>
      <c r="M200" s="88"/>
      <c r="N200" s="88"/>
      <c r="O200" s="91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9" hidden="1" x14ac:dyDescent="0.25">
      <c r="A201" s="88"/>
      <c r="B201" s="161"/>
      <c r="C201" s="357"/>
      <c r="D201" s="110" t="s">
        <v>88</v>
      </c>
      <c r="E201" s="111" t="s">
        <v>187</v>
      </c>
      <c r="F201" s="111"/>
      <c r="G201" s="111" t="s">
        <v>89</v>
      </c>
      <c r="H201" s="111" t="s">
        <v>188</v>
      </c>
      <c r="I201" s="111" t="s">
        <v>91</v>
      </c>
      <c r="J201" s="110" t="s">
        <v>92</v>
      </c>
      <c r="K201" s="110" t="s">
        <v>93</v>
      </c>
      <c r="L201" s="110" t="s">
        <v>189</v>
      </c>
      <c r="M201" s="88"/>
      <c r="N201" s="88"/>
      <c r="O201" s="91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9" hidden="1" x14ac:dyDescent="0.25">
      <c r="A202" s="88"/>
      <c r="B202" s="161"/>
      <c r="C202" s="99" t="s">
        <v>176</v>
      </c>
      <c r="D202" s="99"/>
      <c r="E202" s="100"/>
      <c r="F202" s="100"/>
      <c r="G202" s="100"/>
      <c r="H202" s="100"/>
      <c r="I202" s="100"/>
      <c r="J202" s="99"/>
      <c r="K202" s="99"/>
      <c r="L202" s="99"/>
      <c r="M202" s="88"/>
      <c r="N202" s="88"/>
      <c r="O202" s="91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9" hidden="1" x14ac:dyDescent="0.25">
      <c r="A203" s="88"/>
      <c r="B203" s="161"/>
      <c r="C203" s="99" t="s">
        <v>178</v>
      </c>
      <c r="D203" s="99"/>
      <c r="E203" s="100"/>
      <c r="F203" s="100"/>
      <c r="G203" s="100"/>
      <c r="H203" s="100"/>
      <c r="I203" s="100"/>
      <c r="J203" s="99"/>
      <c r="K203" s="99"/>
      <c r="L203" s="99"/>
      <c r="M203" s="88"/>
      <c r="N203" s="88"/>
      <c r="O203" s="91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9" hidden="1" x14ac:dyDescent="0.25">
      <c r="A204" s="88"/>
      <c r="B204" s="161"/>
      <c r="C204" s="99" t="s">
        <v>180</v>
      </c>
      <c r="D204" s="99"/>
      <c r="E204" s="100"/>
      <c r="F204" s="100"/>
      <c r="G204" s="100"/>
      <c r="H204" s="100"/>
      <c r="I204" s="100"/>
      <c r="J204" s="99"/>
      <c r="K204" s="99"/>
      <c r="L204" s="99"/>
      <c r="M204" s="88"/>
      <c r="N204" s="88"/>
      <c r="O204" s="91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9" hidden="1" x14ac:dyDescent="0.25">
      <c r="A205" s="88"/>
      <c r="B205" s="161"/>
      <c r="C205" s="99" t="s">
        <v>184</v>
      </c>
      <c r="D205" s="99"/>
      <c r="E205" s="100"/>
      <c r="F205" s="100"/>
      <c r="G205" s="100"/>
      <c r="H205" s="154"/>
      <c r="I205" s="154"/>
      <c r="J205" s="99"/>
      <c r="K205" s="99"/>
      <c r="L205" s="99"/>
      <c r="M205" s="88"/>
      <c r="N205" s="88"/>
      <c r="O205" s="128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9" x14ac:dyDescent="0.25">
      <c r="A206" s="88"/>
      <c r="B206" s="108" t="s">
        <v>262</v>
      </c>
      <c r="C206" s="356" t="s">
        <v>167</v>
      </c>
      <c r="D206" s="110" t="s">
        <v>120</v>
      </c>
      <c r="E206" s="110" t="s">
        <v>251</v>
      </c>
      <c r="F206" s="111" t="s">
        <v>252</v>
      </c>
      <c r="G206" s="111" t="s">
        <v>52</v>
      </c>
      <c r="H206" s="111" t="s">
        <v>253</v>
      </c>
      <c r="I206" s="111" t="s">
        <v>53</v>
      </c>
      <c r="J206" s="111" t="s">
        <v>254</v>
      </c>
      <c r="K206" s="111" t="s">
        <v>54</v>
      </c>
      <c r="L206" s="111" t="s">
        <v>255</v>
      </c>
      <c r="M206" s="111" t="s">
        <v>55</v>
      </c>
      <c r="N206" s="151" t="s">
        <v>256</v>
      </c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 spans="1:26" ht="19" x14ac:dyDescent="0.25">
      <c r="A207" s="88"/>
      <c r="B207" s="161"/>
      <c r="C207" s="357"/>
      <c r="D207" s="110" t="s">
        <v>88</v>
      </c>
      <c r="E207" s="111" t="s">
        <v>187</v>
      </c>
      <c r="F207" s="111" t="s">
        <v>89</v>
      </c>
      <c r="G207" s="111" t="s">
        <v>89</v>
      </c>
      <c r="H207" s="111" t="s">
        <v>188</v>
      </c>
      <c r="I207" s="111" t="s">
        <v>188</v>
      </c>
      <c r="J207" s="111" t="s">
        <v>91</v>
      </c>
      <c r="K207" s="111" t="s">
        <v>259</v>
      </c>
      <c r="L207" s="110" t="s">
        <v>92</v>
      </c>
      <c r="M207" s="110" t="s">
        <v>260</v>
      </c>
      <c r="N207" s="151" t="s">
        <v>93</v>
      </c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 spans="1:26" ht="19" x14ac:dyDescent="0.25">
      <c r="A208" s="88"/>
      <c r="B208" s="161"/>
      <c r="C208" s="99" t="s">
        <v>176</v>
      </c>
      <c r="D208" s="120" t="s">
        <v>114</v>
      </c>
      <c r="E208" s="120" t="s">
        <v>114</v>
      </c>
      <c r="F208" s="120" t="s">
        <v>114</v>
      </c>
      <c r="G208" s="120" t="s">
        <v>114</v>
      </c>
      <c r="H208" s="120" t="s">
        <v>114</v>
      </c>
      <c r="I208" s="120" t="s">
        <v>114</v>
      </c>
      <c r="J208" s="115">
        <v>5000</v>
      </c>
      <c r="K208" s="115">
        <v>7000</v>
      </c>
      <c r="L208" s="115">
        <v>11000</v>
      </c>
      <c r="M208" s="115">
        <v>14200</v>
      </c>
      <c r="N208" s="155">
        <v>18800</v>
      </c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 spans="1:26" ht="19" x14ac:dyDescent="0.25">
      <c r="A209" s="88"/>
      <c r="B209" s="161"/>
      <c r="C209" s="99" t="s">
        <v>177</v>
      </c>
      <c r="D209" s="120" t="s">
        <v>114</v>
      </c>
      <c r="E209" s="120" t="s">
        <v>114</v>
      </c>
      <c r="F209" s="120" t="s">
        <v>114</v>
      </c>
      <c r="G209" s="120" t="s">
        <v>114</v>
      </c>
      <c r="H209" s="120" t="s">
        <v>114</v>
      </c>
      <c r="I209" s="120" t="s">
        <v>114</v>
      </c>
      <c r="J209" s="116"/>
      <c r="K209" s="116"/>
      <c r="L209" s="116"/>
      <c r="M209" s="116"/>
      <c r="N209" s="171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 spans="1:26" ht="19" x14ac:dyDescent="0.25">
      <c r="A210" s="88"/>
      <c r="B210" s="161"/>
      <c r="C210" s="99" t="s">
        <v>178</v>
      </c>
      <c r="D210" s="120"/>
      <c r="E210" s="120"/>
      <c r="F210" s="120"/>
      <c r="G210" s="120"/>
      <c r="H210" s="120"/>
      <c r="I210" s="120"/>
      <c r="J210" s="120">
        <f t="shared" ref="J210:N210" si="87">J208*3</f>
        <v>15000</v>
      </c>
      <c r="K210" s="120">
        <f t="shared" si="87"/>
        <v>21000</v>
      </c>
      <c r="L210" s="120">
        <f t="shared" si="87"/>
        <v>33000</v>
      </c>
      <c r="M210" s="120">
        <f t="shared" si="87"/>
        <v>42600</v>
      </c>
      <c r="N210" s="121">
        <f t="shared" si="87"/>
        <v>56400</v>
      </c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 spans="1:26" ht="19" x14ac:dyDescent="0.25">
      <c r="A211" s="88"/>
      <c r="B211" s="140" t="s">
        <v>221</v>
      </c>
      <c r="C211" s="123"/>
      <c r="D211" s="118"/>
      <c r="E211" s="118"/>
      <c r="F211" s="118"/>
      <c r="G211" s="118"/>
      <c r="H211" s="118"/>
      <c r="I211" s="118"/>
      <c r="J211" s="125">
        <f t="shared" ref="J211:N211" si="88">J210*0.8</f>
        <v>12000</v>
      </c>
      <c r="K211" s="125">
        <f t="shared" si="88"/>
        <v>16800</v>
      </c>
      <c r="L211" s="125">
        <f t="shared" si="88"/>
        <v>26400</v>
      </c>
      <c r="M211" s="125">
        <f t="shared" si="88"/>
        <v>34080</v>
      </c>
      <c r="N211" s="126">
        <f t="shared" si="88"/>
        <v>45120</v>
      </c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 spans="1:26" ht="19" x14ac:dyDescent="0.25">
      <c r="A212" s="88"/>
      <c r="B212" s="162" t="s">
        <v>193</v>
      </c>
      <c r="C212" s="187"/>
      <c r="D212" s="188"/>
      <c r="E212" s="120"/>
      <c r="F212" s="120"/>
      <c r="G212" s="120"/>
      <c r="H212" s="120"/>
      <c r="I212" s="120"/>
      <c r="J212" s="120">
        <f t="shared" ref="J212:N212" si="89">J208*6</f>
        <v>30000</v>
      </c>
      <c r="K212" s="120">
        <f t="shared" si="89"/>
        <v>42000</v>
      </c>
      <c r="L212" s="120">
        <f t="shared" si="89"/>
        <v>66000</v>
      </c>
      <c r="M212" s="120">
        <f t="shared" si="89"/>
        <v>85200</v>
      </c>
      <c r="N212" s="121">
        <f t="shared" si="89"/>
        <v>112800</v>
      </c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 spans="1:26" ht="19" x14ac:dyDescent="0.25">
      <c r="A213" s="88"/>
      <c r="B213" s="140" t="s">
        <v>192</v>
      </c>
      <c r="C213" s="189" t="s">
        <v>180</v>
      </c>
      <c r="D213" s="118"/>
      <c r="E213" s="118"/>
      <c r="F213" s="118"/>
      <c r="G213" s="118"/>
      <c r="H213" s="118"/>
      <c r="I213" s="118"/>
      <c r="J213" s="130">
        <f t="shared" ref="J213:N213" si="90">J212*0.75</f>
        <v>22500</v>
      </c>
      <c r="K213" s="130">
        <f t="shared" si="90"/>
        <v>31500</v>
      </c>
      <c r="L213" s="130">
        <f t="shared" si="90"/>
        <v>49500</v>
      </c>
      <c r="M213" s="130">
        <f t="shared" si="90"/>
        <v>63900</v>
      </c>
      <c r="N213" s="131">
        <f t="shared" si="90"/>
        <v>84600</v>
      </c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 spans="1:26" ht="19" x14ac:dyDescent="0.25">
      <c r="A214" s="88"/>
      <c r="B214" s="162" t="s">
        <v>193</v>
      </c>
      <c r="C214" s="190"/>
      <c r="D214" s="120"/>
      <c r="E214" s="120"/>
      <c r="F214" s="120"/>
      <c r="G214" s="120"/>
      <c r="H214" s="120"/>
      <c r="I214" s="120"/>
      <c r="J214" s="136">
        <f t="shared" ref="J214:N214" si="91">J208*9</f>
        <v>45000</v>
      </c>
      <c r="K214" s="136">
        <f t="shared" si="91"/>
        <v>63000</v>
      </c>
      <c r="L214" s="136">
        <f t="shared" si="91"/>
        <v>99000</v>
      </c>
      <c r="M214" s="136">
        <f t="shared" si="91"/>
        <v>127800</v>
      </c>
      <c r="N214" s="137">
        <f t="shared" si="91"/>
        <v>169200</v>
      </c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 spans="1:26" ht="19" x14ac:dyDescent="0.25">
      <c r="A215" s="88"/>
      <c r="B215" s="140" t="s">
        <v>223</v>
      </c>
      <c r="C215" s="191" t="s">
        <v>182</v>
      </c>
      <c r="D215" s="125" t="s">
        <v>114</v>
      </c>
      <c r="E215" s="125" t="s">
        <v>114</v>
      </c>
      <c r="F215" s="125" t="s">
        <v>114</v>
      </c>
      <c r="G215" s="125" t="s">
        <v>114</v>
      </c>
      <c r="H215" s="125" t="s">
        <v>114</v>
      </c>
      <c r="I215" s="125" t="s">
        <v>114</v>
      </c>
      <c r="J215" s="143">
        <f t="shared" ref="J215:N215" si="92">J214*0.7</f>
        <v>31499.999999999996</v>
      </c>
      <c r="K215" s="143">
        <f t="shared" si="92"/>
        <v>44100</v>
      </c>
      <c r="L215" s="143">
        <f t="shared" si="92"/>
        <v>69300</v>
      </c>
      <c r="M215" s="143">
        <f t="shared" si="92"/>
        <v>89460</v>
      </c>
      <c r="N215" s="144">
        <f t="shared" si="92"/>
        <v>118439.99999999999</v>
      </c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27"/>
    </row>
    <row r="216" spans="1:26" ht="19" x14ac:dyDescent="0.25">
      <c r="A216" s="88"/>
      <c r="B216" s="162" t="s">
        <v>193</v>
      </c>
      <c r="C216" s="187"/>
      <c r="D216" s="120" t="s">
        <v>114</v>
      </c>
      <c r="E216" s="120" t="s">
        <v>114</v>
      </c>
      <c r="F216" s="120" t="s">
        <v>114</v>
      </c>
      <c r="G216" s="120" t="s">
        <v>114</v>
      </c>
      <c r="H216" s="120" t="s">
        <v>114</v>
      </c>
      <c r="I216" s="120" t="s">
        <v>114</v>
      </c>
      <c r="J216" s="149">
        <f t="shared" ref="J216:N216" si="93">J208*12</f>
        <v>60000</v>
      </c>
      <c r="K216" s="149">
        <f t="shared" si="93"/>
        <v>84000</v>
      </c>
      <c r="L216" s="149">
        <f t="shared" si="93"/>
        <v>132000</v>
      </c>
      <c r="M216" s="149">
        <f t="shared" si="93"/>
        <v>170400</v>
      </c>
      <c r="N216" s="150">
        <f t="shared" si="93"/>
        <v>225600</v>
      </c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 spans="1:26" ht="14.25" customHeight="1" x14ac:dyDescent="0.25">
      <c r="A217" s="88"/>
      <c r="B217" s="140" t="s">
        <v>195</v>
      </c>
      <c r="C217" s="189" t="s">
        <v>184</v>
      </c>
      <c r="D217" s="125" t="s">
        <v>114</v>
      </c>
      <c r="E217" s="125" t="s">
        <v>114</v>
      </c>
      <c r="F217" s="125" t="s">
        <v>114</v>
      </c>
      <c r="G217" s="125" t="s">
        <v>114</v>
      </c>
      <c r="H217" s="125" t="s">
        <v>114</v>
      </c>
      <c r="I217" s="125" t="s">
        <v>114</v>
      </c>
      <c r="J217" s="125">
        <f t="shared" ref="J217:N217" si="94">J216*0.65</f>
        <v>39000</v>
      </c>
      <c r="K217" s="125">
        <f t="shared" si="94"/>
        <v>54600</v>
      </c>
      <c r="L217" s="125">
        <f t="shared" si="94"/>
        <v>85800</v>
      </c>
      <c r="M217" s="125">
        <f t="shared" si="94"/>
        <v>110760</v>
      </c>
      <c r="N217" s="126">
        <f t="shared" si="94"/>
        <v>146640</v>
      </c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27"/>
    </row>
    <row r="218" spans="1:26" ht="19" hidden="1" x14ac:dyDescent="0.25">
      <c r="A218" s="88"/>
      <c r="B218" s="140" t="s">
        <v>195</v>
      </c>
      <c r="C218" s="123"/>
      <c r="D218" s="99"/>
      <c r="E218" s="100"/>
      <c r="F218" s="100"/>
      <c r="G218" s="100"/>
      <c r="H218" s="100"/>
      <c r="I218" s="99"/>
      <c r="J218" s="99"/>
      <c r="K218" s="99"/>
      <c r="L218" s="88"/>
      <c r="M218" s="88"/>
      <c r="N218" s="91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 spans="1:26" ht="19" hidden="1" x14ac:dyDescent="0.25">
      <c r="A219" s="88"/>
      <c r="B219" s="161"/>
      <c r="C219" s="99" t="s">
        <v>180</v>
      </c>
      <c r="D219" s="99"/>
      <c r="E219" s="100"/>
      <c r="F219" s="100"/>
      <c r="G219" s="100"/>
      <c r="H219" s="100"/>
      <c r="I219" s="99"/>
      <c r="J219" s="99"/>
      <c r="K219" s="99"/>
      <c r="L219" s="88"/>
      <c r="M219" s="88"/>
      <c r="N219" s="91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 spans="1:26" ht="19" hidden="1" x14ac:dyDescent="0.25">
      <c r="A220" s="88"/>
      <c r="B220" s="161"/>
      <c r="C220" s="99" t="s">
        <v>184</v>
      </c>
      <c r="D220" s="99"/>
      <c r="E220" s="100"/>
      <c r="F220" s="100"/>
      <c r="G220" s="154"/>
      <c r="H220" s="154"/>
      <c r="I220" s="99"/>
      <c r="J220" s="99"/>
      <c r="K220" s="99"/>
      <c r="L220" s="88"/>
      <c r="M220" s="88"/>
      <c r="N220" s="91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 spans="1:26" ht="19" hidden="1" x14ac:dyDescent="0.25">
      <c r="A221" s="88"/>
      <c r="B221" s="172" t="s">
        <v>263</v>
      </c>
      <c r="C221" s="356" t="s">
        <v>167</v>
      </c>
      <c r="D221" s="110" t="s">
        <v>120</v>
      </c>
      <c r="E221" s="110" t="s">
        <v>118</v>
      </c>
      <c r="F221" s="111" t="s">
        <v>52</v>
      </c>
      <c r="G221" s="111" t="s">
        <v>53</v>
      </c>
      <c r="H221" s="111" t="s">
        <v>54</v>
      </c>
      <c r="I221" s="111" t="s">
        <v>55</v>
      </c>
      <c r="J221" s="110" t="s">
        <v>56</v>
      </c>
      <c r="K221" s="110" t="s">
        <v>57</v>
      </c>
      <c r="L221" s="88"/>
      <c r="M221" s="88"/>
      <c r="N221" s="91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 spans="1:26" ht="19" hidden="1" x14ac:dyDescent="0.25">
      <c r="A222" s="88"/>
      <c r="B222" s="161"/>
      <c r="C222" s="357"/>
      <c r="D222" s="110" t="s">
        <v>88</v>
      </c>
      <c r="E222" s="111" t="s">
        <v>187</v>
      </c>
      <c r="F222" s="111" t="s">
        <v>89</v>
      </c>
      <c r="G222" s="111" t="s">
        <v>188</v>
      </c>
      <c r="H222" s="111" t="s">
        <v>91</v>
      </c>
      <c r="I222" s="110" t="s">
        <v>92</v>
      </c>
      <c r="J222" s="110" t="s">
        <v>93</v>
      </c>
      <c r="K222" s="110" t="s">
        <v>189</v>
      </c>
      <c r="L222" s="88"/>
      <c r="M222" s="88"/>
      <c r="N222" s="91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 spans="1:26" ht="19" hidden="1" x14ac:dyDescent="0.25">
      <c r="A223" s="88"/>
      <c r="B223" s="161"/>
      <c r="C223" s="99" t="s">
        <v>176</v>
      </c>
      <c r="D223" s="99"/>
      <c r="E223" s="100"/>
      <c r="F223" s="100"/>
      <c r="G223" s="100"/>
      <c r="H223" s="100"/>
      <c r="I223" s="99"/>
      <c r="J223" s="99"/>
      <c r="K223" s="99"/>
      <c r="L223" s="88"/>
      <c r="M223" s="88"/>
      <c r="N223" s="91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 spans="1:26" ht="19" hidden="1" x14ac:dyDescent="0.25">
      <c r="A224" s="88"/>
      <c r="B224" s="161"/>
      <c r="C224" s="99" t="s">
        <v>178</v>
      </c>
      <c r="D224" s="99"/>
      <c r="E224" s="100"/>
      <c r="F224" s="100"/>
      <c r="G224" s="100"/>
      <c r="H224" s="100"/>
      <c r="I224" s="99"/>
      <c r="J224" s="99"/>
      <c r="K224" s="99"/>
      <c r="L224" s="88"/>
      <c r="M224" s="88"/>
      <c r="N224" s="91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 spans="1:25" ht="19" hidden="1" x14ac:dyDescent="0.25">
      <c r="A225" s="88"/>
      <c r="B225" s="161"/>
      <c r="C225" s="99" t="s">
        <v>180</v>
      </c>
      <c r="D225" s="99"/>
      <c r="E225" s="100"/>
      <c r="F225" s="100"/>
      <c r="G225" s="100"/>
      <c r="H225" s="100"/>
      <c r="I225" s="99"/>
      <c r="J225" s="99"/>
      <c r="K225" s="99"/>
      <c r="L225" s="88"/>
      <c r="M225" s="88"/>
      <c r="N225" s="91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 spans="1:25" ht="19" hidden="1" x14ac:dyDescent="0.25">
      <c r="A226" s="88"/>
      <c r="B226" s="161"/>
      <c r="C226" s="99" t="s">
        <v>184</v>
      </c>
      <c r="D226" s="99"/>
      <c r="E226" s="100"/>
      <c r="F226" s="100"/>
      <c r="G226" s="154"/>
      <c r="H226" s="154"/>
      <c r="I226" s="99"/>
      <c r="J226" s="99"/>
      <c r="K226" s="99"/>
      <c r="L226" s="88"/>
      <c r="M226" s="88"/>
      <c r="N226" s="91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 spans="1:25" ht="19" hidden="1" x14ac:dyDescent="0.25">
      <c r="A227" s="88"/>
      <c r="B227" s="172" t="s">
        <v>264</v>
      </c>
      <c r="C227" s="356" t="s">
        <v>167</v>
      </c>
      <c r="D227" s="110" t="s">
        <v>120</v>
      </c>
      <c r="E227" s="110" t="s">
        <v>118</v>
      </c>
      <c r="F227" s="111" t="s">
        <v>52</v>
      </c>
      <c r="G227" s="111" t="s">
        <v>53</v>
      </c>
      <c r="H227" s="111" t="s">
        <v>54</v>
      </c>
      <c r="I227" s="111" t="s">
        <v>55</v>
      </c>
      <c r="J227" s="110" t="s">
        <v>56</v>
      </c>
      <c r="K227" s="110" t="s">
        <v>57</v>
      </c>
      <c r="L227" s="88"/>
      <c r="M227" s="88"/>
      <c r="N227" s="91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 spans="1:25" ht="19" hidden="1" x14ac:dyDescent="0.25">
      <c r="A228" s="88"/>
      <c r="B228" s="161"/>
      <c r="C228" s="357"/>
      <c r="D228" s="110" t="s">
        <v>88</v>
      </c>
      <c r="E228" s="111" t="s">
        <v>187</v>
      </c>
      <c r="F228" s="111" t="s">
        <v>89</v>
      </c>
      <c r="G228" s="111" t="s">
        <v>188</v>
      </c>
      <c r="H228" s="111" t="s">
        <v>91</v>
      </c>
      <c r="I228" s="110" t="s">
        <v>92</v>
      </c>
      <c r="J228" s="110" t="s">
        <v>93</v>
      </c>
      <c r="K228" s="110" t="s">
        <v>189</v>
      </c>
      <c r="L228" s="88"/>
      <c r="M228" s="88"/>
      <c r="N228" s="91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 spans="1:25" ht="19" hidden="1" x14ac:dyDescent="0.25">
      <c r="A229" s="88"/>
      <c r="B229" s="161"/>
      <c r="C229" s="99" t="s">
        <v>176</v>
      </c>
      <c r="D229" s="99"/>
      <c r="E229" s="100"/>
      <c r="F229" s="100"/>
      <c r="G229" s="100"/>
      <c r="H229" s="100"/>
      <c r="I229" s="99"/>
      <c r="J229" s="99"/>
      <c r="K229" s="99"/>
      <c r="L229" s="88"/>
      <c r="M229" s="88"/>
      <c r="N229" s="91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 spans="1:25" ht="19" hidden="1" x14ac:dyDescent="0.25">
      <c r="A230" s="88"/>
      <c r="B230" s="161"/>
      <c r="C230" s="99" t="s">
        <v>178</v>
      </c>
      <c r="D230" s="99"/>
      <c r="E230" s="100"/>
      <c r="F230" s="100"/>
      <c r="G230" s="100"/>
      <c r="H230" s="100"/>
      <c r="I230" s="99"/>
      <c r="J230" s="99"/>
      <c r="K230" s="99"/>
      <c r="L230" s="88"/>
      <c r="M230" s="88"/>
      <c r="N230" s="91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 spans="1:25" ht="19" hidden="1" x14ac:dyDescent="0.25">
      <c r="A231" s="88"/>
      <c r="B231" s="161"/>
      <c r="C231" s="99" t="s">
        <v>180</v>
      </c>
      <c r="D231" s="99"/>
      <c r="E231" s="100"/>
      <c r="F231" s="100"/>
      <c r="G231" s="100"/>
      <c r="H231" s="100"/>
      <c r="I231" s="99"/>
      <c r="J231" s="99"/>
      <c r="K231" s="99"/>
      <c r="L231" s="88"/>
      <c r="M231" s="88"/>
      <c r="N231" s="91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 spans="1:25" ht="19" hidden="1" x14ac:dyDescent="0.25">
      <c r="A232" s="88"/>
      <c r="B232" s="161"/>
      <c r="C232" s="159" t="s">
        <v>184</v>
      </c>
      <c r="D232" s="99"/>
      <c r="E232" s="100"/>
      <c r="F232" s="100"/>
      <c r="G232" s="154"/>
      <c r="H232" s="154"/>
      <c r="I232" s="99"/>
      <c r="J232" s="99"/>
      <c r="K232" s="99"/>
      <c r="L232" s="88"/>
      <c r="M232" s="88"/>
      <c r="N232" s="91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 spans="1:25" ht="19" x14ac:dyDescent="0.25">
      <c r="A233" s="88"/>
      <c r="B233" s="108" t="s">
        <v>265</v>
      </c>
      <c r="C233" s="356" t="s">
        <v>167</v>
      </c>
      <c r="D233" s="110" t="s">
        <v>120</v>
      </c>
      <c r="E233" s="110" t="s">
        <v>118</v>
      </c>
      <c r="F233" s="111" t="s">
        <v>52</v>
      </c>
      <c r="G233" s="111" t="s">
        <v>53</v>
      </c>
      <c r="H233" s="111" t="s">
        <v>54</v>
      </c>
      <c r="I233" s="111" t="s">
        <v>55</v>
      </c>
      <c r="J233" s="110" t="s">
        <v>56</v>
      </c>
      <c r="K233" s="110" t="s">
        <v>57</v>
      </c>
      <c r="L233" s="88"/>
      <c r="M233" s="88"/>
      <c r="N233" s="91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 spans="1:25" ht="19" x14ac:dyDescent="0.25">
      <c r="A234" s="88"/>
      <c r="B234" s="174"/>
      <c r="C234" s="357"/>
      <c r="D234" s="110" t="s">
        <v>88</v>
      </c>
      <c r="E234" s="111" t="s">
        <v>119</v>
      </c>
      <c r="F234" s="111" t="s">
        <v>200</v>
      </c>
      <c r="G234" s="111" t="s">
        <v>258</v>
      </c>
      <c r="H234" s="111" t="s">
        <v>91</v>
      </c>
      <c r="I234" s="110" t="s">
        <v>92</v>
      </c>
      <c r="J234" s="110" t="s">
        <v>93</v>
      </c>
      <c r="K234" s="110" t="s">
        <v>266</v>
      </c>
      <c r="L234" s="88"/>
      <c r="M234" s="88"/>
      <c r="N234" s="91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 spans="1:25" ht="19" x14ac:dyDescent="0.25">
      <c r="A235" s="88"/>
      <c r="B235" s="112"/>
      <c r="C235" s="99" t="s">
        <v>176</v>
      </c>
      <c r="D235" s="99">
        <v>801.12</v>
      </c>
      <c r="E235" s="114">
        <v>1500</v>
      </c>
      <c r="F235" s="114">
        <v>2200</v>
      </c>
      <c r="G235" s="114">
        <v>3500</v>
      </c>
      <c r="H235" s="114">
        <v>6200</v>
      </c>
      <c r="I235" s="115">
        <v>14500</v>
      </c>
      <c r="J235" s="115">
        <v>23500</v>
      </c>
      <c r="K235" s="115">
        <v>36500</v>
      </c>
      <c r="L235" s="88"/>
      <c r="M235" s="88"/>
      <c r="N235" s="91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 spans="1:25" ht="38" x14ac:dyDescent="0.25">
      <c r="A236" s="88"/>
      <c r="B236" s="112"/>
      <c r="C236" s="99" t="s">
        <v>177</v>
      </c>
      <c r="D236" s="113"/>
      <c r="E236" s="116"/>
      <c r="F236" s="116"/>
      <c r="G236" s="192">
        <f>G235*0.6</f>
        <v>2100</v>
      </c>
      <c r="H236" s="193">
        <f>H235*0.65</f>
        <v>4030</v>
      </c>
      <c r="I236" s="193">
        <f t="shared" ref="I236:K236" si="95">I235*0.65</f>
        <v>9425</v>
      </c>
      <c r="J236" s="193">
        <f t="shared" si="95"/>
        <v>15275</v>
      </c>
      <c r="K236" s="193">
        <f t="shared" si="95"/>
        <v>23725</v>
      </c>
      <c r="L236" s="194" t="s">
        <v>267</v>
      </c>
      <c r="M236" s="89"/>
      <c r="N236" s="128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 spans="1:25" ht="19" x14ac:dyDescent="0.25">
      <c r="A237" s="88"/>
      <c r="B237" s="119"/>
      <c r="C237" s="99" t="s">
        <v>178</v>
      </c>
      <c r="D237" s="113">
        <f t="shared" ref="D237:F237" si="96">D235*3</f>
        <v>2403.36</v>
      </c>
      <c r="E237" s="120">
        <f t="shared" si="96"/>
        <v>4500</v>
      </c>
      <c r="F237" s="120">
        <f t="shared" si="96"/>
        <v>6600</v>
      </c>
      <c r="G237" s="120">
        <f>G235*3</f>
        <v>10500</v>
      </c>
      <c r="H237" s="120">
        <f>H235*3</f>
        <v>18600</v>
      </c>
      <c r="I237" s="120">
        <f t="shared" ref="I237:K237" si="97">I235*3</f>
        <v>43500</v>
      </c>
      <c r="J237" s="120">
        <f t="shared" si="97"/>
        <v>70500</v>
      </c>
      <c r="K237" s="121">
        <f t="shared" si="97"/>
        <v>109500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 spans="1:25" ht="19" x14ac:dyDescent="0.25">
      <c r="A238" s="88"/>
      <c r="B238" s="122" t="s">
        <v>181</v>
      </c>
      <c r="C238" s="123"/>
      <c r="D238" s="124"/>
      <c r="E238" s="125">
        <f>E237*0.8</f>
        <v>3600</v>
      </c>
      <c r="F238" s="125">
        <f>F237*0.8</f>
        <v>5280</v>
      </c>
      <c r="G238" s="195">
        <f>G237*0.6</f>
        <v>6300</v>
      </c>
      <c r="H238" s="196">
        <f>H237*0.65</f>
        <v>12090</v>
      </c>
      <c r="I238" s="196">
        <f t="shared" ref="I238:K238" si="98">I237*0.65</f>
        <v>28275</v>
      </c>
      <c r="J238" s="196">
        <f t="shared" si="98"/>
        <v>45825</v>
      </c>
      <c r="K238" s="197">
        <f t="shared" si="98"/>
        <v>71175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 spans="1:25" ht="19" x14ac:dyDescent="0.25">
      <c r="A239" s="88"/>
      <c r="B239" s="119"/>
      <c r="C239" s="99" t="s">
        <v>180</v>
      </c>
      <c r="D239" s="113">
        <f t="shared" ref="D239:G239" si="99">D235*6</f>
        <v>4806.72</v>
      </c>
      <c r="E239" s="120">
        <f t="shared" si="99"/>
        <v>9000</v>
      </c>
      <c r="F239" s="120">
        <f t="shared" si="99"/>
        <v>13200</v>
      </c>
      <c r="G239" s="120">
        <f t="shared" si="99"/>
        <v>21000</v>
      </c>
      <c r="H239" s="120">
        <f>H235*6</f>
        <v>37200</v>
      </c>
      <c r="I239" s="120">
        <f t="shared" ref="I239:K239" si="100">I235*6</f>
        <v>87000</v>
      </c>
      <c r="J239" s="120">
        <f t="shared" si="100"/>
        <v>141000</v>
      </c>
      <c r="K239" s="121">
        <f t="shared" si="100"/>
        <v>219000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 spans="1:25" ht="19" x14ac:dyDescent="0.25">
      <c r="A240" s="88"/>
      <c r="B240" s="122" t="s">
        <v>183</v>
      </c>
      <c r="C240" s="123"/>
      <c r="D240" s="129"/>
      <c r="E240" s="130">
        <f>E239*0.75</f>
        <v>6750</v>
      </c>
      <c r="F240" s="130">
        <f>F239*0.75</f>
        <v>9900</v>
      </c>
      <c r="G240" s="198">
        <f>G239*0.6</f>
        <v>12600</v>
      </c>
      <c r="H240" s="199">
        <f>H239*0.65</f>
        <v>24180</v>
      </c>
      <c r="I240" s="199">
        <f t="shared" ref="I240:K240" si="101">I239*0.65</f>
        <v>56550</v>
      </c>
      <c r="J240" s="199">
        <f t="shared" si="101"/>
        <v>91650</v>
      </c>
      <c r="K240" s="200">
        <f t="shared" si="101"/>
        <v>142350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 spans="1:26" ht="18" x14ac:dyDescent="0.25">
      <c r="A241" s="88"/>
      <c r="B241" s="133"/>
      <c r="C241" s="134" t="s">
        <v>182</v>
      </c>
      <c r="D241" s="135">
        <f t="shared" ref="D241:G241" si="102">D235*9</f>
        <v>7210.08</v>
      </c>
      <c r="E241" s="136">
        <f t="shared" si="102"/>
        <v>13500</v>
      </c>
      <c r="F241" s="136">
        <f t="shared" si="102"/>
        <v>19800</v>
      </c>
      <c r="G241" s="136">
        <f t="shared" si="102"/>
        <v>31500</v>
      </c>
      <c r="H241" s="136">
        <f>H235*9</f>
        <v>55800</v>
      </c>
      <c r="I241" s="136">
        <f t="shared" ref="I241:K241" si="103">I235*9</f>
        <v>130500</v>
      </c>
      <c r="J241" s="136">
        <f t="shared" si="103"/>
        <v>211500</v>
      </c>
      <c r="K241" s="137">
        <f t="shared" si="103"/>
        <v>328500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27"/>
    </row>
    <row r="242" spans="1:26" ht="19" x14ac:dyDescent="0.25">
      <c r="A242" s="88"/>
      <c r="B242" s="140" t="s">
        <v>185</v>
      </c>
      <c r="C242" s="141"/>
      <c r="D242" s="142"/>
      <c r="E242" s="143">
        <f>E241*0.7</f>
        <v>9450</v>
      </c>
      <c r="F242" s="143">
        <f>F241*0.7</f>
        <v>13860</v>
      </c>
      <c r="G242" s="201">
        <f>G241*0.6</f>
        <v>18900</v>
      </c>
      <c r="H242" s="202">
        <f>H241*0.65</f>
        <v>36270</v>
      </c>
      <c r="I242" s="202">
        <f t="shared" ref="I242:K242" si="104">I241*0.65</f>
        <v>84825</v>
      </c>
      <c r="J242" s="202">
        <f t="shared" si="104"/>
        <v>137475</v>
      </c>
      <c r="K242" s="203">
        <f t="shared" si="104"/>
        <v>213525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 spans="1:26" ht="19" x14ac:dyDescent="0.25">
      <c r="A243" s="88"/>
      <c r="B243" s="146"/>
      <c r="C243" s="147" t="s">
        <v>184</v>
      </c>
      <c r="D243" s="148">
        <f t="shared" ref="D243:G243" si="105">D235*12</f>
        <v>9613.44</v>
      </c>
      <c r="E243" s="149">
        <f t="shared" si="105"/>
        <v>18000</v>
      </c>
      <c r="F243" s="149">
        <f t="shared" si="105"/>
        <v>26400</v>
      </c>
      <c r="G243" s="149">
        <f t="shared" si="105"/>
        <v>42000</v>
      </c>
      <c r="H243" s="149">
        <f>H235*12</f>
        <v>74400</v>
      </c>
      <c r="I243" s="149">
        <f t="shared" ref="I243:K243" si="106">I235*12</f>
        <v>174000</v>
      </c>
      <c r="J243" s="149">
        <f t="shared" si="106"/>
        <v>282000</v>
      </c>
      <c r="K243" s="150">
        <f t="shared" si="106"/>
        <v>438000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27"/>
    </row>
    <row r="244" spans="1:26" ht="19" x14ac:dyDescent="0.25">
      <c r="A244" s="88"/>
      <c r="B244" s="140" t="s">
        <v>243</v>
      </c>
      <c r="C244" s="123"/>
      <c r="D244" s="124"/>
      <c r="E244" s="125">
        <f>E243*0.65</f>
        <v>11700</v>
      </c>
      <c r="F244" s="125">
        <f>F243*0.65</f>
        <v>17160</v>
      </c>
      <c r="G244" s="195">
        <f>G243*0.6</f>
        <v>25200</v>
      </c>
      <c r="H244" s="196">
        <f>H243*0.65</f>
        <v>48360</v>
      </c>
      <c r="I244" s="196">
        <f t="shared" ref="I244:K244" si="107">I243*0.65</f>
        <v>113100</v>
      </c>
      <c r="J244" s="196">
        <f t="shared" si="107"/>
        <v>183300</v>
      </c>
      <c r="K244" s="197">
        <f t="shared" si="107"/>
        <v>284700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 spans="1:26" ht="19" hidden="1" x14ac:dyDescent="0.25">
      <c r="A245" s="88"/>
      <c r="B245" s="176" t="s">
        <v>268</v>
      </c>
      <c r="C245" s="356" t="s">
        <v>167</v>
      </c>
      <c r="D245" s="110" t="s">
        <v>120</v>
      </c>
      <c r="E245" s="110" t="s">
        <v>118</v>
      </c>
      <c r="F245" s="111" t="s">
        <v>52</v>
      </c>
      <c r="G245" s="111" t="s">
        <v>53</v>
      </c>
      <c r="H245" s="111" t="s">
        <v>54</v>
      </c>
      <c r="I245" s="111" t="s">
        <v>55</v>
      </c>
      <c r="J245" s="110" t="s">
        <v>56</v>
      </c>
      <c r="K245" s="151" t="s">
        <v>57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 spans="1:26" ht="19" hidden="1" x14ac:dyDescent="0.25">
      <c r="A246" s="88"/>
      <c r="B246" s="174"/>
      <c r="C246" s="357"/>
      <c r="D246" s="110" t="s">
        <v>88</v>
      </c>
      <c r="E246" s="111" t="s">
        <v>187</v>
      </c>
      <c r="F246" s="111" t="s">
        <v>89</v>
      </c>
      <c r="G246" s="111" t="s">
        <v>188</v>
      </c>
      <c r="H246" s="111" t="s">
        <v>91</v>
      </c>
      <c r="I246" s="110" t="s">
        <v>92</v>
      </c>
      <c r="J246" s="110" t="s">
        <v>93</v>
      </c>
      <c r="K246" s="151" t="s">
        <v>189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 spans="1:26" ht="19" hidden="1" x14ac:dyDescent="0.25">
      <c r="A247" s="88"/>
      <c r="B247" s="174"/>
      <c r="C247" s="99" t="s">
        <v>176</v>
      </c>
      <c r="D247" s="99"/>
      <c r="E247" s="100"/>
      <c r="F247" s="100"/>
      <c r="G247" s="100"/>
      <c r="H247" s="100"/>
      <c r="I247" s="99"/>
      <c r="J247" s="99"/>
      <c r="K247" s="152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 spans="1:26" ht="19" hidden="1" x14ac:dyDescent="0.25">
      <c r="A248" s="88"/>
      <c r="B248" s="174"/>
      <c r="C248" s="99" t="s">
        <v>178</v>
      </c>
      <c r="D248" s="99"/>
      <c r="E248" s="100"/>
      <c r="F248" s="100"/>
      <c r="G248" s="100"/>
      <c r="H248" s="100"/>
      <c r="I248" s="99"/>
      <c r="J248" s="99"/>
      <c r="K248" s="152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 spans="1:26" ht="19" hidden="1" x14ac:dyDescent="0.25">
      <c r="A249" s="88"/>
      <c r="B249" s="174"/>
      <c r="C249" s="99" t="s">
        <v>180</v>
      </c>
      <c r="D249" s="99"/>
      <c r="E249" s="100"/>
      <c r="F249" s="100"/>
      <c r="G249" s="100"/>
      <c r="H249" s="100"/>
      <c r="I249" s="99"/>
      <c r="J249" s="99"/>
      <c r="K249" s="152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 spans="1:26" ht="19" hidden="1" x14ac:dyDescent="0.25">
      <c r="A250" s="88"/>
      <c r="B250" s="174"/>
      <c r="C250" s="99" t="s">
        <v>184</v>
      </c>
      <c r="D250" s="99"/>
      <c r="E250" s="100"/>
      <c r="F250" s="100"/>
      <c r="G250" s="154"/>
      <c r="H250" s="154"/>
      <c r="I250" s="99"/>
      <c r="J250" s="99"/>
      <c r="K250" s="152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 spans="1:26" ht="19" hidden="1" x14ac:dyDescent="0.25">
      <c r="A251" s="88"/>
      <c r="B251" s="176" t="s">
        <v>269</v>
      </c>
      <c r="C251" s="356" t="s">
        <v>167</v>
      </c>
      <c r="D251" s="110" t="s">
        <v>120</v>
      </c>
      <c r="E251" s="110" t="s">
        <v>118</v>
      </c>
      <c r="F251" s="111" t="s">
        <v>52</v>
      </c>
      <c r="G251" s="111" t="s">
        <v>53</v>
      </c>
      <c r="H251" s="111" t="s">
        <v>54</v>
      </c>
      <c r="I251" s="111" t="s">
        <v>55</v>
      </c>
      <c r="J251" s="110" t="s">
        <v>56</v>
      </c>
      <c r="K251" s="151" t="s">
        <v>57</v>
      </c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 spans="1:26" ht="19" hidden="1" x14ac:dyDescent="0.25">
      <c r="A252" s="88"/>
      <c r="B252" s="174"/>
      <c r="C252" s="357"/>
      <c r="D252" s="110" t="s">
        <v>88</v>
      </c>
      <c r="E252" s="111" t="s">
        <v>187</v>
      </c>
      <c r="F252" s="111" t="s">
        <v>89</v>
      </c>
      <c r="G252" s="111" t="s">
        <v>188</v>
      </c>
      <c r="H252" s="111" t="s">
        <v>91</v>
      </c>
      <c r="I252" s="110" t="s">
        <v>92</v>
      </c>
      <c r="J252" s="110" t="s">
        <v>93</v>
      </c>
      <c r="K252" s="151" t="s">
        <v>189</v>
      </c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 spans="1:26" ht="19" hidden="1" x14ac:dyDescent="0.25">
      <c r="A253" s="88"/>
      <c r="B253" s="174"/>
      <c r="C253" s="99" t="s">
        <v>176</v>
      </c>
      <c r="D253" s="99"/>
      <c r="E253" s="100"/>
      <c r="F253" s="100"/>
      <c r="G253" s="100"/>
      <c r="H253" s="100"/>
      <c r="I253" s="99"/>
      <c r="J253" s="99"/>
      <c r="K253" s="152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 spans="1:26" ht="19" hidden="1" x14ac:dyDescent="0.25">
      <c r="A254" s="88"/>
      <c r="B254" s="174"/>
      <c r="C254" s="99" t="s">
        <v>178</v>
      </c>
      <c r="D254" s="99"/>
      <c r="E254" s="100"/>
      <c r="F254" s="100"/>
      <c r="G254" s="100"/>
      <c r="H254" s="100"/>
      <c r="I254" s="99"/>
      <c r="J254" s="99"/>
      <c r="K254" s="152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 spans="1:26" ht="19" hidden="1" x14ac:dyDescent="0.25">
      <c r="A255" s="88"/>
      <c r="B255" s="174"/>
      <c r="C255" s="99" t="s">
        <v>180</v>
      </c>
      <c r="D255" s="99"/>
      <c r="E255" s="100"/>
      <c r="F255" s="100"/>
      <c r="G255" s="100"/>
      <c r="H255" s="100"/>
      <c r="I255" s="99"/>
      <c r="J255" s="99"/>
      <c r="K255" s="152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 spans="1:26" ht="19" hidden="1" x14ac:dyDescent="0.25">
      <c r="A256" s="88"/>
      <c r="B256" s="174"/>
      <c r="C256" s="99" t="s">
        <v>184</v>
      </c>
      <c r="D256" s="99"/>
      <c r="E256" s="100"/>
      <c r="F256" s="100"/>
      <c r="G256" s="154"/>
      <c r="H256" s="154"/>
      <c r="I256" s="99"/>
      <c r="J256" s="99"/>
      <c r="K256" s="152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 spans="1:26" ht="19" x14ac:dyDescent="0.25">
      <c r="A257" s="88"/>
      <c r="B257" s="108" t="s">
        <v>270</v>
      </c>
      <c r="C257" s="356" t="s">
        <v>167</v>
      </c>
      <c r="D257" s="110" t="s">
        <v>120</v>
      </c>
      <c r="E257" s="110" t="s">
        <v>118</v>
      </c>
      <c r="F257" s="111" t="s">
        <v>52</v>
      </c>
      <c r="G257" s="111" t="s">
        <v>53</v>
      </c>
      <c r="H257" s="111" t="s">
        <v>54</v>
      </c>
      <c r="I257" s="111" t="s">
        <v>55</v>
      </c>
      <c r="J257" s="110" t="s">
        <v>56</v>
      </c>
      <c r="K257" s="151" t="s">
        <v>57</v>
      </c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 spans="1:26" ht="15.5" customHeight="1" x14ac:dyDescent="0.25">
      <c r="A258" s="88"/>
      <c r="B258" s="174"/>
      <c r="C258" s="357"/>
      <c r="D258" s="110" t="s">
        <v>88</v>
      </c>
      <c r="E258" s="111" t="s">
        <v>119</v>
      </c>
      <c r="F258" s="111" t="s">
        <v>89</v>
      </c>
      <c r="G258" s="111" t="s">
        <v>188</v>
      </c>
      <c r="H258" s="111" t="s">
        <v>91</v>
      </c>
      <c r="I258" s="110" t="s">
        <v>92</v>
      </c>
      <c r="J258" s="110" t="s">
        <v>93</v>
      </c>
      <c r="K258" s="151" t="s">
        <v>266</v>
      </c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 spans="1:26" ht="19" x14ac:dyDescent="0.25">
      <c r="A259" s="88"/>
      <c r="B259" s="112"/>
      <c r="C259" s="99" t="s">
        <v>176</v>
      </c>
      <c r="D259" s="99" t="s">
        <v>114</v>
      </c>
      <c r="E259" s="99" t="s">
        <v>114</v>
      </c>
      <c r="F259" s="99" t="s">
        <v>114</v>
      </c>
      <c r="G259" s="99" t="s">
        <v>114</v>
      </c>
      <c r="H259" s="114">
        <v>6200</v>
      </c>
      <c r="I259" s="115">
        <v>14500</v>
      </c>
      <c r="J259" s="115">
        <v>23500</v>
      </c>
      <c r="K259" s="155">
        <v>36500</v>
      </c>
      <c r="L259" s="2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 spans="1:26" ht="19" x14ac:dyDescent="0.25">
      <c r="A260" s="88"/>
      <c r="B260" s="112"/>
      <c r="C260" s="99" t="s">
        <v>271</v>
      </c>
      <c r="D260" s="113"/>
      <c r="E260" s="116"/>
      <c r="F260" s="116"/>
      <c r="G260" s="116"/>
      <c r="H260" s="117">
        <f>H259*0.65</f>
        <v>4030</v>
      </c>
      <c r="I260" s="117">
        <f t="shared" ref="I260:K260" si="108">I259*0.65</f>
        <v>9425</v>
      </c>
      <c r="J260" s="117">
        <f t="shared" si="108"/>
        <v>15275</v>
      </c>
      <c r="K260" s="156">
        <f t="shared" si="108"/>
        <v>23725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 spans="1:26" ht="19" x14ac:dyDescent="0.25">
      <c r="A261" s="88"/>
      <c r="B261" s="157"/>
      <c r="C261" s="99" t="s">
        <v>178</v>
      </c>
      <c r="D261" s="99" t="s">
        <v>114</v>
      </c>
      <c r="E261" s="99" t="s">
        <v>114</v>
      </c>
      <c r="F261" s="99" t="s">
        <v>114</v>
      </c>
      <c r="G261" s="99" t="s">
        <v>114</v>
      </c>
      <c r="H261" s="120">
        <f>H259*3</f>
        <v>18600</v>
      </c>
      <c r="I261" s="120">
        <f t="shared" ref="I261:K261" si="109">I259*3</f>
        <v>43500</v>
      </c>
      <c r="J261" s="120">
        <f t="shared" si="109"/>
        <v>70500</v>
      </c>
      <c r="K261" s="121">
        <f t="shared" si="109"/>
        <v>109500</v>
      </c>
      <c r="L261" s="2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 spans="1:26" ht="19" x14ac:dyDescent="0.25">
      <c r="A262" s="88"/>
      <c r="B262" s="140" t="s">
        <v>272</v>
      </c>
      <c r="C262" s="123"/>
      <c r="D262" s="158" t="s">
        <v>114</v>
      </c>
      <c r="E262" s="158" t="s">
        <v>114</v>
      </c>
      <c r="F262" s="158" t="s">
        <v>114</v>
      </c>
      <c r="G262" s="158" t="s">
        <v>114</v>
      </c>
      <c r="H262" s="125">
        <f>H261*0.65</f>
        <v>12090</v>
      </c>
      <c r="I262" s="125">
        <f t="shared" ref="I262:K262" si="110">I261*0.65</f>
        <v>28275</v>
      </c>
      <c r="J262" s="125">
        <f t="shared" si="110"/>
        <v>45825</v>
      </c>
      <c r="K262" s="126">
        <f t="shared" si="110"/>
        <v>71175</v>
      </c>
      <c r="L262" s="2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 spans="1:26" ht="19" x14ac:dyDescent="0.25">
      <c r="A263" s="88"/>
      <c r="B263" s="157" t="s">
        <v>193</v>
      </c>
      <c r="C263" s="99" t="s">
        <v>180</v>
      </c>
      <c r="D263" s="159" t="s">
        <v>114</v>
      </c>
      <c r="E263" s="159" t="s">
        <v>114</v>
      </c>
      <c r="F263" s="159" t="s">
        <v>114</v>
      </c>
      <c r="G263" s="159" t="s">
        <v>114</v>
      </c>
      <c r="H263" s="120">
        <f>H259*6</f>
        <v>37200</v>
      </c>
      <c r="I263" s="120">
        <f t="shared" ref="I263:K263" si="111">I259*6</f>
        <v>87000</v>
      </c>
      <c r="J263" s="120">
        <f t="shared" si="111"/>
        <v>141000</v>
      </c>
      <c r="K263" s="121">
        <f t="shared" si="111"/>
        <v>219000</v>
      </c>
      <c r="L263" s="2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 spans="1:26" ht="19" x14ac:dyDescent="0.25">
      <c r="A264" s="88"/>
      <c r="B264" s="140" t="s">
        <v>272</v>
      </c>
      <c r="C264" s="123"/>
      <c r="D264" s="160"/>
      <c r="E264" s="160"/>
      <c r="F264" s="160"/>
      <c r="G264" s="160"/>
      <c r="H264" s="130">
        <f>H263*0.65</f>
        <v>24180</v>
      </c>
      <c r="I264" s="130">
        <f t="shared" ref="I264:K264" si="112">I263*0.65</f>
        <v>56550</v>
      </c>
      <c r="J264" s="130">
        <f t="shared" si="112"/>
        <v>91650</v>
      </c>
      <c r="K264" s="131">
        <f t="shared" si="112"/>
        <v>142350</v>
      </c>
      <c r="L264" s="2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27"/>
    </row>
    <row r="265" spans="1:26" ht="19" x14ac:dyDescent="0.25">
      <c r="A265" s="88"/>
      <c r="B265" s="157" t="s">
        <v>193</v>
      </c>
      <c r="C265" s="134" t="s">
        <v>182</v>
      </c>
      <c r="D265" s="147"/>
      <c r="E265" s="147"/>
      <c r="F265" s="147"/>
      <c r="G265" s="147"/>
      <c r="H265" s="136">
        <f>H259*9</f>
        <v>55800</v>
      </c>
      <c r="I265" s="136">
        <f t="shared" ref="I265:K265" si="113">I259*9</f>
        <v>130500</v>
      </c>
      <c r="J265" s="136">
        <f t="shared" si="113"/>
        <v>211500</v>
      </c>
      <c r="K265" s="137">
        <f t="shared" si="113"/>
        <v>328500</v>
      </c>
      <c r="L265" s="2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 spans="1:26" ht="19" x14ac:dyDescent="0.25">
      <c r="A266" s="88"/>
      <c r="B266" s="140" t="s">
        <v>195</v>
      </c>
      <c r="C266" s="141"/>
      <c r="D266" s="158" t="s">
        <v>114</v>
      </c>
      <c r="E266" s="158" t="s">
        <v>114</v>
      </c>
      <c r="F266" s="158" t="s">
        <v>114</v>
      </c>
      <c r="G266" s="158" t="s">
        <v>114</v>
      </c>
      <c r="H266" s="143">
        <f>H265*0.65</f>
        <v>36270</v>
      </c>
      <c r="I266" s="143">
        <f t="shared" ref="I266:K266" si="114">I265*0.65</f>
        <v>84825</v>
      </c>
      <c r="J266" s="143">
        <f t="shared" si="114"/>
        <v>137475</v>
      </c>
      <c r="K266" s="144">
        <f t="shared" si="114"/>
        <v>213525</v>
      </c>
      <c r="L266" s="2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27"/>
    </row>
    <row r="267" spans="1:26" ht="19" x14ac:dyDescent="0.25">
      <c r="A267" s="88"/>
      <c r="B267" s="157" t="s">
        <v>193</v>
      </c>
      <c r="C267" s="147" t="s">
        <v>184</v>
      </c>
      <c r="D267" s="99" t="s">
        <v>114</v>
      </c>
      <c r="E267" s="99" t="s">
        <v>114</v>
      </c>
      <c r="F267" s="99" t="s">
        <v>114</v>
      </c>
      <c r="G267" s="99" t="s">
        <v>114</v>
      </c>
      <c r="H267" s="149">
        <f>H259*12</f>
        <v>74400</v>
      </c>
      <c r="I267" s="149">
        <f t="shared" ref="I267:K267" si="115">I259*12</f>
        <v>174000</v>
      </c>
      <c r="J267" s="149">
        <f t="shared" si="115"/>
        <v>282000</v>
      </c>
      <c r="K267" s="150">
        <f t="shared" si="115"/>
        <v>438000</v>
      </c>
      <c r="L267" s="2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 spans="1:26" ht="19" x14ac:dyDescent="0.25">
      <c r="A268" s="88"/>
      <c r="B268" s="140" t="s">
        <v>195</v>
      </c>
      <c r="C268" s="123"/>
      <c r="D268" s="158" t="s">
        <v>114</v>
      </c>
      <c r="E268" s="158" t="s">
        <v>114</v>
      </c>
      <c r="F268" s="158" t="s">
        <v>114</v>
      </c>
      <c r="G268" s="158" t="s">
        <v>114</v>
      </c>
      <c r="H268" s="125">
        <f>H267*0.65</f>
        <v>48360</v>
      </c>
      <c r="I268" s="125">
        <f t="shared" ref="I268:K268" si="116">I267*0.65</f>
        <v>113100</v>
      </c>
      <c r="J268" s="125">
        <f t="shared" si="116"/>
        <v>183300</v>
      </c>
      <c r="K268" s="126">
        <f t="shared" si="116"/>
        <v>284700</v>
      </c>
      <c r="L268" s="2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27"/>
    </row>
    <row r="269" spans="1:26" ht="19" hidden="1" x14ac:dyDescent="0.25">
      <c r="A269" s="88"/>
      <c r="B269" s="176" t="s">
        <v>273</v>
      </c>
      <c r="C269" s="356" t="s">
        <v>167</v>
      </c>
      <c r="D269" s="110" t="s">
        <v>120</v>
      </c>
      <c r="E269" s="110" t="s">
        <v>118</v>
      </c>
      <c r="F269" s="111" t="s">
        <v>52</v>
      </c>
      <c r="G269" s="111" t="s">
        <v>53</v>
      </c>
      <c r="H269" s="111" t="s">
        <v>54</v>
      </c>
      <c r="I269" s="111" t="s">
        <v>55</v>
      </c>
      <c r="J269" s="110" t="s">
        <v>56</v>
      </c>
      <c r="K269" s="151" t="s">
        <v>57</v>
      </c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 spans="1:26" ht="19" hidden="1" x14ac:dyDescent="0.25">
      <c r="A270" s="88"/>
      <c r="B270" s="174"/>
      <c r="C270" s="357"/>
      <c r="D270" s="110" t="s">
        <v>88</v>
      </c>
      <c r="E270" s="111" t="s">
        <v>187</v>
      </c>
      <c r="F270" s="111" t="s">
        <v>89</v>
      </c>
      <c r="G270" s="111" t="s">
        <v>188</v>
      </c>
      <c r="H270" s="111" t="s">
        <v>91</v>
      </c>
      <c r="I270" s="110" t="s">
        <v>92</v>
      </c>
      <c r="J270" s="110" t="s">
        <v>93</v>
      </c>
      <c r="K270" s="151" t="s">
        <v>189</v>
      </c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 spans="1:26" ht="19" hidden="1" x14ac:dyDescent="0.25">
      <c r="A271" s="88"/>
      <c r="B271" s="174"/>
      <c r="C271" s="99" t="s">
        <v>176</v>
      </c>
      <c r="D271" s="99"/>
      <c r="E271" s="100"/>
      <c r="F271" s="100"/>
      <c r="G271" s="100"/>
      <c r="H271" s="100"/>
      <c r="I271" s="99"/>
      <c r="J271" s="99"/>
      <c r="K271" s="152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 spans="1:26" ht="19" hidden="1" x14ac:dyDescent="0.25">
      <c r="A272" s="88"/>
      <c r="B272" s="174"/>
      <c r="C272" s="99" t="s">
        <v>178</v>
      </c>
      <c r="D272" s="99"/>
      <c r="E272" s="100"/>
      <c r="F272" s="100"/>
      <c r="G272" s="100"/>
      <c r="H272" s="100"/>
      <c r="I272" s="99"/>
      <c r="J272" s="99"/>
      <c r="K272" s="152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 spans="1:25" ht="19" hidden="1" x14ac:dyDescent="0.25">
      <c r="A273" s="88"/>
      <c r="B273" s="174"/>
      <c r="C273" s="99" t="s">
        <v>180</v>
      </c>
      <c r="D273" s="99"/>
      <c r="E273" s="100"/>
      <c r="F273" s="100"/>
      <c r="G273" s="100"/>
      <c r="H273" s="100"/>
      <c r="I273" s="99"/>
      <c r="J273" s="99"/>
      <c r="K273" s="152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 spans="1:25" ht="19" hidden="1" x14ac:dyDescent="0.25">
      <c r="A274" s="88"/>
      <c r="B274" s="174"/>
      <c r="C274" s="99" t="s">
        <v>184</v>
      </c>
      <c r="D274" s="99"/>
      <c r="E274" s="100"/>
      <c r="F274" s="100"/>
      <c r="G274" s="154"/>
      <c r="H274" s="154"/>
      <c r="I274" s="99"/>
      <c r="J274" s="99"/>
      <c r="K274" s="152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 spans="1:25" ht="19" hidden="1" x14ac:dyDescent="0.25">
      <c r="A275" s="88"/>
      <c r="B275" s="176" t="s">
        <v>268</v>
      </c>
      <c r="C275" s="356" t="s">
        <v>167</v>
      </c>
      <c r="D275" s="110" t="s">
        <v>120</v>
      </c>
      <c r="E275" s="110" t="s">
        <v>118</v>
      </c>
      <c r="F275" s="111" t="s">
        <v>52</v>
      </c>
      <c r="G275" s="111" t="s">
        <v>53</v>
      </c>
      <c r="H275" s="111" t="s">
        <v>54</v>
      </c>
      <c r="I275" s="111" t="s">
        <v>55</v>
      </c>
      <c r="J275" s="110" t="s">
        <v>56</v>
      </c>
      <c r="K275" s="151" t="s">
        <v>57</v>
      </c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 spans="1:25" ht="19" hidden="1" x14ac:dyDescent="0.25">
      <c r="A276" s="88"/>
      <c r="B276" s="174"/>
      <c r="C276" s="357"/>
      <c r="D276" s="110" t="s">
        <v>88</v>
      </c>
      <c r="E276" s="111" t="s">
        <v>187</v>
      </c>
      <c r="F276" s="111" t="s">
        <v>89</v>
      </c>
      <c r="G276" s="111" t="s">
        <v>188</v>
      </c>
      <c r="H276" s="111" t="s">
        <v>91</v>
      </c>
      <c r="I276" s="110" t="s">
        <v>92</v>
      </c>
      <c r="J276" s="110" t="s">
        <v>93</v>
      </c>
      <c r="K276" s="151" t="s">
        <v>189</v>
      </c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 spans="1:25" ht="19" hidden="1" x14ac:dyDescent="0.25">
      <c r="A277" s="88"/>
      <c r="B277" s="174"/>
      <c r="C277" s="99" t="s">
        <v>176</v>
      </c>
      <c r="D277" s="99"/>
      <c r="E277" s="100"/>
      <c r="F277" s="100"/>
      <c r="G277" s="100"/>
      <c r="H277" s="100"/>
      <c r="I277" s="99"/>
      <c r="J277" s="99"/>
      <c r="K277" s="152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 spans="1:25" ht="19" hidden="1" x14ac:dyDescent="0.25">
      <c r="A278" s="88"/>
      <c r="B278" s="174"/>
      <c r="C278" s="99" t="s">
        <v>178</v>
      </c>
      <c r="D278" s="99"/>
      <c r="E278" s="100"/>
      <c r="F278" s="100"/>
      <c r="G278" s="100"/>
      <c r="H278" s="100"/>
      <c r="I278" s="99"/>
      <c r="J278" s="99"/>
      <c r="K278" s="152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 spans="1:25" ht="19" hidden="1" x14ac:dyDescent="0.25">
      <c r="A279" s="88"/>
      <c r="B279" s="174"/>
      <c r="C279" s="99" t="s">
        <v>180</v>
      </c>
      <c r="D279" s="99"/>
      <c r="E279" s="100"/>
      <c r="F279" s="100"/>
      <c r="G279" s="100"/>
      <c r="H279" s="100"/>
      <c r="I279" s="99"/>
      <c r="J279" s="99"/>
      <c r="K279" s="152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 spans="1:25" ht="19" hidden="1" x14ac:dyDescent="0.25">
      <c r="A280" s="88"/>
      <c r="B280" s="174"/>
      <c r="C280" s="99" t="s">
        <v>184</v>
      </c>
      <c r="D280" s="99"/>
      <c r="E280" s="100"/>
      <c r="F280" s="100"/>
      <c r="G280" s="154"/>
      <c r="H280" s="154"/>
      <c r="I280" s="99"/>
      <c r="J280" s="99"/>
      <c r="K280" s="152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 spans="1:25" ht="19" hidden="1" x14ac:dyDescent="0.25">
      <c r="A281" s="88"/>
      <c r="B281" s="176" t="s">
        <v>274</v>
      </c>
      <c r="C281" s="356" t="s">
        <v>167</v>
      </c>
      <c r="D281" s="110" t="s">
        <v>120</v>
      </c>
      <c r="E281" s="110" t="s">
        <v>118</v>
      </c>
      <c r="F281" s="111" t="s">
        <v>52</v>
      </c>
      <c r="G281" s="111" t="s">
        <v>53</v>
      </c>
      <c r="H281" s="111" t="s">
        <v>54</v>
      </c>
      <c r="I281" s="111" t="s">
        <v>55</v>
      </c>
      <c r="J281" s="110" t="s">
        <v>56</v>
      </c>
      <c r="K281" s="151" t="s">
        <v>57</v>
      </c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 spans="1:25" ht="19" hidden="1" x14ac:dyDescent="0.25">
      <c r="A282" s="88"/>
      <c r="B282" s="174"/>
      <c r="C282" s="357"/>
      <c r="D282" s="110" t="s">
        <v>88</v>
      </c>
      <c r="E282" s="111" t="s">
        <v>187</v>
      </c>
      <c r="F282" s="111" t="s">
        <v>89</v>
      </c>
      <c r="G282" s="111" t="s">
        <v>188</v>
      </c>
      <c r="H282" s="111" t="s">
        <v>91</v>
      </c>
      <c r="I282" s="110" t="s">
        <v>92</v>
      </c>
      <c r="J282" s="110" t="s">
        <v>93</v>
      </c>
      <c r="K282" s="151" t="s">
        <v>189</v>
      </c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 spans="1:25" ht="19" hidden="1" x14ac:dyDescent="0.25">
      <c r="A283" s="88"/>
      <c r="B283" s="174"/>
      <c r="C283" s="99" t="s">
        <v>176</v>
      </c>
      <c r="D283" s="99"/>
      <c r="E283" s="100"/>
      <c r="F283" s="100"/>
      <c r="G283" s="100"/>
      <c r="H283" s="100"/>
      <c r="I283" s="99"/>
      <c r="J283" s="99"/>
      <c r="K283" s="152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 spans="1:25" ht="19" hidden="1" x14ac:dyDescent="0.25">
      <c r="A284" s="88"/>
      <c r="B284" s="174"/>
      <c r="C284" s="99" t="s">
        <v>178</v>
      </c>
      <c r="D284" s="99"/>
      <c r="E284" s="100"/>
      <c r="F284" s="100"/>
      <c r="G284" s="100"/>
      <c r="H284" s="100"/>
      <c r="I284" s="99"/>
      <c r="J284" s="99"/>
      <c r="K284" s="152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 spans="1:25" ht="19" hidden="1" x14ac:dyDescent="0.25">
      <c r="A285" s="88"/>
      <c r="B285" s="174"/>
      <c r="C285" s="99" t="s">
        <v>180</v>
      </c>
      <c r="D285" s="99"/>
      <c r="E285" s="100"/>
      <c r="F285" s="100"/>
      <c r="G285" s="100"/>
      <c r="H285" s="100"/>
      <c r="I285" s="99"/>
      <c r="J285" s="99"/>
      <c r="K285" s="152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 spans="1:25" ht="19" hidden="1" x14ac:dyDescent="0.25">
      <c r="A286" s="88"/>
      <c r="B286" s="174"/>
      <c r="C286" s="159" t="s">
        <v>184</v>
      </c>
      <c r="D286" s="99"/>
      <c r="E286" s="100"/>
      <c r="F286" s="100"/>
      <c r="G286" s="154"/>
      <c r="H286" s="154"/>
      <c r="I286" s="99"/>
      <c r="J286" s="99"/>
      <c r="K286" s="152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 spans="1:25" ht="19" x14ac:dyDescent="0.25">
      <c r="A287" s="88"/>
      <c r="B287" s="108" t="s">
        <v>275</v>
      </c>
      <c r="C287" s="356" t="s">
        <v>167</v>
      </c>
      <c r="D287" s="110" t="s">
        <v>120</v>
      </c>
      <c r="E287" s="110" t="s">
        <v>118</v>
      </c>
      <c r="F287" s="111" t="s">
        <v>52</v>
      </c>
      <c r="G287" s="111" t="s">
        <v>53</v>
      </c>
      <c r="H287" s="111" t="s">
        <v>54</v>
      </c>
      <c r="I287" s="111" t="s">
        <v>55</v>
      </c>
      <c r="J287" s="110" t="s">
        <v>56</v>
      </c>
      <c r="K287" s="151" t="s">
        <v>57</v>
      </c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 spans="1:25" ht="19" x14ac:dyDescent="0.25">
      <c r="A288" s="88"/>
      <c r="B288" s="161"/>
      <c r="C288" s="357"/>
      <c r="D288" s="110" t="s">
        <v>88</v>
      </c>
      <c r="E288" s="111" t="s">
        <v>119</v>
      </c>
      <c r="F288" s="111" t="s">
        <v>276</v>
      </c>
      <c r="G288" s="111" t="s">
        <v>201</v>
      </c>
      <c r="H288" s="111" t="s">
        <v>91</v>
      </c>
      <c r="I288" s="110" t="s">
        <v>92</v>
      </c>
      <c r="J288" s="110" t="s">
        <v>93</v>
      </c>
      <c r="K288" s="151" t="s">
        <v>189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 spans="1:26" ht="19" x14ac:dyDescent="0.25">
      <c r="A289" s="88"/>
      <c r="B289" s="161"/>
      <c r="C289" s="99" t="s">
        <v>176</v>
      </c>
      <c r="D289" s="99">
        <v>801.21</v>
      </c>
      <c r="E289" s="115">
        <v>1800</v>
      </c>
      <c r="F289" s="114">
        <v>2200</v>
      </c>
      <c r="G289" s="114">
        <v>3400</v>
      </c>
      <c r="H289" s="114">
        <v>6500</v>
      </c>
      <c r="I289" s="115">
        <v>18000</v>
      </c>
      <c r="J289" s="115">
        <v>29700</v>
      </c>
      <c r="K289" s="155">
        <v>57100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 spans="1:26" ht="19" x14ac:dyDescent="0.25">
      <c r="A290" s="88"/>
      <c r="B290" s="161"/>
      <c r="C290" s="99" t="s">
        <v>177</v>
      </c>
      <c r="D290" s="113"/>
      <c r="E290" s="116"/>
      <c r="F290" s="116"/>
      <c r="G290" s="116"/>
      <c r="H290" s="117">
        <f>H289*0.9</f>
        <v>5850</v>
      </c>
      <c r="I290" s="117">
        <f t="shared" ref="I290:K290" si="117">I289*0.9</f>
        <v>16200</v>
      </c>
      <c r="J290" s="117">
        <f t="shared" si="117"/>
        <v>26730</v>
      </c>
      <c r="K290" s="156">
        <f t="shared" si="117"/>
        <v>51390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 spans="1:26" ht="19" x14ac:dyDescent="0.25">
      <c r="A291" s="88"/>
      <c r="B291" s="119"/>
      <c r="C291" s="99" t="s">
        <v>178</v>
      </c>
      <c r="D291" s="113">
        <f t="shared" ref="D291:F291" si="118">D289*3</f>
        <v>2403.63</v>
      </c>
      <c r="E291" s="120">
        <f t="shared" si="118"/>
        <v>5400</v>
      </c>
      <c r="F291" s="120">
        <f t="shared" si="118"/>
        <v>6600</v>
      </c>
      <c r="G291" s="120">
        <f>G289*3</f>
        <v>10200</v>
      </c>
      <c r="H291" s="120">
        <f>H289*3</f>
        <v>19500</v>
      </c>
      <c r="I291" s="120">
        <f t="shared" ref="I291:K291" si="119">I289*3</f>
        <v>54000</v>
      </c>
      <c r="J291" s="120">
        <f t="shared" si="119"/>
        <v>89100</v>
      </c>
      <c r="K291" s="121">
        <f t="shared" si="119"/>
        <v>171300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 spans="1:26" ht="19" x14ac:dyDescent="0.25">
      <c r="A292" s="88"/>
      <c r="B292" s="122" t="s">
        <v>179</v>
      </c>
      <c r="C292" s="123"/>
      <c r="D292" s="124"/>
      <c r="E292" s="125">
        <f>E291*0.85</f>
        <v>4590</v>
      </c>
      <c r="F292" s="125">
        <f>F291*0.85</f>
        <v>5610</v>
      </c>
      <c r="G292" s="125">
        <f>G291*0.85</f>
        <v>8670</v>
      </c>
      <c r="H292" s="125">
        <f>H291*0.75</f>
        <v>14625</v>
      </c>
      <c r="I292" s="125">
        <f>I291*0.75</f>
        <v>40500</v>
      </c>
      <c r="J292" s="125">
        <f>J291*0.75</f>
        <v>66825</v>
      </c>
      <c r="K292" s="126">
        <f>K291*0.75</f>
        <v>128475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 spans="1:26" ht="19" x14ac:dyDescent="0.25">
      <c r="A293" s="88"/>
      <c r="B293" s="119"/>
      <c r="C293" s="99" t="s">
        <v>180</v>
      </c>
      <c r="D293" s="113">
        <f t="shared" ref="D293:G293" si="120">D289*6</f>
        <v>4807.26</v>
      </c>
      <c r="E293" s="120">
        <f t="shared" si="120"/>
        <v>10800</v>
      </c>
      <c r="F293" s="120">
        <f t="shared" si="120"/>
        <v>13200</v>
      </c>
      <c r="G293" s="120">
        <f t="shared" si="120"/>
        <v>20400</v>
      </c>
      <c r="H293" s="120">
        <f>H289*6</f>
        <v>39000</v>
      </c>
      <c r="I293" s="120">
        <f t="shared" ref="I293:K293" si="121">I289*6</f>
        <v>108000</v>
      </c>
      <c r="J293" s="120">
        <f t="shared" si="121"/>
        <v>178200</v>
      </c>
      <c r="K293" s="121">
        <f t="shared" si="121"/>
        <v>342600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 spans="1:26" ht="19" x14ac:dyDescent="0.25">
      <c r="A294" s="88"/>
      <c r="B294" s="122" t="s">
        <v>181</v>
      </c>
      <c r="C294" s="123"/>
      <c r="D294" s="129"/>
      <c r="E294" s="130">
        <f>E293*0.8</f>
        <v>8640</v>
      </c>
      <c r="F294" s="130">
        <f>F293*0.8</f>
        <v>10560</v>
      </c>
      <c r="G294" s="130">
        <f>G293*0.8</f>
        <v>16320</v>
      </c>
      <c r="H294" s="130">
        <f>H293*0.7</f>
        <v>27300</v>
      </c>
      <c r="I294" s="130">
        <f>I293*0.7</f>
        <v>75600</v>
      </c>
      <c r="J294" s="130">
        <f>J293*0.7</f>
        <v>124739.99999999999</v>
      </c>
      <c r="K294" s="131">
        <f>K293*0.7</f>
        <v>239819.99999999997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 spans="1:26" ht="18" x14ac:dyDescent="0.25">
      <c r="A295" s="88"/>
      <c r="B295" s="133"/>
      <c r="C295" s="134" t="s">
        <v>182</v>
      </c>
      <c r="D295" s="135">
        <f t="shared" ref="D295:G295" si="122">D289*9</f>
        <v>7210.89</v>
      </c>
      <c r="E295" s="136">
        <f t="shared" si="122"/>
        <v>16200</v>
      </c>
      <c r="F295" s="136">
        <f t="shared" si="122"/>
        <v>19800</v>
      </c>
      <c r="G295" s="136">
        <f t="shared" si="122"/>
        <v>30600</v>
      </c>
      <c r="H295" s="136">
        <f>H289*9</f>
        <v>58500</v>
      </c>
      <c r="I295" s="136">
        <f t="shared" ref="I295:K295" si="123">I289*9</f>
        <v>162000</v>
      </c>
      <c r="J295" s="136">
        <f t="shared" si="123"/>
        <v>267300</v>
      </c>
      <c r="K295" s="137">
        <f t="shared" si="123"/>
        <v>513900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27"/>
    </row>
    <row r="296" spans="1:26" ht="19" x14ac:dyDescent="0.25">
      <c r="A296" s="88"/>
      <c r="B296" s="140" t="s">
        <v>183</v>
      </c>
      <c r="C296" s="141"/>
      <c r="D296" s="142"/>
      <c r="E296" s="143">
        <f>E295*0.75</f>
        <v>12150</v>
      </c>
      <c r="F296" s="143">
        <f>F295*0.75</f>
        <v>14850</v>
      </c>
      <c r="G296" s="143">
        <f>G295*0.75</f>
        <v>22950</v>
      </c>
      <c r="H296" s="143">
        <f>H295*0.65</f>
        <v>38025</v>
      </c>
      <c r="I296" s="143">
        <f>I295*0.65</f>
        <v>105300</v>
      </c>
      <c r="J296" s="143">
        <f>J295*0.65</f>
        <v>173745</v>
      </c>
      <c r="K296" s="144">
        <f>K295*0.65</f>
        <v>334035</v>
      </c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 spans="1:26" ht="19" x14ac:dyDescent="0.25">
      <c r="A297" s="88"/>
      <c r="B297" s="146"/>
      <c r="C297" s="147" t="s">
        <v>184</v>
      </c>
      <c r="D297" s="148">
        <f t="shared" ref="D297:G297" si="124">D289*12</f>
        <v>9614.52</v>
      </c>
      <c r="E297" s="149">
        <f t="shared" si="124"/>
        <v>21600</v>
      </c>
      <c r="F297" s="149">
        <f t="shared" si="124"/>
        <v>26400</v>
      </c>
      <c r="G297" s="149">
        <f t="shared" si="124"/>
        <v>40800</v>
      </c>
      <c r="H297" s="149">
        <f>H289*12</f>
        <v>78000</v>
      </c>
      <c r="I297" s="149">
        <f t="shared" ref="I297:K297" si="125">I289*12</f>
        <v>216000</v>
      </c>
      <c r="J297" s="149">
        <f t="shared" si="125"/>
        <v>356400</v>
      </c>
      <c r="K297" s="150">
        <f t="shared" si="125"/>
        <v>685200</v>
      </c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27"/>
    </row>
    <row r="298" spans="1:26" ht="19" x14ac:dyDescent="0.25">
      <c r="A298" s="88"/>
      <c r="B298" s="140" t="s">
        <v>185</v>
      </c>
      <c r="C298" s="123"/>
      <c r="D298" s="124"/>
      <c r="E298" s="125">
        <f t="shared" ref="E298" si="126">E297*0.7</f>
        <v>15119.999999999998</v>
      </c>
      <c r="F298" s="125">
        <f>F297*0.7</f>
        <v>18480</v>
      </c>
      <c r="G298" s="125">
        <f t="shared" ref="G298" si="127">G297*0.7</f>
        <v>28560</v>
      </c>
      <c r="H298" s="125">
        <f>H297*0.6</f>
        <v>46800</v>
      </c>
      <c r="I298" s="125">
        <f>I297*0.6</f>
        <v>129600</v>
      </c>
      <c r="J298" s="125">
        <f>J297*0.6</f>
        <v>213840</v>
      </c>
      <c r="K298" s="126">
        <f>K297*0.6</f>
        <v>411120</v>
      </c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 spans="1:26" ht="19" hidden="1" x14ac:dyDescent="0.25">
      <c r="A299" s="88"/>
      <c r="B299" s="176" t="s">
        <v>268</v>
      </c>
      <c r="C299" s="356" t="s">
        <v>167</v>
      </c>
      <c r="D299" s="110" t="s">
        <v>120</v>
      </c>
      <c r="E299" s="110" t="s">
        <v>118</v>
      </c>
      <c r="F299" s="111" t="s">
        <v>52</v>
      </c>
      <c r="G299" s="111" t="s">
        <v>53</v>
      </c>
      <c r="H299" s="111" t="s">
        <v>54</v>
      </c>
      <c r="I299" s="111" t="s">
        <v>55</v>
      </c>
      <c r="J299" s="110" t="s">
        <v>56</v>
      </c>
      <c r="K299" s="151" t="s">
        <v>57</v>
      </c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 spans="1:26" ht="19" hidden="1" x14ac:dyDescent="0.25">
      <c r="A300" s="88"/>
      <c r="B300" s="161"/>
      <c r="C300" s="357"/>
      <c r="D300" s="110" t="s">
        <v>88</v>
      </c>
      <c r="E300" s="111" t="s">
        <v>187</v>
      </c>
      <c r="F300" s="111" t="s">
        <v>89</v>
      </c>
      <c r="G300" s="111" t="s">
        <v>188</v>
      </c>
      <c r="H300" s="111" t="s">
        <v>91</v>
      </c>
      <c r="I300" s="110" t="s">
        <v>92</v>
      </c>
      <c r="J300" s="110" t="s">
        <v>93</v>
      </c>
      <c r="K300" s="151" t="s">
        <v>189</v>
      </c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 spans="1:26" ht="19" hidden="1" x14ac:dyDescent="0.25">
      <c r="A301" s="88"/>
      <c r="B301" s="161"/>
      <c r="C301" s="99" t="s">
        <v>176</v>
      </c>
      <c r="D301" s="99"/>
      <c r="E301" s="100"/>
      <c r="F301" s="100"/>
      <c r="G301" s="100"/>
      <c r="H301" s="100"/>
      <c r="I301" s="99"/>
      <c r="J301" s="99"/>
      <c r="K301" s="152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 spans="1:26" ht="19" hidden="1" x14ac:dyDescent="0.25">
      <c r="A302" s="88"/>
      <c r="B302" s="161"/>
      <c r="C302" s="99" t="s">
        <v>178</v>
      </c>
      <c r="D302" s="99"/>
      <c r="E302" s="100"/>
      <c r="F302" s="100"/>
      <c r="G302" s="100"/>
      <c r="H302" s="100"/>
      <c r="I302" s="99"/>
      <c r="J302" s="99"/>
      <c r="K302" s="152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 spans="1:26" ht="19" hidden="1" x14ac:dyDescent="0.25">
      <c r="A303" s="88"/>
      <c r="B303" s="161"/>
      <c r="C303" s="99" t="s">
        <v>180</v>
      </c>
      <c r="D303" s="99"/>
      <c r="E303" s="100"/>
      <c r="F303" s="100"/>
      <c r="G303" s="100"/>
      <c r="H303" s="100"/>
      <c r="I303" s="99"/>
      <c r="J303" s="99"/>
      <c r="K303" s="152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 spans="1:26" ht="19" hidden="1" x14ac:dyDescent="0.25">
      <c r="A304" s="88"/>
      <c r="B304" s="161"/>
      <c r="C304" s="99" t="s">
        <v>184</v>
      </c>
      <c r="D304" s="99"/>
      <c r="E304" s="100"/>
      <c r="F304" s="100"/>
      <c r="G304" s="154"/>
      <c r="H304" s="154"/>
      <c r="I304" s="99"/>
      <c r="J304" s="99"/>
      <c r="K304" s="152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 spans="1:26" ht="19" hidden="1" x14ac:dyDescent="0.25">
      <c r="A305" s="88"/>
      <c r="B305" s="172" t="s">
        <v>277</v>
      </c>
      <c r="C305" s="356" t="s">
        <v>167</v>
      </c>
      <c r="D305" s="110" t="s">
        <v>120</v>
      </c>
      <c r="E305" s="110" t="s">
        <v>118</v>
      </c>
      <c r="F305" s="111" t="s">
        <v>52</v>
      </c>
      <c r="G305" s="111" t="s">
        <v>53</v>
      </c>
      <c r="H305" s="111" t="s">
        <v>54</v>
      </c>
      <c r="I305" s="111" t="s">
        <v>55</v>
      </c>
      <c r="J305" s="110" t="s">
        <v>56</v>
      </c>
      <c r="K305" s="151" t="s">
        <v>57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 spans="1:26" ht="19" hidden="1" x14ac:dyDescent="0.25">
      <c r="A306" s="88"/>
      <c r="B306" s="161"/>
      <c r="C306" s="357"/>
      <c r="D306" s="110" t="s">
        <v>88</v>
      </c>
      <c r="E306" s="111" t="s">
        <v>187</v>
      </c>
      <c r="F306" s="111" t="s">
        <v>89</v>
      </c>
      <c r="G306" s="111" t="s">
        <v>188</v>
      </c>
      <c r="H306" s="111" t="s">
        <v>91</v>
      </c>
      <c r="I306" s="110" t="s">
        <v>92</v>
      </c>
      <c r="J306" s="110" t="s">
        <v>93</v>
      </c>
      <c r="K306" s="151" t="s">
        <v>189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 spans="1:26" ht="19" hidden="1" x14ac:dyDescent="0.25">
      <c r="A307" s="88"/>
      <c r="B307" s="161"/>
      <c r="C307" s="99" t="s">
        <v>176</v>
      </c>
      <c r="D307" s="99"/>
      <c r="E307" s="100"/>
      <c r="F307" s="100"/>
      <c r="G307" s="100"/>
      <c r="H307" s="100"/>
      <c r="I307" s="99"/>
      <c r="J307" s="99"/>
      <c r="K307" s="152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 spans="1:26" ht="19" hidden="1" x14ac:dyDescent="0.25">
      <c r="A308" s="88"/>
      <c r="B308" s="161"/>
      <c r="C308" s="99" t="s">
        <v>178</v>
      </c>
      <c r="D308" s="99"/>
      <c r="E308" s="100"/>
      <c r="F308" s="100"/>
      <c r="G308" s="100"/>
      <c r="H308" s="100"/>
      <c r="I308" s="99"/>
      <c r="J308" s="99"/>
      <c r="K308" s="152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 spans="1:26" ht="19" hidden="1" x14ac:dyDescent="0.25">
      <c r="A309" s="88"/>
      <c r="B309" s="161"/>
      <c r="C309" s="99" t="s">
        <v>180</v>
      </c>
      <c r="D309" s="99"/>
      <c r="E309" s="100"/>
      <c r="F309" s="100"/>
      <c r="G309" s="100"/>
      <c r="H309" s="100"/>
      <c r="I309" s="99"/>
      <c r="J309" s="99"/>
      <c r="K309" s="152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 spans="1:26" ht="19" hidden="1" x14ac:dyDescent="0.25">
      <c r="A310" s="88"/>
      <c r="B310" s="161"/>
      <c r="C310" s="99" t="s">
        <v>184</v>
      </c>
      <c r="D310" s="99"/>
      <c r="E310" s="100"/>
      <c r="F310" s="100"/>
      <c r="G310" s="154"/>
      <c r="H310" s="154"/>
      <c r="I310" s="99"/>
      <c r="J310" s="99"/>
      <c r="K310" s="152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 spans="1:26" ht="19" x14ac:dyDescent="0.25">
      <c r="A311" s="88"/>
      <c r="B311" s="108" t="s">
        <v>278</v>
      </c>
      <c r="C311" s="356" t="s">
        <v>167</v>
      </c>
      <c r="D311" s="110" t="s">
        <v>120</v>
      </c>
      <c r="E311" s="110" t="s">
        <v>118</v>
      </c>
      <c r="F311" s="111" t="s">
        <v>52</v>
      </c>
      <c r="G311" s="111" t="s">
        <v>53</v>
      </c>
      <c r="H311" s="111" t="s">
        <v>54</v>
      </c>
      <c r="I311" s="111" t="s">
        <v>55</v>
      </c>
      <c r="J311" s="110" t="s">
        <v>56</v>
      </c>
      <c r="K311" s="151" t="s">
        <v>57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 spans="1:26" ht="19" x14ac:dyDescent="0.25">
      <c r="A312" s="88"/>
      <c r="B312" s="161"/>
      <c r="C312" s="357"/>
      <c r="D312" s="110" t="s">
        <v>88</v>
      </c>
      <c r="E312" s="111" t="s">
        <v>187</v>
      </c>
      <c r="F312" s="111" t="s">
        <v>89</v>
      </c>
      <c r="G312" s="111" t="s">
        <v>188</v>
      </c>
      <c r="H312" s="111" t="s">
        <v>91</v>
      </c>
      <c r="I312" s="110" t="s">
        <v>92</v>
      </c>
      <c r="J312" s="110" t="s">
        <v>93</v>
      </c>
      <c r="K312" s="151" t="s">
        <v>189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 spans="1:26" ht="19" x14ac:dyDescent="0.25">
      <c r="A313" s="88"/>
      <c r="B313" s="161"/>
      <c r="C313" s="99" t="s">
        <v>176</v>
      </c>
      <c r="D313" s="99" t="s">
        <v>114</v>
      </c>
      <c r="E313" s="99" t="s">
        <v>114</v>
      </c>
      <c r="F313" s="99" t="s">
        <v>114</v>
      </c>
      <c r="G313" s="99" t="s">
        <v>114</v>
      </c>
      <c r="H313" s="114">
        <v>6500</v>
      </c>
      <c r="I313" s="115">
        <v>18000</v>
      </c>
      <c r="J313" s="115">
        <v>29700</v>
      </c>
      <c r="K313" s="155">
        <v>57100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 spans="1:26" ht="19" x14ac:dyDescent="0.25">
      <c r="A314" s="88"/>
      <c r="B314" s="161"/>
      <c r="C314" s="99" t="s">
        <v>177</v>
      </c>
      <c r="D314" s="113"/>
      <c r="E314" s="116"/>
      <c r="F314" s="116"/>
      <c r="G314" s="116"/>
      <c r="H314" s="117">
        <f>H313*0.9</f>
        <v>5850</v>
      </c>
      <c r="I314" s="117">
        <f t="shared" ref="I314:K314" si="128">I313*0.9</f>
        <v>16200</v>
      </c>
      <c r="J314" s="117">
        <f t="shared" si="128"/>
        <v>26730</v>
      </c>
      <c r="K314" s="156">
        <f t="shared" si="128"/>
        <v>51390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 spans="1:26" ht="19" x14ac:dyDescent="0.25">
      <c r="A315" s="88"/>
      <c r="B315" s="161"/>
      <c r="C315" s="99" t="s">
        <v>178</v>
      </c>
      <c r="D315" s="99" t="s">
        <v>114</v>
      </c>
      <c r="E315" s="99" t="s">
        <v>114</v>
      </c>
      <c r="F315" s="99" t="s">
        <v>114</v>
      </c>
      <c r="G315" s="99" t="s">
        <v>114</v>
      </c>
      <c r="H315" s="120">
        <f>H313*3</f>
        <v>19500</v>
      </c>
      <c r="I315" s="120">
        <f t="shared" ref="I315:K315" si="129">I313*3</f>
        <v>54000</v>
      </c>
      <c r="J315" s="120">
        <f t="shared" si="129"/>
        <v>89100</v>
      </c>
      <c r="K315" s="121">
        <f t="shared" si="129"/>
        <v>171300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 spans="1:26" ht="19" x14ac:dyDescent="0.25">
      <c r="A316" s="88"/>
      <c r="B316" s="140" t="s">
        <v>192</v>
      </c>
      <c r="C316" s="123"/>
      <c r="D316" s="158" t="s">
        <v>114</v>
      </c>
      <c r="E316" s="158" t="s">
        <v>114</v>
      </c>
      <c r="F316" s="158" t="s">
        <v>114</v>
      </c>
      <c r="G316" s="158" t="s">
        <v>114</v>
      </c>
      <c r="H316" s="125">
        <f>H315*0.75</f>
        <v>14625</v>
      </c>
      <c r="I316" s="125">
        <f t="shared" ref="I316:K316" si="130">I315*0.75</f>
        <v>40500</v>
      </c>
      <c r="J316" s="125">
        <f t="shared" si="130"/>
        <v>66825</v>
      </c>
      <c r="K316" s="126">
        <f t="shared" si="130"/>
        <v>128475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 spans="1:26" ht="19" x14ac:dyDescent="0.25">
      <c r="A317" s="88"/>
      <c r="B317" s="162" t="s">
        <v>193</v>
      </c>
      <c r="C317" s="99" t="s">
        <v>180</v>
      </c>
      <c r="D317" s="159" t="s">
        <v>114</v>
      </c>
      <c r="E317" s="159" t="s">
        <v>114</v>
      </c>
      <c r="F317" s="159" t="s">
        <v>114</v>
      </c>
      <c r="G317" s="159" t="s">
        <v>114</v>
      </c>
      <c r="H317" s="120">
        <f>H313*6</f>
        <v>39000</v>
      </c>
      <c r="I317" s="120">
        <f t="shared" ref="I317:K317" si="131">I313*6</f>
        <v>108000</v>
      </c>
      <c r="J317" s="120">
        <f t="shared" si="131"/>
        <v>178200</v>
      </c>
      <c r="K317" s="121">
        <f t="shared" si="131"/>
        <v>342600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 spans="1:26" ht="19" x14ac:dyDescent="0.25">
      <c r="A318" s="88"/>
      <c r="B318" s="140" t="s">
        <v>194</v>
      </c>
      <c r="C318" s="123"/>
      <c r="D318" s="160"/>
      <c r="E318" s="160"/>
      <c r="F318" s="160"/>
      <c r="G318" s="160"/>
      <c r="H318" s="130">
        <f>H317*0.7</f>
        <v>27300</v>
      </c>
      <c r="I318" s="130">
        <f t="shared" ref="I318:K318" si="132">I317*0.7</f>
        <v>75600</v>
      </c>
      <c r="J318" s="130">
        <f t="shared" si="132"/>
        <v>124739.99999999999</v>
      </c>
      <c r="K318" s="131">
        <f t="shared" si="132"/>
        <v>239819.99999999997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 spans="1:26" ht="19" x14ac:dyDescent="0.25">
      <c r="A319" s="88"/>
      <c r="B319" s="162" t="s">
        <v>193</v>
      </c>
      <c r="C319" s="134" t="s">
        <v>182</v>
      </c>
      <c r="D319" s="147"/>
      <c r="E319" s="147"/>
      <c r="F319" s="147"/>
      <c r="G319" s="147"/>
      <c r="H319" s="136">
        <f>H313*9</f>
        <v>58500</v>
      </c>
      <c r="I319" s="136">
        <f t="shared" ref="I319:K319" si="133">I313*9</f>
        <v>162000</v>
      </c>
      <c r="J319" s="136">
        <f t="shared" si="133"/>
        <v>267300</v>
      </c>
      <c r="K319" s="137">
        <f t="shared" si="133"/>
        <v>513900</v>
      </c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27"/>
    </row>
    <row r="320" spans="1:26" ht="19" x14ac:dyDescent="0.25">
      <c r="A320" s="88"/>
      <c r="B320" s="140" t="s">
        <v>195</v>
      </c>
      <c r="C320" s="141"/>
      <c r="D320" s="158" t="s">
        <v>114</v>
      </c>
      <c r="E320" s="158" t="s">
        <v>114</v>
      </c>
      <c r="F320" s="158" t="s">
        <v>114</v>
      </c>
      <c r="G320" s="158" t="s">
        <v>114</v>
      </c>
      <c r="H320" s="143">
        <f>H319*0.65</f>
        <v>38025</v>
      </c>
      <c r="I320" s="143">
        <f t="shared" ref="I320:K320" si="134">I319*0.65</f>
        <v>105300</v>
      </c>
      <c r="J320" s="143">
        <f t="shared" si="134"/>
        <v>173745</v>
      </c>
      <c r="K320" s="144">
        <f t="shared" si="134"/>
        <v>334035</v>
      </c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 spans="1:26" ht="19" x14ac:dyDescent="0.25">
      <c r="A321" s="88"/>
      <c r="B321" s="162" t="s">
        <v>193</v>
      </c>
      <c r="C321" s="147" t="s">
        <v>184</v>
      </c>
      <c r="D321" s="99" t="s">
        <v>114</v>
      </c>
      <c r="E321" s="99" t="s">
        <v>114</v>
      </c>
      <c r="F321" s="99" t="s">
        <v>114</v>
      </c>
      <c r="G321" s="99" t="s">
        <v>114</v>
      </c>
      <c r="H321" s="149">
        <f>H313*12</f>
        <v>78000</v>
      </c>
      <c r="I321" s="149">
        <f t="shared" ref="I321:K321" si="135">I313*12</f>
        <v>216000</v>
      </c>
      <c r="J321" s="149">
        <f t="shared" si="135"/>
        <v>356400</v>
      </c>
      <c r="K321" s="150">
        <f t="shared" si="135"/>
        <v>685200</v>
      </c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27"/>
    </row>
    <row r="322" spans="1:26" ht="19" x14ac:dyDescent="0.25">
      <c r="A322" s="88"/>
      <c r="B322" s="140" t="s">
        <v>196</v>
      </c>
      <c r="C322" s="123"/>
      <c r="D322" s="158" t="s">
        <v>114</v>
      </c>
      <c r="E322" s="158" t="s">
        <v>114</v>
      </c>
      <c r="F322" s="158" t="s">
        <v>114</v>
      </c>
      <c r="G322" s="158" t="s">
        <v>114</v>
      </c>
      <c r="H322" s="125">
        <f>H321*0.6</f>
        <v>46800</v>
      </c>
      <c r="I322" s="125">
        <f t="shared" ref="I322:K322" si="136">I321*0.6</f>
        <v>129600</v>
      </c>
      <c r="J322" s="125">
        <f t="shared" si="136"/>
        <v>213840</v>
      </c>
      <c r="K322" s="126">
        <f t="shared" si="136"/>
        <v>411120</v>
      </c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 spans="1:26" ht="19" x14ac:dyDescent="0.25">
      <c r="A323" s="88"/>
      <c r="B323" s="108" t="s">
        <v>279</v>
      </c>
      <c r="C323" s="356" t="s">
        <v>167</v>
      </c>
      <c r="D323" s="110" t="s">
        <v>120</v>
      </c>
      <c r="E323" s="110" t="s">
        <v>118</v>
      </c>
      <c r="F323" s="111" t="s">
        <v>52</v>
      </c>
      <c r="G323" s="111" t="s">
        <v>53</v>
      </c>
      <c r="H323" s="111" t="s">
        <v>54</v>
      </c>
      <c r="I323" s="111" t="s">
        <v>55</v>
      </c>
      <c r="J323" s="110" t="s">
        <v>55</v>
      </c>
      <c r="K323" s="151" t="s">
        <v>57</v>
      </c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 spans="1:26" ht="19" x14ac:dyDescent="0.25">
      <c r="A324" s="88"/>
      <c r="B324" s="161"/>
      <c r="C324" s="357"/>
      <c r="D324" s="110" t="s">
        <v>88</v>
      </c>
      <c r="E324" s="205" t="s">
        <v>187</v>
      </c>
      <c r="F324" s="205" t="s">
        <v>89</v>
      </c>
      <c r="G324" s="205" t="s">
        <v>188</v>
      </c>
      <c r="H324" s="205" t="s">
        <v>91</v>
      </c>
      <c r="I324" s="109" t="s">
        <v>280</v>
      </c>
      <c r="J324" s="109" t="s">
        <v>281</v>
      </c>
      <c r="K324" s="151" t="s">
        <v>189</v>
      </c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 spans="1:26" ht="19" x14ac:dyDescent="0.25">
      <c r="A325" s="88"/>
      <c r="B325" s="161"/>
      <c r="C325" s="99" t="s">
        <v>176</v>
      </c>
      <c r="D325" s="152" t="s">
        <v>114</v>
      </c>
      <c r="E325" s="132" t="s">
        <v>114</v>
      </c>
      <c r="F325" s="132" t="s">
        <v>114</v>
      </c>
      <c r="G325" s="206"/>
      <c r="H325" s="206"/>
      <c r="I325" s="207">
        <v>14600</v>
      </c>
      <c r="J325" s="207">
        <v>19100</v>
      </c>
      <c r="K325" s="208" t="s">
        <v>114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 spans="1:26" ht="19" x14ac:dyDescent="0.25">
      <c r="A326" s="88"/>
      <c r="B326" s="161"/>
      <c r="C326" s="99" t="s">
        <v>177</v>
      </c>
      <c r="D326" s="152"/>
      <c r="E326" s="132"/>
      <c r="F326" s="132"/>
      <c r="G326" s="132"/>
      <c r="H326" s="132"/>
      <c r="I326" s="209">
        <f t="shared" ref="I326:J326" si="137">I325*0.9</f>
        <v>13140</v>
      </c>
      <c r="J326" s="209">
        <f t="shared" si="137"/>
        <v>17190</v>
      </c>
      <c r="K326" s="210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 spans="1:26" ht="19" x14ac:dyDescent="0.25">
      <c r="A327" s="88"/>
      <c r="B327" s="161"/>
      <c r="C327" s="99" t="s">
        <v>178</v>
      </c>
      <c r="D327" s="152"/>
      <c r="E327" s="132"/>
      <c r="F327" s="132"/>
      <c r="G327" s="132"/>
      <c r="H327" s="132"/>
      <c r="I327" s="206">
        <f t="shared" ref="I327:J327" si="138">I325*3</f>
        <v>43800</v>
      </c>
      <c r="J327" s="206">
        <f t="shared" si="138"/>
        <v>57300</v>
      </c>
      <c r="K327" s="208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 spans="1:26" ht="19" x14ac:dyDescent="0.25">
      <c r="A328" s="88"/>
      <c r="B328" s="140" t="s">
        <v>192</v>
      </c>
      <c r="C328" s="123"/>
      <c r="D328" s="211"/>
      <c r="E328" s="160"/>
      <c r="F328" s="160"/>
      <c r="G328" s="160"/>
      <c r="H328" s="160"/>
      <c r="I328" s="212">
        <f t="shared" ref="I328:J328" si="139">I327*0.75</f>
        <v>32850</v>
      </c>
      <c r="J328" s="212">
        <f t="shared" si="139"/>
        <v>42975</v>
      </c>
      <c r="K328" s="210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 spans="1:26" ht="19" x14ac:dyDescent="0.25">
      <c r="A329" s="88"/>
      <c r="B329" s="162" t="s">
        <v>193</v>
      </c>
      <c r="C329" s="99" t="s">
        <v>180</v>
      </c>
      <c r="D329" s="152"/>
      <c r="E329" s="132"/>
      <c r="F329" s="132"/>
      <c r="G329" s="132"/>
      <c r="H329" s="132"/>
      <c r="I329" s="206">
        <f t="shared" ref="I329:J329" si="140">I325*6</f>
        <v>87600</v>
      </c>
      <c r="J329" s="206">
        <f t="shared" si="140"/>
        <v>114600</v>
      </c>
      <c r="K329" s="208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 spans="1:26" ht="19" x14ac:dyDescent="0.25">
      <c r="A330" s="88"/>
      <c r="B330" s="140" t="s">
        <v>194</v>
      </c>
      <c r="C330" s="123"/>
      <c r="D330" s="211" t="s">
        <v>114</v>
      </c>
      <c r="E330" s="160" t="s">
        <v>114</v>
      </c>
      <c r="F330" s="213"/>
      <c r="G330" s="213"/>
      <c r="H330" s="213"/>
      <c r="I330" s="143">
        <f t="shared" ref="I330:J330" si="141">I329*0.7</f>
        <v>61319.999999999993</v>
      </c>
      <c r="J330" s="143">
        <f t="shared" si="141"/>
        <v>80220</v>
      </c>
      <c r="K330" s="210" t="s">
        <v>114</v>
      </c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 spans="1:26" ht="19" x14ac:dyDescent="0.25">
      <c r="A331" s="88"/>
      <c r="B331" s="162" t="s">
        <v>193</v>
      </c>
      <c r="C331" s="134" t="s">
        <v>182</v>
      </c>
      <c r="D331" s="152" t="s">
        <v>114</v>
      </c>
      <c r="E331" s="132" t="s">
        <v>114</v>
      </c>
      <c r="F331" s="132" t="s">
        <v>114</v>
      </c>
      <c r="G331" s="132" t="s">
        <v>114</v>
      </c>
      <c r="H331" s="132" t="s">
        <v>114</v>
      </c>
      <c r="I331" s="136">
        <f t="shared" ref="I331:J331" si="142">I325*9</f>
        <v>131400</v>
      </c>
      <c r="J331" s="136">
        <f t="shared" si="142"/>
        <v>171900</v>
      </c>
      <c r="K331" s="208" t="s">
        <v>114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27"/>
    </row>
    <row r="332" spans="1:26" ht="19" x14ac:dyDescent="0.25">
      <c r="A332" s="88"/>
      <c r="B332" s="140" t="s">
        <v>195</v>
      </c>
      <c r="C332" s="141"/>
      <c r="D332" s="211" t="s">
        <v>114</v>
      </c>
      <c r="E332" s="160" t="s">
        <v>114</v>
      </c>
      <c r="F332" s="160" t="s">
        <v>114</v>
      </c>
      <c r="G332" s="160" t="s">
        <v>114</v>
      </c>
      <c r="H332" s="160" t="s">
        <v>114</v>
      </c>
      <c r="I332" s="143">
        <f>I331*0.65</f>
        <v>85410</v>
      </c>
      <c r="J332" s="143">
        <f t="shared" ref="J332" si="143">J331*0.65</f>
        <v>111735</v>
      </c>
      <c r="K332" s="210" t="s">
        <v>114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 spans="1:26" ht="19" x14ac:dyDescent="0.25">
      <c r="A333" s="88"/>
      <c r="B333" s="162" t="s">
        <v>193</v>
      </c>
      <c r="C333" s="147" t="s">
        <v>184</v>
      </c>
      <c r="D333" s="152" t="s">
        <v>114</v>
      </c>
      <c r="E333" s="132" t="s">
        <v>114</v>
      </c>
      <c r="F333" s="132" t="s">
        <v>114</v>
      </c>
      <c r="G333" s="132" t="s">
        <v>114</v>
      </c>
      <c r="H333" s="132" t="s">
        <v>114</v>
      </c>
      <c r="I333" s="206">
        <f t="shared" ref="I333:J333" si="144">I325*12</f>
        <v>175200</v>
      </c>
      <c r="J333" s="206">
        <f t="shared" si="144"/>
        <v>229200</v>
      </c>
      <c r="K333" s="208" t="s">
        <v>114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27"/>
    </row>
    <row r="334" spans="1:26" ht="19" x14ac:dyDescent="0.25">
      <c r="A334" s="88"/>
      <c r="B334" s="140" t="s">
        <v>196</v>
      </c>
      <c r="C334" s="214"/>
      <c r="D334" s="214" t="s">
        <v>114</v>
      </c>
      <c r="E334" s="189" t="s">
        <v>114</v>
      </c>
      <c r="F334" s="189" t="s">
        <v>114</v>
      </c>
      <c r="G334" s="189" t="s">
        <v>114</v>
      </c>
      <c r="H334" s="189" t="s">
        <v>114</v>
      </c>
      <c r="I334" s="215">
        <f t="shared" ref="I334:J334" si="145">I333*0.6</f>
        <v>105120</v>
      </c>
      <c r="J334" s="215">
        <f t="shared" si="145"/>
        <v>137520</v>
      </c>
      <c r="K334" s="211" t="s">
        <v>114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 spans="1:26" ht="19" hidden="1" x14ac:dyDescent="0.25">
      <c r="A335" s="88"/>
      <c r="B335" s="172" t="s">
        <v>282</v>
      </c>
      <c r="C335" s="356" t="s">
        <v>167</v>
      </c>
      <c r="D335" s="110" t="s">
        <v>120</v>
      </c>
      <c r="E335" s="110" t="s">
        <v>118</v>
      </c>
      <c r="F335" s="111" t="s">
        <v>52</v>
      </c>
      <c r="G335" s="111" t="s">
        <v>53</v>
      </c>
      <c r="H335" s="111" t="s">
        <v>54</v>
      </c>
      <c r="I335" s="111" t="s">
        <v>55</v>
      </c>
      <c r="J335" s="110" t="s">
        <v>56</v>
      </c>
      <c r="K335" s="151" t="s">
        <v>57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 spans="1:26" ht="19" hidden="1" x14ac:dyDescent="0.25">
      <c r="A336" s="88"/>
      <c r="B336" s="161"/>
      <c r="C336" s="357"/>
      <c r="D336" s="110" t="s">
        <v>88</v>
      </c>
      <c r="E336" s="111" t="s">
        <v>187</v>
      </c>
      <c r="F336" s="111" t="s">
        <v>89</v>
      </c>
      <c r="G336" s="111" t="s">
        <v>188</v>
      </c>
      <c r="H336" s="111" t="s">
        <v>91</v>
      </c>
      <c r="I336" s="110" t="s">
        <v>92</v>
      </c>
      <c r="J336" s="110" t="s">
        <v>93</v>
      </c>
      <c r="K336" s="151" t="s">
        <v>189</v>
      </c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 spans="1:25" ht="19" hidden="1" x14ac:dyDescent="0.25">
      <c r="A337" s="88"/>
      <c r="B337" s="161"/>
      <c r="C337" s="99" t="s">
        <v>176</v>
      </c>
      <c r="D337" s="99"/>
      <c r="E337" s="100"/>
      <c r="F337" s="100"/>
      <c r="G337" s="100"/>
      <c r="H337" s="100"/>
      <c r="I337" s="99"/>
      <c r="J337" s="99"/>
      <c r="K337" s="152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 spans="1:25" ht="19" hidden="1" x14ac:dyDescent="0.25">
      <c r="A338" s="88"/>
      <c r="B338" s="161"/>
      <c r="C338" s="99" t="s">
        <v>178</v>
      </c>
      <c r="D338" s="99"/>
      <c r="E338" s="100"/>
      <c r="F338" s="100"/>
      <c r="G338" s="100"/>
      <c r="H338" s="100"/>
      <c r="I338" s="99"/>
      <c r="J338" s="99"/>
      <c r="K338" s="152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 spans="1:25" ht="19" hidden="1" x14ac:dyDescent="0.25">
      <c r="A339" s="88"/>
      <c r="B339" s="161"/>
      <c r="C339" s="99" t="s">
        <v>180</v>
      </c>
      <c r="D339" s="99"/>
      <c r="E339" s="100"/>
      <c r="F339" s="100"/>
      <c r="G339" s="100"/>
      <c r="H339" s="100"/>
      <c r="I339" s="99"/>
      <c r="J339" s="99"/>
      <c r="K339" s="152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 spans="1:25" ht="19" hidden="1" x14ac:dyDescent="0.25">
      <c r="A340" s="88"/>
      <c r="B340" s="161"/>
      <c r="C340" s="99" t="s">
        <v>184</v>
      </c>
      <c r="D340" s="99"/>
      <c r="E340" s="100"/>
      <c r="F340" s="100"/>
      <c r="G340" s="154"/>
      <c r="H340" s="154"/>
      <c r="I340" s="99"/>
      <c r="J340" s="99"/>
      <c r="K340" s="152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 spans="1:25" ht="19" hidden="1" x14ac:dyDescent="0.25">
      <c r="A341" s="88"/>
      <c r="B341" s="172" t="s">
        <v>283</v>
      </c>
      <c r="C341" s="356" t="s">
        <v>167</v>
      </c>
      <c r="D341" s="110" t="s">
        <v>120</v>
      </c>
      <c r="E341" s="110" t="s">
        <v>118</v>
      </c>
      <c r="F341" s="111" t="s">
        <v>52</v>
      </c>
      <c r="G341" s="111" t="s">
        <v>53</v>
      </c>
      <c r="H341" s="111" t="s">
        <v>54</v>
      </c>
      <c r="I341" s="111" t="s">
        <v>55</v>
      </c>
      <c r="J341" s="110" t="s">
        <v>56</v>
      </c>
      <c r="K341" s="151" t="s">
        <v>57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 spans="1:25" ht="19" hidden="1" x14ac:dyDescent="0.25">
      <c r="A342" s="88"/>
      <c r="B342" s="161"/>
      <c r="C342" s="357"/>
      <c r="D342" s="110" t="s">
        <v>88</v>
      </c>
      <c r="E342" s="111" t="s">
        <v>187</v>
      </c>
      <c r="F342" s="111" t="s">
        <v>89</v>
      </c>
      <c r="G342" s="111" t="s">
        <v>188</v>
      </c>
      <c r="H342" s="111" t="s">
        <v>91</v>
      </c>
      <c r="I342" s="110" t="s">
        <v>92</v>
      </c>
      <c r="J342" s="110" t="s">
        <v>93</v>
      </c>
      <c r="K342" s="151" t="s">
        <v>189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 spans="1:25" ht="19" hidden="1" x14ac:dyDescent="0.25">
      <c r="A343" s="88"/>
      <c r="B343" s="161"/>
      <c r="C343" s="99" t="s">
        <v>176</v>
      </c>
      <c r="D343" s="99"/>
      <c r="E343" s="100"/>
      <c r="F343" s="100"/>
      <c r="G343" s="100"/>
      <c r="H343" s="100"/>
      <c r="I343" s="99"/>
      <c r="J343" s="99"/>
      <c r="K343" s="152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 spans="1:25" ht="19" hidden="1" x14ac:dyDescent="0.25">
      <c r="A344" s="88"/>
      <c r="B344" s="161"/>
      <c r="C344" s="99" t="s">
        <v>178</v>
      </c>
      <c r="D344" s="99"/>
      <c r="E344" s="100"/>
      <c r="F344" s="100"/>
      <c r="G344" s="100"/>
      <c r="H344" s="100"/>
      <c r="I344" s="99"/>
      <c r="J344" s="99"/>
      <c r="K344" s="152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 spans="1:25" ht="19" hidden="1" x14ac:dyDescent="0.25">
      <c r="A345" s="88"/>
      <c r="B345" s="161"/>
      <c r="C345" s="99" t="s">
        <v>180</v>
      </c>
      <c r="D345" s="99"/>
      <c r="E345" s="100"/>
      <c r="F345" s="100"/>
      <c r="G345" s="100"/>
      <c r="H345" s="100"/>
      <c r="I345" s="99"/>
      <c r="J345" s="99"/>
      <c r="K345" s="152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 spans="1:25" ht="19" hidden="1" x14ac:dyDescent="0.25">
      <c r="A346" s="88"/>
      <c r="B346" s="161"/>
      <c r="C346" s="159" t="s">
        <v>184</v>
      </c>
      <c r="D346" s="99"/>
      <c r="E346" s="100"/>
      <c r="F346" s="100"/>
      <c r="G346" s="154"/>
      <c r="H346" s="154"/>
      <c r="I346" s="99"/>
      <c r="J346" s="99"/>
      <c r="K346" s="152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 spans="1:25" ht="19" x14ac:dyDescent="0.25">
      <c r="A347" s="88"/>
      <c r="B347" s="108" t="s">
        <v>284</v>
      </c>
      <c r="C347" s="356" t="s">
        <v>167</v>
      </c>
      <c r="D347" s="110" t="s">
        <v>285</v>
      </c>
      <c r="E347" s="110" t="s">
        <v>120</v>
      </c>
      <c r="F347" s="110" t="s">
        <v>118</v>
      </c>
      <c r="G347" s="111" t="s">
        <v>52</v>
      </c>
      <c r="H347" s="111" t="s">
        <v>53</v>
      </c>
      <c r="I347" s="111" t="s">
        <v>54</v>
      </c>
      <c r="J347" s="111" t="s">
        <v>55</v>
      </c>
      <c r="K347" s="151" t="s">
        <v>56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 spans="1:25" ht="19" x14ac:dyDescent="0.25">
      <c r="A348" s="88"/>
      <c r="B348" s="174"/>
      <c r="C348" s="357"/>
      <c r="D348" s="110" t="s">
        <v>286</v>
      </c>
      <c r="E348" s="110" t="s">
        <v>287</v>
      </c>
      <c r="F348" s="111" t="s">
        <v>288</v>
      </c>
      <c r="G348" s="111" t="s">
        <v>289</v>
      </c>
      <c r="H348" s="111" t="s">
        <v>188</v>
      </c>
      <c r="I348" s="111" t="s">
        <v>91</v>
      </c>
      <c r="J348" s="110" t="s">
        <v>290</v>
      </c>
      <c r="K348" s="151" t="s">
        <v>93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 spans="1:25" ht="19" x14ac:dyDescent="0.25">
      <c r="A349" s="88"/>
      <c r="B349" s="112"/>
      <c r="C349" s="99" t="s">
        <v>176</v>
      </c>
      <c r="D349" s="120">
        <v>495</v>
      </c>
      <c r="E349" s="116">
        <v>1395</v>
      </c>
      <c r="F349" s="116" t="s">
        <v>114</v>
      </c>
      <c r="G349" s="114">
        <v>2600</v>
      </c>
      <c r="H349" s="114">
        <v>2800</v>
      </c>
      <c r="I349" s="115">
        <v>4500</v>
      </c>
      <c r="J349" s="115">
        <v>8600</v>
      </c>
      <c r="K349" s="155">
        <v>15000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 spans="1:25" ht="18" x14ac:dyDescent="0.25">
      <c r="A350" s="88"/>
      <c r="B350" s="99"/>
      <c r="C350" s="99"/>
      <c r="D350" s="120"/>
      <c r="E350" s="116"/>
      <c r="F350" s="116"/>
      <c r="G350" s="116"/>
      <c r="H350" s="116"/>
      <c r="I350" s="120"/>
      <c r="J350" s="120"/>
      <c r="K350" s="121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 spans="1:25" ht="19" x14ac:dyDescent="0.25">
      <c r="A351" s="88"/>
      <c r="B351" s="157"/>
      <c r="C351" s="99" t="s">
        <v>178</v>
      </c>
      <c r="D351" s="113">
        <f>D349*3</f>
        <v>1485</v>
      </c>
      <c r="E351" s="120">
        <f>E349*3</f>
        <v>4185</v>
      </c>
      <c r="F351" s="116" t="s">
        <v>114</v>
      </c>
      <c r="G351" s="120">
        <f>G349*3</f>
        <v>7800</v>
      </c>
      <c r="H351" s="120">
        <f>H349*3</f>
        <v>8400</v>
      </c>
      <c r="I351" s="120">
        <f>I349*3</f>
        <v>13500</v>
      </c>
      <c r="J351" s="120">
        <f>J349*3</f>
        <v>25800</v>
      </c>
      <c r="K351" s="121">
        <f>K349*3</f>
        <v>45000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 spans="1:25" ht="19" x14ac:dyDescent="0.25">
      <c r="A352" s="88"/>
      <c r="B352" s="140" t="s">
        <v>221</v>
      </c>
      <c r="C352" s="123"/>
      <c r="D352" s="124"/>
      <c r="E352" s="124"/>
      <c r="F352" s="117" t="s">
        <v>114</v>
      </c>
      <c r="G352" s="125">
        <f>G351*0.8</f>
        <v>6240</v>
      </c>
      <c r="H352" s="125">
        <f t="shared" ref="H352:K352" si="146">H351*0.8</f>
        <v>6720</v>
      </c>
      <c r="I352" s="125">
        <f t="shared" si="146"/>
        <v>10800</v>
      </c>
      <c r="J352" s="125">
        <f t="shared" si="146"/>
        <v>20640</v>
      </c>
      <c r="K352" s="126">
        <f t="shared" si="146"/>
        <v>36000</v>
      </c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 spans="1:26" ht="19" x14ac:dyDescent="0.25">
      <c r="A353" s="88"/>
      <c r="B353" s="157" t="s">
        <v>193</v>
      </c>
      <c r="C353" s="99" t="s">
        <v>180</v>
      </c>
      <c r="D353" s="113">
        <f>D349*6</f>
        <v>2970</v>
      </c>
      <c r="E353" s="120">
        <f>E349*6</f>
        <v>8370</v>
      </c>
      <c r="F353" s="116" t="s">
        <v>114</v>
      </c>
      <c r="G353" s="120">
        <f>G349*6</f>
        <v>15600</v>
      </c>
      <c r="H353" s="120">
        <f>H349*6</f>
        <v>16800</v>
      </c>
      <c r="I353" s="120">
        <f>I349*6</f>
        <v>27000</v>
      </c>
      <c r="J353" s="120">
        <f>J349*6</f>
        <v>51600</v>
      </c>
      <c r="K353" s="121">
        <f>K349*6</f>
        <v>90000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 spans="1:26" ht="19" x14ac:dyDescent="0.25">
      <c r="A354" s="88"/>
      <c r="B354" s="140" t="s">
        <v>192</v>
      </c>
      <c r="C354" s="123"/>
      <c r="D354" s="129"/>
      <c r="E354" s="124"/>
      <c r="F354" s="117" t="s">
        <v>114</v>
      </c>
      <c r="G354" s="130">
        <f>G353*0.75</f>
        <v>11700</v>
      </c>
      <c r="H354" s="130">
        <f t="shared" ref="H354:K354" si="147">H353*0.75</f>
        <v>12600</v>
      </c>
      <c r="I354" s="130">
        <f t="shared" si="147"/>
        <v>20250</v>
      </c>
      <c r="J354" s="130">
        <f t="shared" si="147"/>
        <v>38700</v>
      </c>
      <c r="K354" s="131">
        <f t="shared" si="147"/>
        <v>67500</v>
      </c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27"/>
    </row>
    <row r="355" spans="1:26" ht="19" x14ac:dyDescent="0.25">
      <c r="A355" s="88"/>
      <c r="B355" s="157" t="s">
        <v>193</v>
      </c>
      <c r="C355" s="134" t="s">
        <v>182</v>
      </c>
      <c r="D355" s="135">
        <f>D349*9</f>
        <v>4455</v>
      </c>
      <c r="E355" s="136">
        <f>E349*9</f>
        <v>12555</v>
      </c>
      <c r="F355" s="116" t="s">
        <v>114</v>
      </c>
      <c r="G355" s="136">
        <f>G349*9</f>
        <v>23400</v>
      </c>
      <c r="H355" s="136">
        <f>H349*9</f>
        <v>25200</v>
      </c>
      <c r="I355" s="136">
        <f>I349*9</f>
        <v>40500</v>
      </c>
      <c r="J355" s="136">
        <f>J349*9</f>
        <v>77400</v>
      </c>
      <c r="K355" s="137">
        <f>K349*9</f>
        <v>135000</v>
      </c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 spans="1:26" ht="19" x14ac:dyDescent="0.25">
      <c r="A356" s="88"/>
      <c r="B356" s="140" t="s">
        <v>223</v>
      </c>
      <c r="C356" s="141"/>
      <c r="D356" s="142"/>
      <c r="E356" s="124"/>
      <c r="F356" s="117" t="s">
        <v>114</v>
      </c>
      <c r="G356" s="143">
        <f>G355*0.7</f>
        <v>16379.999999999998</v>
      </c>
      <c r="H356" s="143">
        <f t="shared" ref="H356:K356" si="148">H355*0.7</f>
        <v>17640</v>
      </c>
      <c r="I356" s="143">
        <f t="shared" si="148"/>
        <v>28350</v>
      </c>
      <c r="J356" s="143">
        <f t="shared" si="148"/>
        <v>54180</v>
      </c>
      <c r="K356" s="144">
        <f t="shared" si="148"/>
        <v>94500</v>
      </c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27"/>
    </row>
    <row r="357" spans="1:26" ht="19" x14ac:dyDescent="0.25">
      <c r="A357" s="88"/>
      <c r="B357" s="157" t="s">
        <v>193</v>
      </c>
      <c r="C357" s="147" t="s">
        <v>184</v>
      </c>
      <c r="D357" s="148">
        <f>D349*12</f>
        <v>5940</v>
      </c>
      <c r="E357" s="149">
        <f>E349*12</f>
        <v>16740</v>
      </c>
      <c r="F357" s="116" t="s">
        <v>114</v>
      </c>
      <c r="G357" s="149">
        <f>G349*12</f>
        <v>31200</v>
      </c>
      <c r="H357" s="149">
        <f>H349*12</f>
        <v>33600</v>
      </c>
      <c r="I357" s="149">
        <f>I349*12</f>
        <v>54000</v>
      </c>
      <c r="J357" s="149">
        <f>J349*12</f>
        <v>103200</v>
      </c>
      <c r="K357" s="150">
        <f>K349*12</f>
        <v>180000</v>
      </c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 spans="1:26" ht="19" x14ac:dyDescent="0.25">
      <c r="A358" s="88"/>
      <c r="B358" s="140" t="s">
        <v>291</v>
      </c>
      <c r="C358" s="123"/>
      <c r="D358" s="124"/>
      <c r="E358" s="124"/>
      <c r="F358" s="117" t="s">
        <v>114</v>
      </c>
      <c r="G358" s="125">
        <f>G357*0.65</f>
        <v>20280</v>
      </c>
      <c r="H358" s="125">
        <f t="shared" ref="H358:K358" si="149">H357*0.65</f>
        <v>21840</v>
      </c>
      <c r="I358" s="125">
        <f t="shared" si="149"/>
        <v>35100</v>
      </c>
      <c r="J358" s="125">
        <f t="shared" si="149"/>
        <v>67080</v>
      </c>
      <c r="K358" s="126">
        <f t="shared" si="149"/>
        <v>117000</v>
      </c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27"/>
    </row>
    <row r="359" spans="1:26" ht="19" hidden="1" x14ac:dyDescent="0.25">
      <c r="A359" s="88"/>
      <c r="B359" s="176" t="s">
        <v>292</v>
      </c>
      <c r="C359" s="356" t="s">
        <v>167</v>
      </c>
      <c r="D359" s="110" t="s">
        <v>120</v>
      </c>
      <c r="E359" s="110" t="s">
        <v>118</v>
      </c>
      <c r="F359" s="111" t="s">
        <v>52</v>
      </c>
      <c r="G359" s="111" t="s">
        <v>53</v>
      </c>
      <c r="H359" s="111" t="s">
        <v>54</v>
      </c>
      <c r="I359" s="111" t="s">
        <v>55</v>
      </c>
      <c r="J359" s="110" t="s">
        <v>56</v>
      </c>
      <c r="K359" s="151" t="s">
        <v>57</v>
      </c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 spans="1:26" ht="19" hidden="1" x14ac:dyDescent="0.25">
      <c r="A360" s="88"/>
      <c r="B360" s="174"/>
      <c r="C360" s="357"/>
      <c r="D360" s="110" t="s">
        <v>88</v>
      </c>
      <c r="E360" s="111" t="s">
        <v>187</v>
      </c>
      <c r="F360" s="111" t="s">
        <v>89</v>
      </c>
      <c r="G360" s="111" t="s">
        <v>188</v>
      </c>
      <c r="H360" s="111" t="s">
        <v>91</v>
      </c>
      <c r="I360" s="110" t="s">
        <v>92</v>
      </c>
      <c r="J360" s="110" t="s">
        <v>93</v>
      </c>
      <c r="K360" s="151" t="s">
        <v>189</v>
      </c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 spans="1:26" ht="19" hidden="1" x14ac:dyDescent="0.25">
      <c r="A361" s="88"/>
      <c r="B361" s="174"/>
      <c r="C361" s="99" t="s">
        <v>176</v>
      </c>
      <c r="D361" s="99"/>
      <c r="E361" s="100"/>
      <c r="F361" s="100"/>
      <c r="G361" s="100"/>
      <c r="H361" s="100"/>
      <c r="I361" s="99"/>
      <c r="J361" s="99"/>
      <c r="K361" s="152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 spans="1:26" ht="19" hidden="1" x14ac:dyDescent="0.25">
      <c r="A362" s="88"/>
      <c r="B362" s="174"/>
      <c r="C362" s="99" t="s">
        <v>178</v>
      </c>
      <c r="D362" s="99"/>
      <c r="E362" s="100"/>
      <c r="F362" s="100"/>
      <c r="G362" s="100"/>
      <c r="H362" s="100"/>
      <c r="I362" s="99"/>
      <c r="J362" s="99"/>
      <c r="K362" s="152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 spans="1:26" ht="19" hidden="1" x14ac:dyDescent="0.25">
      <c r="A363" s="88"/>
      <c r="B363" s="174"/>
      <c r="C363" s="99" t="s">
        <v>180</v>
      </c>
      <c r="D363" s="99"/>
      <c r="E363" s="100"/>
      <c r="F363" s="100"/>
      <c r="G363" s="100"/>
      <c r="H363" s="100"/>
      <c r="I363" s="99"/>
      <c r="J363" s="99"/>
      <c r="K363" s="152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 spans="1:26" ht="19" hidden="1" x14ac:dyDescent="0.25">
      <c r="A364" s="88"/>
      <c r="B364" s="174"/>
      <c r="C364" s="99" t="s">
        <v>184</v>
      </c>
      <c r="D364" s="99"/>
      <c r="E364" s="100"/>
      <c r="F364" s="100"/>
      <c r="G364" s="154"/>
      <c r="H364" s="154"/>
      <c r="I364" s="99"/>
      <c r="J364" s="99"/>
      <c r="K364" s="152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 spans="1:26" ht="19" hidden="1" x14ac:dyDescent="0.25">
      <c r="A365" s="88"/>
      <c r="B365" s="176" t="s">
        <v>293</v>
      </c>
      <c r="C365" s="356" t="s">
        <v>167</v>
      </c>
      <c r="D365" s="110" t="s">
        <v>120</v>
      </c>
      <c r="E365" s="110" t="s">
        <v>118</v>
      </c>
      <c r="F365" s="111" t="s">
        <v>52</v>
      </c>
      <c r="G365" s="111" t="s">
        <v>53</v>
      </c>
      <c r="H365" s="111" t="s">
        <v>54</v>
      </c>
      <c r="I365" s="111" t="s">
        <v>55</v>
      </c>
      <c r="J365" s="110" t="s">
        <v>56</v>
      </c>
      <c r="K365" s="151" t="s">
        <v>57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 spans="1:26" ht="19" hidden="1" x14ac:dyDescent="0.25">
      <c r="A366" s="88"/>
      <c r="B366" s="174"/>
      <c r="C366" s="357"/>
      <c r="D366" s="110" t="s">
        <v>88</v>
      </c>
      <c r="E366" s="111" t="s">
        <v>187</v>
      </c>
      <c r="F366" s="111" t="s">
        <v>89</v>
      </c>
      <c r="G366" s="111" t="s">
        <v>188</v>
      </c>
      <c r="H366" s="111" t="s">
        <v>91</v>
      </c>
      <c r="I366" s="110" t="s">
        <v>92</v>
      </c>
      <c r="J366" s="110" t="s">
        <v>93</v>
      </c>
      <c r="K366" s="151" t="s">
        <v>189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 spans="1:26" ht="19" hidden="1" x14ac:dyDescent="0.25">
      <c r="A367" s="88"/>
      <c r="B367" s="174"/>
      <c r="C367" s="99" t="s">
        <v>176</v>
      </c>
      <c r="D367" s="99"/>
      <c r="E367" s="100"/>
      <c r="F367" s="100"/>
      <c r="G367" s="100"/>
      <c r="H367" s="100"/>
      <c r="I367" s="99"/>
      <c r="J367" s="99"/>
      <c r="K367" s="152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 spans="1:26" ht="19" hidden="1" x14ac:dyDescent="0.25">
      <c r="A368" s="88"/>
      <c r="B368" s="174"/>
      <c r="C368" s="99" t="s">
        <v>178</v>
      </c>
      <c r="D368" s="99"/>
      <c r="E368" s="100"/>
      <c r="F368" s="100"/>
      <c r="G368" s="100"/>
      <c r="H368" s="100"/>
      <c r="I368" s="99"/>
      <c r="J368" s="99"/>
      <c r="K368" s="152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 spans="1:26" ht="19" hidden="1" x14ac:dyDescent="0.25">
      <c r="A369" s="88"/>
      <c r="B369" s="174"/>
      <c r="C369" s="99" t="s">
        <v>180</v>
      </c>
      <c r="D369" s="99"/>
      <c r="E369" s="100"/>
      <c r="F369" s="100"/>
      <c r="G369" s="100"/>
      <c r="H369" s="100"/>
      <c r="I369" s="99"/>
      <c r="J369" s="99"/>
      <c r="K369" s="152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 spans="1:26" ht="19" hidden="1" x14ac:dyDescent="0.25">
      <c r="A370" s="88"/>
      <c r="B370" s="174"/>
      <c r="C370" s="99" t="s">
        <v>184</v>
      </c>
      <c r="D370" s="99"/>
      <c r="E370" s="100"/>
      <c r="F370" s="100"/>
      <c r="G370" s="154"/>
      <c r="H370" s="154"/>
      <c r="I370" s="99"/>
      <c r="J370" s="99"/>
      <c r="K370" s="152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 spans="1:26" ht="19" x14ac:dyDescent="0.25">
      <c r="A371" s="88"/>
      <c r="B371" s="108" t="s">
        <v>294</v>
      </c>
      <c r="C371" s="356" t="s">
        <v>167</v>
      </c>
      <c r="D371" s="110" t="s">
        <v>285</v>
      </c>
      <c r="E371" s="110" t="s">
        <v>120</v>
      </c>
      <c r="F371" s="110" t="s">
        <v>118</v>
      </c>
      <c r="G371" s="111" t="s">
        <v>52</v>
      </c>
      <c r="H371" s="111" t="s">
        <v>53</v>
      </c>
      <c r="I371" s="111" t="s">
        <v>54</v>
      </c>
      <c r="J371" s="111" t="s">
        <v>55</v>
      </c>
      <c r="K371" s="151" t="s">
        <v>56</v>
      </c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 spans="1:26" ht="19" x14ac:dyDescent="0.25">
      <c r="A372" s="88"/>
      <c r="B372" s="174"/>
      <c r="C372" s="357"/>
      <c r="D372" s="110" t="s">
        <v>286</v>
      </c>
      <c r="E372" s="110" t="s">
        <v>88</v>
      </c>
      <c r="F372" s="111" t="s">
        <v>187</v>
      </c>
      <c r="G372" s="111" t="s">
        <v>89</v>
      </c>
      <c r="H372" s="111" t="s">
        <v>188</v>
      </c>
      <c r="I372" s="111" t="s">
        <v>91</v>
      </c>
      <c r="J372" s="110" t="s">
        <v>290</v>
      </c>
      <c r="K372" s="151" t="s">
        <v>93</v>
      </c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 spans="1:26" ht="19" x14ac:dyDescent="0.25">
      <c r="A373" s="88"/>
      <c r="B373" s="112"/>
      <c r="C373" s="99" t="s">
        <v>176</v>
      </c>
      <c r="D373" s="99" t="s">
        <v>114</v>
      </c>
      <c r="E373" s="99" t="s">
        <v>114</v>
      </c>
      <c r="F373" s="99" t="s">
        <v>114</v>
      </c>
      <c r="G373" s="99" t="s">
        <v>114</v>
      </c>
      <c r="H373" s="216"/>
      <c r="I373" s="115">
        <v>4500</v>
      </c>
      <c r="J373" s="115">
        <v>8600</v>
      </c>
      <c r="K373" s="155">
        <v>15000</v>
      </c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 spans="1:26" ht="18" x14ac:dyDescent="0.25">
      <c r="A374" s="88"/>
      <c r="B374" s="99"/>
      <c r="C374" s="99"/>
      <c r="D374" s="99"/>
      <c r="E374" s="99"/>
      <c r="F374" s="99"/>
      <c r="G374" s="99"/>
      <c r="H374" s="116"/>
      <c r="I374" s="120"/>
      <c r="J374" s="120"/>
      <c r="K374" s="121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 spans="1:26" ht="19" x14ac:dyDescent="0.25">
      <c r="A375" s="88"/>
      <c r="B375" s="157"/>
      <c r="C375" s="99" t="s">
        <v>178</v>
      </c>
      <c r="D375" s="99" t="s">
        <v>114</v>
      </c>
      <c r="E375" s="99" t="s">
        <v>114</v>
      </c>
      <c r="F375" s="99" t="s">
        <v>114</v>
      </c>
      <c r="G375" s="99" t="s">
        <v>114</v>
      </c>
      <c r="H375" s="216"/>
      <c r="I375" s="120">
        <f>I373*3</f>
        <v>13500</v>
      </c>
      <c r="J375" s="120">
        <f>J373*3</f>
        <v>25800</v>
      </c>
      <c r="K375" s="121">
        <f>K373*3</f>
        <v>45000</v>
      </c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27"/>
    </row>
    <row r="376" spans="1:26" ht="19" x14ac:dyDescent="0.25">
      <c r="A376" s="88"/>
      <c r="B376" s="140" t="s">
        <v>221</v>
      </c>
      <c r="C376" s="123"/>
      <c r="D376" s="158" t="s">
        <v>114</v>
      </c>
      <c r="E376" s="158" t="s">
        <v>114</v>
      </c>
      <c r="F376" s="158" t="s">
        <v>114</v>
      </c>
      <c r="G376" s="158" t="s">
        <v>114</v>
      </c>
      <c r="H376" s="217"/>
      <c r="I376" s="125">
        <f t="shared" ref="I376:K376" si="150">I375*0.8</f>
        <v>10800</v>
      </c>
      <c r="J376" s="125">
        <f t="shared" si="150"/>
        <v>20640</v>
      </c>
      <c r="K376" s="126">
        <f t="shared" si="150"/>
        <v>36000</v>
      </c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27"/>
    </row>
    <row r="377" spans="1:26" ht="19" x14ac:dyDescent="0.25">
      <c r="A377" s="88"/>
      <c r="B377" s="157" t="s">
        <v>193</v>
      </c>
      <c r="C377" s="99" t="s">
        <v>180</v>
      </c>
      <c r="D377" s="159" t="s">
        <v>114</v>
      </c>
      <c r="E377" s="159" t="s">
        <v>114</v>
      </c>
      <c r="F377" s="159" t="s">
        <v>114</v>
      </c>
      <c r="G377" s="159" t="s">
        <v>114</v>
      </c>
      <c r="H377" s="216"/>
      <c r="I377" s="120">
        <f>I373*6</f>
        <v>27000</v>
      </c>
      <c r="J377" s="120">
        <f>J373*6</f>
        <v>51600</v>
      </c>
      <c r="K377" s="121">
        <f>K373*6</f>
        <v>90000</v>
      </c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27"/>
    </row>
    <row r="378" spans="1:26" ht="19" x14ac:dyDescent="0.25">
      <c r="A378" s="88"/>
      <c r="B378" s="140" t="s">
        <v>192</v>
      </c>
      <c r="C378" s="123"/>
      <c r="D378" s="160"/>
      <c r="E378" s="160"/>
      <c r="F378" s="160"/>
      <c r="G378" s="160"/>
      <c r="H378" s="217"/>
      <c r="I378" s="130">
        <f t="shared" ref="I378:K378" si="151">I377*0.75</f>
        <v>20250</v>
      </c>
      <c r="J378" s="130">
        <f t="shared" si="151"/>
        <v>38700</v>
      </c>
      <c r="K378" s="131">
        <f t="shared" si="151"/>
        <v>67500</v>
      </c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27"/>
    </row>
    <row r="379" spans="1:26" ht="19" x14ac:dyDescent="0.25">
      <c r="A379" s="88"/>
      <c r="B379" s="157" t="s">
        <v>193</v>
      </c>
      <c r="C379" s="134" t="s">
        <v>182</v>
      </c>
      <c r="D379" s="147"/>
      <c r="E379" s="147"/>
      <c r="F379" s="147"/>
      <c r="G379" s="147"/>
      <c r="H379" s="216"/>
      <c r="I379" s="136">
        <f>I373*9</f>
        <v>40500</v>
      </c>
      <c r="J379" s="136">
        <f>J373*9</f>
        <v>77400</v>
      </c>
      <c r="K379" s="137">
        <f>K373*9</f>
        <v>135000</v>
      </c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 spans="1:26" ht="19" x14ac:dyDescent="0.25">
      <c r="A380" s="88"/>
      <c r="B380" s="140" t="s">
        <v>223</v>
      </c>
      <c r="C380" s="141"/>
      <c r="D380" s="158" t="s">
        <v>114</v>
      </c>
      <c r="E380" s="158" t="s">
        <v>114</v>
      </c>
      <c r="F380" s="158" t="s">
        <v>114</v>
      </c>
      <c r="G380" s="158" t="s">
        <v>114</v>
      </c>
      <c r="H380" s="217"/>
      <c r="I380" s="143">
        <f t="shared" ref="I380:K380" si="152">I379*0.7</f>
        <v>28350</v>
      </c>
      <c r="J380" s="143">
        <f t="shared" si="152"/>
        <v>54180</v>
      </c>
      <c r="K380" s="144">
        <f t="shared" si="152"/>
        <v>94500</v>
      </c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27"/>
    </row>
    <row r="381" spans="1:26" ht="19" x14ac:dyDescent="0.25">
      <c r="A381" s="88"/>
      <c r="B381" s="157" t="s">
        <v>193</v>
      </c>
      <c r="C381" s="147" t="s">
        <v>184</v>
      </c>
      <c r="D381" s="99" t="s">
        <v>114</v>
      </c>
      <c r="E381" s="99" t="s">
        <v>114</v>
      </c>
      <c r="F381" s="99" t="s">
        <v>114</v>
      </c>
      <c r="G381" s="99" t="s">
        <v>114</v>
      </c>
      <c r="H381" s="216"/>
      <c r="I381" s="149">
        <f>I373*12</f>
        <v>54000</v>
      </c>
      <c r="J381" s="149">
        <f>J373*12</f>
        <v>103200</v>
      </c>
      <c r="K381" s="150">
        <f>K373*12</f>
        <v>180000</v>
      </c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 spans="1:26" ht="19" x14ac:dyDescent="0.25">
      <c r="A382" s="88"/>
      <c r="B382" s="140" t="s">
        <v>291</v>
      </c>
      <c r="C382" s="123"/>
      <c r="D382" s="158" t="s">
        <v>114</v>
      </c>
      <c r="E382" s="158" t="s">
        <v>114</v>
      </c>
      <c r="F382" s="158" t="s">
        <v>114</v>
      </c>
      <c r="G382" s="158" t="s">
        <v>114</v>
      </c>
      <c r="H382" s="217"/>
      <c r="I382" s="125">
        <f t="shared" ref="I382:K382" si="153">I381*0.65</f>
        <v>35100</v>
      </c>
      <c r="J382" s="125">
        <f t="shared" si="153"/>
        <v>67080</v>
      </c>
      <c r="K382" s="126">
        <f t="shared" si="153"/>
        <v>117000</v>
      </c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27"/>
    </row>
    <row r="383" spans="1:26" ht="19" hidden="1" x14ac:dyDescent="0.25">
      <c r="A383" s="88"/>
      <c r="B383" s="176" t="s">
        <v>295</v>
      </c>
      <c r="C383" s="356" t="s">
        <v>167</v>
      </c>
      <c r="D383" s="110" t="s">
        <v>120</v>
      </c>
      <c r="E383" s="110" t="s">
        <v>118</v>
      </c>
      <c r="F383" s="111" t="s">
        <v>52</v>
      </c>
      <c r="G383" s="111" t="s">
        <v>53</v>
      </c>
      <c r="H383" s="111" t="s">
        <v>54</v>
      </c>
      <c r="I383" s="111" t="s">
        <v>55</v>
      </c>
      <c r="J383" s="110" t="s">
        <v>56</v>
      </c>
      <c r="K383" s="151" t="s">
        <v>57</v>
      </c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 spans="1:26" ht="19" hidden="1" x14ac:dyDescent="0.25">
      <c r="A384" s="88"/>
      <c r="B384" s="174"/>
      <c r="C384" s="357"/>
      <c r="D384" s="110" t="s">
        <v>88</v>
      </c>
      <c r="E384" s="111" t="s">
        <v>187</v>
      </c>
      <c r="F384" s="111" t="s">
        <v>89</v>
      </c>
      <c r="G384" s="111" t="s">
        <v>188</v>
      </c>
      <c r="H384" s="111" t="s">
        <v>91</v>
      </c>
      <c r="I384" s="110" t="s">
        <v>92</v>
      </c>
      <c r="J384" s="110" t="s">
        <v>93</v>
      </c>
      <c r="K384" s="151" t="s">
        <v>189</v>
      </c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 spans="1:25" ht="19" hidden="1" x14ac:dyDescent="0.25">
      <c r="A385" s="88"/>
      <c r="B385" s="174"/>
      <c r="C385" s="99" t="s">
        <v>176</v>
      </c>
      <c r="D385" s="99"/>
      <c r="E385" s="100"/>
      <c r="F385" s="100"/>
      <c r="G385" s="100"/>
      <c r="H385" s="100"/>
      <c r="I385" s="99"/>
      <c r="J385" s="99"/>
      <c r="K385" s="152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 spans="1:25" ht="19" hidden="1" x14ac:dyDescent="0.25">
      <c r="A386" s="88"/>
      <c r="B386" s="174"/>
      <c r="C386" s="99" t="s">
        <v>178</v>
      </c>
      <c r="D386" s="99"/>
      <c r="E386" s="100"/>
      <c r="F386" s="100"/>
      <c r="G386" s="100"/>
      <c r="H386" s="100"/>
      <c r="I386" s="99"/>
      <c r="J386" s="99"/>
      <c r="K386" s="152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 spans="1:25" ht="19" hidden="1" x14ac:dyDescent="0.25">
      <c r="A387" s="88"/>
      <c r="B387" s="174"/>
      <c r="C387" s="99" t="s">
        <v>180</v>
      </c>
      <c r="D387" s="99"/>
      <c r="E387" s="100"/>
      <c r="F387" s="100"/>
      <c r="G387" s="100"/>
      <c r="H387" s="100"/>
      <c r="I387" s="99"/>
      <c r="J387" s="99"/>
      <c r="K387" s="152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 spans="1:25" ht="19" hidden="1" x14ac:dyDescent="0.25">
      <c r="A388" s="88"/>
      <c r="B388" s="174"/>
      <c r="C388" s="99" t="s">
        <v>184</v>
      </c>
      <c r="D388" s="99"/>
      <c r="E388" s="100"/>
      <c r="F388" s="100"/>
      <c r="G388" s="154"/>
      <c r="H388" s="154"/>
      <c r="I388" s="99"/>
      <c r="J388" s="99"/>
      <c r="K388" s="152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 spans="1:25" ht="19" hidden="1" x14ac:dyDescent="0.25">
      <c r="A389" s="88"/>
      <c r="B389" s="176" t="s">
        <v>292</v>
      </c>
      <c r="C389" s="356" t="s">
        <v>167</v>
      </c>
      <c r="D389" s="110" t="s">
        <v>120</v>
      </c>
      <c r="E389" s="110" t="s">
        <v>118</v>
      </c>
      <c r="F389" s="111" t="s">
        <v>52</v>
      </c>
      <c r="G389" s="111" t="s">
        <v>53</v>
      </c>
      <c r="H389" s="111" t="s">
        <v>54</v>
      </c>
      <c r="I389" s="111" t="s">
        <v>55</v>
      </c>
      <c r="J389" s="110" t="s">
        <v>56</v>
      </c>
      <c r="K389" s="151" t="s">
        <v>57</v>
      </c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 spans="1:25" ht="19" hidden="1" x14ac:dyDescent="0.25">
      <c r="A390" s="88"/>
      <c r="B390" s="174"/>
      <c r="C390" s="357"/>
      <c r="D390" s="110" t="s">
        <v>88</v>
      </c>
      <c r="E390" s="111" t="s">
        <v>187</v>
      </c>
      <c r="F390" s="111" t="s">
        <v>89</v>
      </c>
      <c r="G390" s="111" t="s">
        <v>188</v>
      </c>
      <c r="H390" s="111" t="s">
        <v>91</v>
      </c>
      <c r="I390" s="110" t="s">
        <v>92</v>
      </c>
      <c r="J390" s="110" t="s">
        <v>93</v>
      </c>
      <c r="K390" s="151" t="s">
        <v>189</v>
      </c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 spans="1:25" ht="19" hidden="1" x14ac:dyDescent="0.25">
      <c r="A391" s="88"/>
      <c r="B391" s="174"/>
      <c r="C391" s="99" t="s">
        <v>176</v>
      </c>
      <c r="D391" s="99"/>
      <c r="E391" s="100"/>
      <c r="F391" s="100"/>
      <c r="G391" s="100"/>
      <c r="H391" s="100"/>
      <c r="I391" s="99"/>
      <c r="J391" s="99"/>
      <c r="K391" s="152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 spans="1:25" ht="19" hidden="1" x14ac:dyDescent="0.25">
      <c r="A392" s="88"/>
      <c r="B392" s="174"/>
      <c r="C392" s="99" t="s">
        <v>178</v>
      </c>
      <c r="D392" s="99"/>
      <c r="E392" s="100"/>
      <c r="F392" s="100"/>
      <c r="G392" s="100"/>
      <c r="H392" s="100"/>
      <c r="I392" s="99"/>
      <c r="J392" s="99"/>
      <c r="K392" s="152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 spans="1:25" ht="19" hidden="1" x14ac:dyDescent="0.25">
      <c r="A393" s="88"/>
      <c r="B393" s="174"/>
      <c r="C393" s="99" t="s">
        <v>180</v>
      </c>
      <c r="D393" s="99"/>
      <c r="E393" s="100"/>
      <c r="F393" s="100"/>
      <c r="G393" s="100"/>
      <c r="H393" s="100"/>
      <c r="I393" s="99"/>
      <c r="J393" s="99"/>
      <c r="K393" s="152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 spans="1:25" ht="19" hidden="1" x14ac:dyDescent="0.25">
      <c r="A394" s="88"/>
      <c r="B394" s="174"/>
      <c r="C394" s="99" t="s">
        <v>184</v>
      </c>
      <c r="D394" s="99"/>
      <c r="E394" s="100"/>
      <c r="F394" s="100"/>
      <c r="G394" s="154"/>
      <c r="H394" s="154"/>
      <c r="I394" s="99"/>
      <c r="J394" s="99"/>
      <c r="K394" s="152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 spans="1:25" ht="19" x14ac:dyDescent="0.25">
      <c r="A395" s="88"/>
      <c r="B395" s="218" t="s">
        <v>296</v>
      </c>
      <c r="C395" s="356" t="s">
        <v>167</v>
      </c>
      <c r="D395" s="110" t="s">
        <v>120</v>
      </c>
      <c r="E395" s="110" t="s">
        <v>118</v>
      </c>
      <c r="F395" s="111" t="s">
        <v>52</v>
      </c>
      <c r="G395" s="111" t="s">
        <v>53</v>
      </c>
      <c r="H395" s="111" t="s">
        <v>54</v>
      </c>
      <c r="I395" s="111" t="s">
        <v>55</v>
      </c>
      <c r="J395" s="110" t="s">
        <v>56</v>
      </c>
      <c r="K395" s="151" t="s">
        <v>57</v>
      </c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 spans="1:25" ht="19" x14ac:dyDescent="0.25">
      <c r="A396" s="88"/>
      <c r="B396" s="174"/>
      <c r="C396" s="357"/>
      <c r="D396" s="110" t="s">
        <v>88</v>
      </c>
      <c r="E396" s="111" t="s">
        <v>187</v>
      </c>
      <c r="F396" s="111" t="s">
        <v>89</v>
      </c>
      <c r="G396" s="111" t="s">
        <v>188</v>
      </c>
      <c r="H396" s="111" t="s">
        <v>91</v>
      </c>
      <c r="I396" s="110" t="s">
        <v>92</v>
      </c>
      <c r="J396" s="110" t="s">
        <v>93</v>
      </c>
      <c r="K396" s="151" t="s">
        <v>189</v>
      </c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 spans="1:25" ht="19" x14ac:dyDescent="0.25">
      <c r="A397" s="88"/>
      <c r="B397" s="108" t="s">
        <v>297</v>
      </c>
      <c r="C397" s="115" t="s">
        <v>298</v>
      </c>
      <c r="D397" s="115">
        <v>50</v>
      </c>
      <c r="E397" s="100" t="s">
        <v>114</v>
      </c>
      <c r="F397" s="100" t="s">
        <v>114</v>
      </c>
      <c r="G397" s="100" t="s">
        <v>114</v>
      </c>
      <c r="H397" s="100" t="s">
        <v>114</v>
      </c>
      <c r="I397" s="100" t="s">
        <v>114</v>
      </c>
      <c r="J397" s="100" t="s">
        <v>114</v>
      </c>
      <c r="K397" s="219" t="s">
        <v>114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 spans="1:25" ht="19" x14ac:dyDescent="0.25">
      <c r="A398" s="88"/>
      <c r="B398" s="174"/>
      <c r="C398" s="115" t="s">
        <v>299</v>
      </c>
      <c r="D398" s="115">
        <v>150</v>
      </c>
      <c r="E398" s="100" t="s">
        <v>114</v>
      </c>
      <c r="F398" s="100" t="s">
        <v>114</v>
      </c>
      <c r="G398" s="100" t="s">
        <v>114</v>
      </c>
      <c r="H398" s="100" t="s">
        <v>114</v>
      </c>
      <c r="I398" s="100" t="s">
        <v>114</v>
      </c>
      <c r="J398" s="100" t="s">
        <v>114</v>
      </c>
      <c r="K398" s="219" t="s">
        <v>114</v>
      </c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 spans="1:25" ht="19" x14ac:dyDescent="0.25">
      <c r="A399" s="88"/>
      <c r="B399" s="174"/>
      <c r="C399" s="164" t="s">
        <v>300</v>
      </c>
      <c r="D399" s="115">
        <v>300</v>
      </c>
      <c r="E399" s="100" t="s">
        <v>114</v>
      </c>
      <c r="F399" s="100" t="s">
        <v>114</v>
      </c>
      <c r="G399" s="100" t="s">
        <v>114</v>
      </c>
      <c r="H399" s="100" t="s">
        <v>114</v>
      </c>
      <c r="I399" s="100" t="s">
        <v>114</v>
      </c>
      <c r="J399" s="100" t="s">
        <v>114</v>
      </c>
      <c r="K399" s="219" t="s">
        <v>114</v>
      </c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 spans="1:25" ht="19" x14ac:dyDescent="0.25">
      <c r="A400" s="88"/>
      <c r="B400" s="174"/>
      <c r="C400" s="115" t="s">
        <v>301</v>
      </c>
      <c r="D400" s="115">
        <v>600</v>
      </c>
      <c r="E400" s="100" t="s">
        <v>114</v>
      </c>
      <c r="F400" s="100" t="s">
        <v>114</v>
      </c>
      <c r="G400" s="100" t="s">
        <v>114</v>
      </c>
      <c r="H400" s="100" t="s">
        <v>114</v>
      </c>
      <c r="I400" s="100" t="s">
        <v>114</v>
      </c>
      <c r="J400" s="100" t="s">
        <v>114</v>
      </c>
      <c r="K400" s="219" t="s">
        <v>114</v>
      </c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 spans="1:26" ht="19" x14ac:dyDescent="0.25">
      <c r="A401" s="88"/>
      <c r="B401" s="108" t="s">
        <v>302</v>
      </c>
      <c r="C401" s="356" t="s">
        <v>167</v>
      </c>
      <c r="D401" s="110" t="s">
        <v>120</v>
      </c>
      <c r="E401" s="110" t="s">
        <v>118</v>
      </c>
      <c r="F401" s="111" t="s">
        <v>52</v>
      </c>
      <c r="G401" s="111" t="s">
        <v>53</v>
      </c>
      <c r="H401" s="111" t="s">
        <v>54</v>
      </c>
      <c r="I401" s="111" t="s">
        <v>55</v>
      </c>
      <c r="J401" s="110" t="s">
        <v>56</v>
      </c>
      <c r="K401" s="151" t="s">
        <v>57</v>
      </c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 spans="1:26" ht="19" x14ac:dyDescent="0.25">
      <c r="A402" s="88"/>
      <c r="B402" s="161"/>
      <c r="C402" s="357"/>
      <c r="D402" s="110" t="s">
        <v>88</v>
      </c>
      <c r="E402" s="111" t="s">
        <v>303</v>
      </c>
      <c r="F402" s="111" t="s">
        <v>89</v>
      </c>
      <c r="G402" s="111" t="s">
        <v>304</v>
      </c>
      <c r="H402" s="111" t="s">
        <v>91</v>
      </c>
      <c r="I402" s="110" t="s">
        <v>305</v>
      </c>
      <c r="J402" s="110" t="s">
        <v>306</v>
      </c>
      <c r="K402" s="151" t="s">
        <v>307</v>
      </c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 spans="1:26" ht="19" x14ac:dyDescent="0.25">
      <c r="A403" s="88"/>
      <c r="B403" s="112"/>
      <c r="C403" s="99" t="s">
        <v>176</v>
      </c>
      <c r="D403" s="220">
        <v>801.12</v>
      </c>
      <c r="E403" s="114">
        <v>1600</v>
      </c>
      <c r="F403" s="114">
        <v>2400</v>
      </c>
      <c r="G403" s="114">
        <v>4000</v>
      </c>
      <c r="H403" s="114">
        <v>6000</v>
      </c>
      <c r="I403" s="115">
        <v>13500</v>
      </c>
      <c r="J403" s="115">
        <v>18800</v>
      </c>
      <c r="K403" s="155">
        <v>24200</v>
      </c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 spans="1:26" ht="38" x14ac:dyDescent="0.25">
      <c r="A404" s="88"/>
      <c r="B404" s="112"/>
      <c r="C404" s="99" t="s">
        <v>177</v>
      </c>
      <c r="D404" s="113"/>
      <c r="E404" s="116"/>
      <c r="F404" s="116"/>
      <c r="G404" s="116"/>
      <c r="H404" s="118">
        <f>6000*0.9</f>
        <v>5400</v>
      </c>
      <c r="I404" s="221">
        <f>13500*0.6</f>
        <v>8100</v>
      </c>
      <c r="J404" s="221">
        <f>18800*0.6</f>
        <v>11280</v>
      </c>
      <c r="K404" s="221">
        <f>24200*0.6</f>
        <v>14520</v>
      </c>
      <c r="L404" s="222" t="s">
        <v>308</v>
      </c>
      <c r="M404" s="223"/>
      <c r="N404" s="22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 spans="1:26" ht="19" x14ac:dyDescent="0.25">
      <c r="A405" s="88"/>
      <c r="B405" s="119"/>
      <c r="C405" s="99" t="s">
        <v>178</v>
      </c>
      <c r="D405" s="113">
        <f t="shared" ref="D405:F405" si="154">D403*3</f>
        <v>2403.36</v>
      </c>
      <c r="E405" s="120">
        <f t="shared" si="154"/>
        <v>4800</v>
      </c>
      <c r="F405" s="120">
        <f t="shared" si="154"/>
        <v>7200</v>
      </c>
      <c r="G405" s="120">
        <f>G403*3</f>
        <v>12000</v>
      </c>
      <c r="H405" s="120">
        <f>H403*3</f>
        <v>18000</v>
      </c>
      <c r="I405" s="120">
        <f t="shared" ref="I405:K405" si="155">I403*3</f>
        <v>40500</v>
      </c>
      <c r="J405" s="120">
        <f t="shared" si="155"/>
        <v>56400</v>
      </c>
      <c r="K405" s="121">
        <f t="shared" si="155"/>
        <v>72600</v>
      </c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 spans="1:26" ht="19" x14ac:dyDescent="0.25">
      <c r="A406" s="88"/>
      <c r="B406" s="122" t="s">
        <v>179</v>
      </c>
      <c r="C406" s="123"/>
      <c r="D406" s="124"/>
      <c r="E406" s="125">
        <f>E405*0.85</f>
        <v>4080</v>
      </c>
      <c r="F406" s="125">
        <f>F405*0.85</f>
        <v>6120</v>
      </c>
      <c r="G406" s="125">
        <f>G405*0.85</f>
        <v>10200</v>
      </c>
      <c r="H406" s="125">
        <f>H405*0.75</f>
        <v>13500</v>
      </c>
      <c r="I406" s="195">
        <f>I405*0.6</f>
        <v>24300</v>
      </c>
      <c r="J406" s="195">
        <f>J405*0.6</f>
        <v>33840</v>
      </c>
      <c r="K406" s="225">
        <f>K405*0.6</f>
        <v>43560</v>
      </c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 spans="1:26" ht="19" x14ac:dyDescent="0.25">
      <c r="A407" s="88"/>
      <c r="B407" s="119"/>
      <c r="C407" s="99" t="s">
        <v>180</v>
      </c>
      <c r="D407" s="113">
        <f t="shared" ref="D407:G407" si="156">D403*6</f>
        <v>4806.72</v>
      </c>
      <c r="E407" s="120">
        <f t="shared" si="156"/>
        <v>9600</v>
      </c>
      <c r="F407" s="120">
        <f t="shared" si="156"/>
        <v>14400</v>
      </c>
      <c r="G407" s="120">
        <f t="shared" si="156"/>
        <v>24000</v>
      </c>
      <c r="H407" s="120">
        <f>H403*6</f>
        <v>36000</v>
      </c>
      <c r="I407" s="120">
        <f t="shared" ref="I407:K407" si="157">I403*6</f>
        <v>81000</v>
      </c>
      <c r="J407" s="120">
        <f t="shared" si="157"/>
        <v>112800</v>
      </c>
      <c r="K407" s="121">
        <f t="shared" si="157"/>
        <v>145200</v>
      </c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 spans="1:26" ht="19" x14ac:dyDescent="0.25">
      <c r="A408" s="88"/>
      <c r="B408" s="122" t="s">
        <v>181</v>
      </c>
      <c r="C408" s="123"/>
      <c r="D408" s="129"/>
      <c r="E408" s="130">
        <f>E407*0.8</f>
        <v>7680</v>
      </c>
      <c r="F408" s="130">
        <f>F407*0.8</f>
        <v>11520</v>
      </c>
      <c r="G408" s="130">
        <f>G407*0.8</f>
        <v>19200</v>
      </c>
      <c r="H408" s="130">
        <f>H407*0.7</f>
        <v>25200</v>
      </c>
      <c r="I408" s="198">
        <f>I407*0.6</f>
        <v>48600</v>
      </c>
      <c r="J408" s="198">
        <f>J407*0.6</f>
        <v>67680</v>
      </c>
      <c r="K408" s="226">
        <f>K407*0.6</f>
        <v>87120</v>
      </c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 spans="1:26" ht="18" x14ac:dyDescent="0.25">
      <c r="A409" s="88"/>
      <c r="B409" s="133"/>
      <c r="C409" s="134" t="s">
        <v>182</v>
      </c>
      <c r="D409" s="135">
        <f t="shared" ref="D409:G409" si="158">D403*9</f>
        <v>7210.08</v>
      </c>
      <c r="E409" s="136">
        <f t="shared" si="158"/>
        <v>14400</v>
      </c>
      <c r="F409" s="136">
        <f t="shared" si="158"/>
        <v>21600</v>
      </c>
      <c r="G409" s="136">
        <f t="shared" si="158"/>
        <v>36000</v>
      </c>
      <c r="H409" s="136">
        <f>H403*9</f>
        <v>54000</v>
      </c>
      <c r="I409" s="136">
        <f t="shared" ref="I409:K409" si="159">I403*9</f>
        <v>121500</v>
      </c>
      <c r="J409" s="136">
        <f t="shared" si="159"/>
        <v>169200</v>
      </c>
      <c r="K409" s="137">
        <f t="shared" si="159"/>
        <v>217800</v>
      </c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 spans="1:26" ht="12" customHeight="1" x14ac:dyDescent="0.25">
      <c r="A410" s="88"/>
      <c r="B410" s="140" t="s">
        <v>183</v>
      </c>
      <c r="C410" s="141"/>
      <c r="D410" s="142"/>
      <c r="E410" s="143">
        <f>E409*0.75</f>
        <v>10800</v>
      </c>
      <c r="F410" s="143">
        <f>F409*0.75</f>
        <v>16200</v>
      </c>
      <c r="G410" s="143">
        <f>G409*0.75</f>
        <v>27000</v>
      </c>
      <c r="H410" s="143">
        <f>H409*0.65</f>
        <v>35100</v>
      </c>
      <c r="I410" s="201">
        <f>I409*0.6</f>
        <v>72900</v>
      </c>
      <c r="J410" s="201">
        <f>J409*0.6</f>
        <v>101520</v>
      </c>
      <c r="K410" s="227">
        <f>K409*0.6</f>
        <v>130680</v>
      </c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 spans="1:26" ht="19" x14ac:dyDescent="0.25">
      <c r="A411" s="88"/>
      <c r="B411" s="146"/>
      <c r="C411" s="147" t="s">
        <v>184</v>
      </c>
      <c r="D411" s="148">
        <f t="shared" ref="D411:G411" si="160">D403*12</f>
        <v>9613.44</v>
      </c>
      <c r="E411" s="149">
        <f t="shared" si="160"/>
        <v>19200</v>
      </c>
      <c r="F411" s="149">
        <f t="shared" si="160"/>
        <v>28800</v>
      </c>
      <c r="G411" s="149">
        <f t="shared" si="160"/>
        <v>48000</v>
      </c>
      <c r="H411" s="149">
        <f>H403*12</f>
        <v>72000</v>
      </c>
      <c r="I411" s="149">
        <f t="shared" ref="I411:K411" si="161">I403*12</f>
        <v>162000</v>
      </c>
      <c r="J411" s="149">
        <f t="shared" si="161"/>
        <v>225600</v>
      </c>
      <c r="K411" s="150">
        <f t="shared" si="161"/>
        <v>290400</v>
      </c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27"/>
    </row>
    <row r="412" spans="1:26" ht="19" x14ac:dyDescent="0.25">
      <c r="A412" s="88"/>
      <c r="B412" s="140" t="s">
        <v>185</v>
      </c>
      <c r="C412" s="123"/>
      <c r="D412" s="124"/>
      <c r="E412" s="125">
        <f t="shared" ref="E412" si="162">E411*0.7</f>
        <v>13440</v>
      </c>
      <c r="F412" s="125">
        <f>F411*0.7</f>
        <v>20160</v>
      </c>
      <c r="G412" s="125">
        <f t="shared" ref="G412" si="163">G411*0.7</f>
        <v>33600</v>
      </c>
      <c r="H412" s="125">
        <f>H411*0.6</f>
        <v>43200</v>
      </c>
      <c r="I412" s="195">
        <f>I411*0.6</f>
        <v>97200</v>
      </c>
      <c r="J412" s="195">
        <f>J411*0.6</f>
        <v>135360</v>
      </c>
      <c r="K412" s="225">
        <f>K411*0.6</f>
        <v>174240</v>
      </c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 spans="1:26" ht="19" hidden="1" x14ac:dyDescent="0.25">
      <c r="A413" s="88"/>
      <c r="B413" s="172" t="s">
        <v>309</v>
      </c>
      <c r="C413" s="356" t="s">
        <v>167</v>
      </c>
      <c r="D413" s="110" t="s">
        <v>120</v>
      </c>
      <c r="E413" s="110" t="s">
        <v>118</v>
      </c>
      <c r="F413" s="111" t="s">
        <v>52</v>
      </c>
      <c r="G413" s="111" t="s">
        <v>53</v>
      </c>
      <c r="H413" s="111" t="s">
        <v>54</v>
      </c>
      <c r="I413" s="111" t="s">
        <v>55</v>
      </c>
      <c r="J413" s="110" t="s">
        <v>56</v>
      </c>
      <c r="K413" s="151" t="s">
        <v>57</v>
      </c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 spans="1:26" ht="19" hidden="1" x14ac:dyDescent="0.25">
      <c r="A414" s="88"/>
      <c r="B414" s="161"/>
      <c r="C414" s="357"/>
      <c r="D414" s="110" t="s">
        <v>88</v>
      </c>
      <c r="E414" s="111" t="s">
        <v>187</v>
      </c>
      <c r="F414" s="111" t="s">
        <v>89</v>
      </c>
      <c r="G414" s="111" t="s">
        <v>188</v>
      </c>
      <c r="H414" s="111" t="s">
        <v>91</v>
      </c>
      <c r="I414" s="110" t="s">
        <v>92</v>
      </c>
      <c r="J414" s="110" t="s">
        <v>93</v>
      </c>
      <c r="K414" s="151" t="s">
        <v>189</v>
      </c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 spans="1:26" ht="19" hidden="1" x14ac:dyDescent="0.25">
      <c r="A415" s="88"/>
      <c r="B415" s="161"/>
      <c r="C415" s="99" t="s">
        <v>176</v>
      </c>
      <c r="D415" s="99"/>
      <c r="E415" s="100"/>
      <c r="F415" s="100"/>
      <c r="G415" s="100"/>
      <c r="H415" s="100"/>
      <c r="I415" s="99"/>
      <c r="J415" s="99"/>
      <c r="K415" s="152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 spans="1:26" ht="19" hidden="1" x14ac:dyDescent="0.25">
      <c r="A416" s="88"/>
      <c r="B416" s="161"/>
      <c r="C416" s="99" t="s">
        <v>178</v>
      </c>
      <c r="D416" s="99"/>
      <c r="E416" s="100"/>
      <c r="F416" s="100"/>
      <c r="G416" s="100"/>
      <c r="H416" s="100"/>
      <c r="I416" s="99"/>
      <c r="J416" s="99"/>
      <c r="K416" s="152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 spans="1:26" ht="19" hidden="1" x14ac:dyDescent="0.25">
      <c r="A417" s="88"/>
      <c r="B417" s="161"/>
      <c r="C417" s="99" t="s">
        <v>180</v>
      </c>
      <c r="D417" s="99"/>
      <c r="E417" s="100"/>
      <c r="F417" s="100"/>
      <c r="G417" s="100"/>
      <c r="H417" s="100"/>
      <c r="I417" s="99"/>
      <c r="J417" s="99"/>
      <c r="K417" s="152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 spans="1:26" ht="19" hidden="1" x14ac:dyDescent="0.25">
      <c r="A418" s="88"/>
      <c r="B418" s="161"/>
      <c r="C418" s="99" t="s">
        <v>184</v>
      </c>
      <c r="D418" s="99"/>
      <c r="E418" s="100"/>
      <c r="F418" s="100"/>
      <c r="G418" s="154"/>
      <c r="H418" s="154"/>
      <c r="I418" s="99"/>
      <c r="J418" s="99"/>
      <c r="K418" s="152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 spans="1:26" ht="19" hidden="1" x14ac:dyDescent="0.25">
      <c r="A419" s="88"/>
      <c r="B419" s="172" t="s">
        <v>310</v>
      </c>
      <c r="C419" s="356" t="s">
        <v>167</v>
      </c>
      <c r="D419" s="110" t="s">
        <v>120</v>
      </c>
      <c r="E419" s="110" t="s">
        <v>118</v>
      </c>
      <c r="F419" s="111" t="s">
        <v>52</v>
      </c>
      <c r="G419" s="111" t="s">
        <v>53</v>
      </c>
      <c r="H419" s="111" t="s">
        <v>54</v>
      </c>
      <c r="I419" s="111" t="s">
        <v>55</v>
      </c>
      <c r="J419" s="110" t="s">
        <v>56</v>
      </c>
      <c r="K419" s="151" t="s">
        <v>57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 spans="1:26" ht="19" hidden="1" x14ac:dyDescent="0.25">
      <c r="A420" s="88"/>
      <c r="B420" s="161"/>
      <c r="C420" s="357"/>
      <c r="D420" s="110" t="s">
        <v>88</v>
      </c>
      <c r="E420" s="111" t="s">
        <v>187</v>
      </c>
      <c r="F420" s="111" t="s">
        <v>89</v>
      </c>
      <c r="G420" s="111" t="s">
        <v>188</v>
      </c>
      <c r="H420" s="111" t="s">
        <v>91</v>
      </c>
      <c r="I420" s="110" t="s">
        <v>92</v>
      </c>
      <c r="J420" s="110" t="s">
        <v>93</v>
      </c>
      <c r="K420" s="151" t="s">
        <v>189</v>
      </c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 spans="1:26" ht="19" hidden="1" x14ac:dyDescent="0.25">
      <c r="A421" s="88"/>
      <c r="B421" s="161"/>
      <c r="C421" s="99" t="s">
        <v>176</v>
      </c>
      <c r="D421" s="99"/>
      <c r="E421" s="100"/>
      <c r="F421" s="100"/>
      <c r="G421" s="100"/>
      <c r="H421" s="100"/>
      <c r="I421" s="99"/>
      <c r="J421" s="99"/>
      <c r="K421" s="152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 spans="1:26" ht="19" hidden="1" x14ac:dyDescent="0.25">
      <c r="A422" s="88"/>
      <c r="B422" s="161"/>
      <c r="C422" s="99" t="s">
        <v>178</v>
      </c>
      <c r="D422" s="99"/>
      <c r="E422" s="100"/>
      <c r="F422" s="100"/>
      <c r="G422" s="100"/>
      <c r="H422" s="100"/>
      <c r="I422" s="99"/>
      <c r="J422" s="99"/>
      <c r="K422" s="152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 spans="1:26" ht="19" hidden="1" x14ac:dyDescent="0.25">
      <c r="A423" s="88"/>
      <c r="B423" s="161"/>
      <c r="C423" s="99" t="s">
        <v>180</v>
      </c>
      <c r="D423" s="99"/>
      <c r="E423" s="100"/>
      <c r="F423" s="100"/>
      <c r="G423" s="100"/>
      <c r="H423" s="100"/>
      <c r="I423" s="99"/>
      <c r="J423" s="99"/>
      <c r="K423" s="152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 spans="1:26" ht="19" hidden="1" x14ac:dyDescent="0.25">
      <c r="A424" s="88"/>
      <c r="B424" s="161"/>
      <c r="C424" s="99" t="s">
        <v>184</v>
      </c>
      <c r="D424" s="99"/>
      <c r="E424" s="100"/>
      <c r="F424" s="100"/>
      <c r="G424" s="154"/>
      <c r="H424" s="154"/>
      <c r="I424" s="99"/>
      <c r="J424" s="99"/>
      <c r="K424" s="152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 spans="1:26" ht="19" x14ac:dyDescent="0.25">
      <c r="A425" s="88"/>
      <c r="B425" s="108" t="s">
        <v>311</v>
      </c>
      <c r="C425" s="356" t="s">
        <v>167</v>
      </c>
      <c r="D425" s="110" t="s">
        <v>120</v>
      </c>
      <c r="E425" s="110" t="s">
        <v>118</v>
      </c>
      <c r="F425" s="111" t="s">
        <v>52</v>
      </c>
      <c r="G425" s="111" t="s">
        <v>53</v>
      </c>
      <c r="H425" s="111" t="s">
        <v>54</v>
      </c>
      <c r="I425" s="111" t="s">
        <v>55</v>
      </c>
      <c r="J425" s="110" t="s">
        <v>56</v>
      </c>
      <c r="K425" s="151" t="s">
        <v>57</v>
      </c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 spans="1:26" ht="19" x14ac:dyDescent="0.25">
      <c r="A426" s="88"/>
      <c r="B426" s="161"/>
      <c r="C426" s="357"/>
      <c r="D426" s="110" t="s">
        <v>88</v>
      </c>
      <c r="E426" s="111" t="s">
        <v>187</v>
      </c>
      <c r="F426" s="111" t="s">
        <v>89</v>
      </c>
      <c r="G426" s="111" t="s">
        <v>304</v>
      </c>
      <c r="H426" s="111" t="s">
        <v>91</v>
      </c>
      <c r="I426" s="110" t="s">
        <v>305</v>
      </c>
      <c r="J426" s="110" t="s">
        <v>306</v>
      </c>
      <c r="K426" s="151" t="s">
        <v>307</v>
      </c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 spans="1:26" ht="19" x14ac:dyDescent="0.25">
      <c r="A427" s="91"/>
      <c r="B427" s="112"/>
      <c r="C427" s="99" t="s">
        <v>176</v>
      </c>
      <c r="D427" s="99" t="s">
        <v>114</v>
      </c>
      <c r="E427" s="99" t="s">
        <v>114</v>
      </c>
      <c r="F427" s="99" t="s">
        <v>114</v>
      </c>
      <c r="G427" s="99" t="s">
        <v>114</v>
      </c>
      <c r="H427" s="114">
        <v>6000</v>
      </c>
      <c r="I427" s="115">
        <v>13500</v>
      </c>
      <c r="J427" s="115">
        <v>18800</v>
      </c>
      <c r="K427" s="155">
        <v>24200</v>
      </c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 spans="1:26" ht="19" x14ac:dyDescent="0.25">
      <c r="A428" s="91"/>
      <c r="B428" s="112"/>
      <c r="C428" s="99" t="s">
        <v>177</v>
      </c>
      <c r="D428" s="228"/>
      <c r="E428" s="117"/>
      <c r="F428" s="117"/>
      <c r="G428" s="117"/>
      <c r="H428" s="117">
        <f>H427*0.9</f>
        <v>5400</v>
      </c>
      <c r="I428" s="117">
        <f>I427*0.6</f>
        <v>8100</v>
      </c>
      <c r="J428" s="117">
        <f t="shared" ref="J428:K428" si="164">J427*0.6</f>
        <v>11280</v>
      </c>
      <c r="K428" s="117">
        <f t="shared" si="164"/>
        <v>14520</v>
      </c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 spans="1:26" ht="19" x14ac:dyDescent="0.25">
      <c r="A429" s="91"/>
      <c r="B429" s="157"/>
      <c r="C429" s="99" t="s">
        <v>178</v>
      </c>
      <c r="D429" s="99" t="s">
        <v>114</v>
      </c>
      <c r="E429" s="99" t="s">
        <v>114</v>
      </c>
      <c r="F429" s="99" t="s">
        <v>114</v>
      </c>
      <c r="G429" s="99" t="s">
        <v>114</v>
      </c>
      <c r="H429" s="120">
        <f>H427*3</f>
        <v>18000</v>
      </c>
      <c r="I429" s="120">
        <f t="shared" ref="I429:K429" si="165">I427*3</f>
        <v>40500</v>
      </c>
      <c r="J429" s="120">
        <f t="shared" si="165"/>
        <v>56400</v>
      </c>
      <c r="K429" s="121">
        <f t="shared" si="165"/>
        <v>72600</v>
      </c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 spans="1:26" ht="19" x14ac:dyDescent="0.25">
      <c r="A430" s="91"/>
      <c r="B430" s="140" t="s">
        <v>192</v>
      </c>
      <c r="C430" s="123"/>
      <c r="D430" s="158" t="s">
        <v>114</v>
      </c>
      <c r="E430" s="158" t="s">
        <v>114</v>
      </c>
      <c r="F430" s="158" t="s">
        <v>114</v>
      </c>
      <c r="G430" s="158" t="s">
        <v>114</v>
      </c>
      <c r="H430" s="125">
        <f>H429*0.75</f>
        <v>13500</v>
      </c>
      <c r="I430" s="125">
        <f>I429*0.6</f>
        <v>24300</v>
      </c>
      <c r="J430" s="125">
        <f t="shared" ref="J430:K430" si="166">J429*0.6</f>
        <v>33840</v>
      </c>
      <c r="K430" s="125">
        <f t="shared" si="166"/>
        <v>43560</v>
      </c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27"/>
    </row>
    <row r="431" spans="1:26" ht="19" x14ac:dyDescent="0.25">
      <c r="A431" s="91"/>
      <c r="B431" s="157" t="s">
        <v>193</v>
      </c>
      <c r="C431" s="99" t="s">
        <v>180</v>
      </c>
      <c r="D431" s="159" t="s">
        <v>114</v>
      </c>
      <c r="E431" s="159" t="s">
        <v>114</v>
      </c>
      <c r="F431" s="159" t="s">
        <v>114</v>
      </c>
      <c r="G431" s="159" t="s">
        <v>114</v>
      </c>
      <c r="H431" s="120">
        <f>H427*6</f>
        <v>36000</v>
      </c>
      <c r="I431" s="120">
        <f t="shared" ref="I431:K431" si="167">I427*6</f>
        <v>81000</v>
      </c>
      <c r="J431" s="120">
        <f t="shared" si="167"/>
        <v>112800</v>
      </c>
      <c r="K431" s="121">
        <f t="shared" si="167"/>
        <v>145200</v>
      </c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 spans="1:26" ht="19" x14ac:dyDescent="0.25">
      <c r="A432" s="91"/>
      <c r="B432" s="140" t="s">
        <v>194</v>
      </c>
      <c r="C432" s="123"/>
      <c r="D432" s="160"/>
      <c r="E432" s="160"/>
      <c r="F432" s="160"/>
      <c r="G432" s="160"/>
      <c r="H432" s="130">
        <f>H431*0.7</f>
        <v>25200</v>
      </c>
      <c r="I432" s="130">
        <f>I431*0.6</f>
        <v>48600</v>
      </c>
      <c r="J432" s="130">
        <f t="shared" ref="J432:K432" si="168">J431*0.6</f>
        <v>67680</v>
      </c>
      <c r="K432" s="130">
        <f t="shared" si="168"/>
        <v>87120</v>
      </c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 spans="1:26" ht="19" x14ac:dyDescent="0.25">
      <c r="A433" s="91"/>
      <c r="B433" s="157" t="s">
        <v>193</v>
      </c>
      <c r="C433" s="134" t="s">
        <v>182</v>
      </c>
      <c r="D433" s="147"/>
      <c r="E433" s="147"/>
      <c r="F433" s="147"/>
      <c r="G433" s="147"/>
      <c r="H433" s="136">
        <f>H427*9</f>
        <v>54000</v>
      </c>
      <c r="I433" s="136">
        <f t="shared" ref="I433:K433" si="169">I427*9</f>
        <v>121500</v>
      </c>
      <c r="J433" s="136">
        <f t="shared" si="169"/>
        <v>169200</v>
      </c>
      <c r="K433" s="137">
        <f t="shared" si="169"/>
        <v>217800</v>
      </c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 spans="1:26" ht="19" x14ac:dyDescent="0.25">
      <c r="A434" s="91"/>
      <c r="B434" s="140" t="s">
        <v>195</v>
      </c>
      <c r="C434" s="141"/>
      <c r="D434" s="158" t="s">
        <v>114</v>
      </c>
      <c r="E434" s="158" t="s">
        <v>114</v>
      </c>
      <c r="F434" s="158" t="s">
        <v>114</v>
      </c>
      <c r="G434" s="158" t="s">
        <v>114</v>
      </c>
      <c r="H434" s="143">
        <f>H433*0.65</f>
        <v>35100</v>
      </c>
      <c r="I434" s="143">
        <f>I433*0.6</f>
        <v>72900</v>
      </c>
      <c r="J434" s="143">
        <f t="shared" ref="J434:K434" si="170">J433*0.6</f>
        <v>101520</v>
      </c>
      <c r="K434" s="143">
        <f t="shared" si="170"/>
        <v>130680</v>
      </c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27"/>
    </row>
    <row r="435" spans="1:26" ht="19" x14ac:dyDescent="0.25">
      <c r="A435" s="91"/>
      <c r="B435" s="157" t="s">
        <v>193</v>
      </c>
      <c r="C435" s="147" t="s">
        <v>184</v>
      </c>
      <c r="D435" s="99" t="s">
        <v>114</v>
      </c>
      <c r="E435" s="99" t="s">
        <v>114</v>
      </c>
      <c r="F435" s="99" t="s">
        <v>114</v>
      </c>
      <c r="G435" s="99" t="s">
        <v>114</v>
      </c>
      <c r="H435" s="149">
        <f>H427*12</f>
        <v>72000</v>
      </c>
      <c r="I435" s="149">
        <f t="shared" ref="I435:K435" si="171">I427*12</f>
        <v>162000</v>
      </c>
      <c r="J435" s="149">
        <f t="shared" si="171"/>
        <v>225600</v>
      </c>
      <c r="K435" s="150">
        <f t="shared" si="171"/>
        <v>290400</v>
      </c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 spans="1:26" ht="19" x14ac:dyDescent="0.25">
      <c r="A436" s="91"/>
      <c r="B436" s="140" t="s">
        <v>196</v>
      </c>
      <c r="C436" s="123"/>
      <c r="D436" s="158" t="s">
        <v>114</v>
      </c>
      <c r="E436" s="158" t="s">
        <v>114</v>
      </c>
      <c r="F436" s="158" t="s">
        <v>114</v>
      </c>
      <c r="G436" s="158" t="s">
        <v>114</v>
      </c>
      <c r="H436" s="125">
        <f>H435*0.6</f>
        <v>43200</v>
      </c>
      <c r="I436" s="125">
        <f>I435*0.6</f>
        <v>97200</v>
      </c>
      <c r="J436" s="125">
        <f t="shared" ref="J436:K436" si="172">J435*0.6</f>
        <v>135360</v>
      </c>
      <c r="K436" s="126">
        <f t="shared" si="172"/>
        <v>174240</v>
      </c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27"/>
    </row>
    <row r="437" spans="1:26" ht="19" hidden="1" x14ac:dyDescent="0.25">
      <c r="A437" s="88"/>
      <c r="B437" s="172" t="s">
        <v>312</v>
      </c>
      <c r="C437" s="356" t="s">
        <v>167</v>
      </c>
      <c r="D437" s="110" t="s">
        <v>120</v>
      </c>
      <c r="E437" s="110" t="s">
        <v>118</v>
      </c>
      <c r="F437" s="111" t="s">
        <v>52</v>
      </c>
      <c r="G437" s="111" t="s">
        <v>53</v>
      </c>
      <c r="H437" s="111" t="s">
        <v>54</v>
      </c>
      <c r="I437" s="111" t="s">
        <v>55</v>
      </c>
      <c r="J437" s="110" t="s">
        <v>56</v>
      </c>
      <c r="K437" s="110" t="s">
        <v>57</v>
      </c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</row>
    <row r="438" spans="1:26" ht="19" hidden="1" x14ac:dyDescent="0.25">
      <c r="A438" s="88"/>
      <c r="B438" s="161"/>
      <c r="C438" s="357"/>
      <c r="D438" s="110" t="s">
        <v>88</v>
      </c>
      <c r="E438" s="111" t="s">
        <v>187</v>
      </c>
      <c r="F438" s="111" t="s">
        <v>89</v>
      </c>
      <c r="G438" s="111" t="s">
        <v>188</v>
      </c>
      <c r="H438" s="111" t="s">
        <v>91</v>
      </c>
      <c r="I438" s="110" t="s">
        <v>92</v>
      </c>
      <c r="J438" s="110" t="s">
        <v>93</v>
      </c>
      <c r="K438" s="110" t="s">
        <v>189</v>
      </c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 spans="1:26" ht="19" hidden="1" x14ac:dyDescent="0.25">
      <c r="A439" s="88"/>
      <c r="B439" s="161"/>
      <c r="C439" s="99" t="s">
        <v>176</v>
      </c>
      <c r="D439" s="99"/>
      <c r="E439" s="100"/>
      <c r="F439" s="100"/>
      <c r="G439" s="100"/>
      <c r="H439" s="100"/>
      <c r="I439" s="99"/>
      <c r="J439" s="99"/>
      <c r="K439" s="99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 spans="1:26" ht="19" hidden="1" x14ac:dyDescent="0.25">
      <c r="A440" s="88"/>
      <c r="B440" s="161"/>
      <c r="C440" s="99" t="s">
        <v>178</v>
      </c>
      <c r="D440" s="99"/>
      <c r="E440" s="100"/>
      <c r="F440" s="100"/>
      <c r="G440" s="100"/>
      <c r="H440" s="100"/>
      <c r="I440" s="99"/>
      <c r="J440" s="99"/>
      <c r="K440" s="99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 spans="1:26" ht="19" hidden="1" x14ac:dyDescent="0.25">
      <c r="A441" s="88"/>
      <c r="B441" s="161"/>
      <c r="C441" s="99" t="s">
        <v>180</v>
      </c>
      <c r="D441" s="99"/>
      <c r="E441" s="100"/>
      <c r="F441" s="100"/>
      <c r="G441" s="100"/>
      <c r="H441" s="100"/>
      <c r="I441" s="99"/>
      <c r="J441" s="99"/>
      <c r="K441" s="99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 spans="1:26" ht="19" hidden="1" x14ac:dyDescent="0.25">
      <c r="A442" s="88"/>
      <c r="B442" s="161"/>
      <c r="C442" s="99" t="s">
        <v>184</v>
      </c>
      <c r="D442" s="99"/>
      <c r="E442" s="100"/>
      <c r="F442" s="100"/>
      <c r="G442" s="154"/>
      <c r="H442" s="154"/>
      <c r="I442" s="99"/>
      <c r="J442" s="99"/>
      <c r="K442" s="99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 spans="1:26" ht="19" hidden="1" x14ac:dyDescent="0.25">
      <c r="A443" s="88"/>
      <c r="B443" s="172" t="s">
        <v>309</v>
      </c>
      <c r="C443" s="356" t="s">
        <v>167</v>
      </c>
      <c r="D443" s="110" t="s">
        <v>120</v>
      </c>
      <c r="E443" s="110" t="s">
        <v>118</v>
      </c>
      <c r="F443" s="111" t="s">
        <v>52</v>
      </c>
      <c r="G443" s="111" t="s">
        <v>53</v>
      </c>
      <c r="H443" s="111" t="s">
        <v>54</v>
      </c>
      <c r="I443" s="111" t="s">
        <v>55</v>
      </c>
      <c r="J443" s="110" t="s">
        <v>56</v>
      </c>
      <c r="K443" s="110" t="s">
        <v>57</v>
      </c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 spans="1:26" ht="19" hidden="1" x14ac:dyDescent="0.25">
      <c r="A444" s="88"/>
      <c r="B444" s="161"/>
      <c r="C444" s="357"/>
      <c r="D444" s="110" t="s">
        <v>88</v>
      </c>
      <c r="E444" s="111" t="s">
        <v>187</v>
      </c>
      <c r="F444" s="111" t="s">
        <v>89</v>
      </c>
      <c r="G444" s="111" t="s">
        <v>188</v>
      </c>
      <c r="H444" s="111" t="s">
        <v>91</v>
      </c>
      <c r="I444" s="110" t="s">
        <v>92</v>
      </c>
      <c r="J444" s="110" t="s">
        <v>93</v>
      </c>
      <c r="K444" s="110" t="s">
        <v>189</v>
      </c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 spans="1:26" ht="19" hidden="1" x14ac:dyDescent="0.25">
      <c r="A445" s="88"/>
      <c r="B445" s="161"/>
      <c r="C445" s="99" t="s">
        <v>176</v>
      </c>
      <c r="D445" s="99"/>
      <c r="E445" s="100"/>
      <c r="F445" s="100"/>
      <c r="G445" s="100"/>
      <c r="H445" s="100"/>
      <c r="I445" s="99"/>
      <c r="J445" s="99"/>
      <c r="K445" s="99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 spans="1:26" ht="19" hidden="1" x14ac:dyDescent="0.25">
      <c r="A446" s="88"/>
      <c r="B446" s="161"/>
      <c r="C446" s="99" t="s">
        <v>178</v>
      </c>
      <c r="D446" s="99"/>
      <c r="E446" s="100"/>
      <c r="F446" s="100"/>
      <c r="G446" s="100"/>
      <c r="H446" s="100"/>
      <c r="I446" s="99"/>
      <c r="J446" s="99"/>
      <c r="K446" s="99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 spans="1:26" ht="19" hidden="1" x14ac:dyDescent="0.25">
      <c r="A447" s="88"/>
      <c r="B447" s="161"/>
      <c r="C447" s="99" t="s">
        <v>180</v>
      </c>
      <c r="D447" s="99"/>
      <c r="E447" s="100"/>
      <c r="F447" s="100"/>
      <c r="G447" s="100"/>
      <c r="H447" s="100"/>
      <c r="I447" s="99"/>
      <c r="J447" s="99"/>
      <c r="K447" s="99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 spans="1:26" ht="19" hidden="1" x14ac:dyDescent="0.25">
      <c r="A448" s="88"/>
      <c r="B448" s="161"/>
      <c r="C448" s="99" t="s">
        <v>184</v>
      </c>
      <c r="D448" s="99"/>
      <c r="E448" s="100"/>
      <c r="F448" s="100"/>
      <c r="G448" s="154"/>
      <c r="H448" s="154"/>
      <c r="I448" s="99"/>
      <c r="J448" s="99"/>
      <c r="K448" s="99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 spans="1:26" ht="19" hidden="1" x14ac:dyDescent="0.25">
      <c r="A449" s="88"/>
      <c r="B449" s="172" t="s">
        <v>313</v>
      </c>
      <c r="C449" s="356" t="s">
        <v>167</v>
      </c>
      <c r="D449" s="110" t="s">
        <v>120</v>
      </c>
      <c r="E449" s="110" t="s">
        <v>118</v>
      </c>
      <c r="F449" s="111" t="s">
        <v>52</v>
      </c>
      <c r="G449" s="111" t="s">
        <v>53</v>
      </c>
      <c r="H449" s="111" t="s">
        <v>54</v>
      </c>
      <c r="I449" s="111" t="s">
        <v>55</v>
      </c>
      <c r="J449" s="110" t="s">
        <v>56</v>
      </c>
      <c r="K449" s="110" t="s">
        <v>57</v>
      </c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 spans="1:26" ht="19" hidden="1" x14ac:dyDescent="0.25">
      <c r="A450" s="88"/>
      <c r="B450" s="161"/>
      <c r="C450" s="357"/>
      <c r="D450" s="110" t="s">
        <v>88</v>
      </c>
      <c r="E450" s="111" t="s">
        <v>187</v>
      </c>
      <c r="F450" s="111" t="s">
        <v>89</v>
      </c>
      <c r="G450" s="111" t="s">
        <v>188</v>
      </c>
      <c r="H450" s="111" t="s">
        <v>91</v>
      </c>
      <c r="I450" s="110" t="s">
        <v>92</v>
      </c>
      <c r="J450" s="110" t="s">
        <v>93</v>
      </c>
      <c r="K450" s="110" t="s">
        <v>189</v>
      </c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 spans="1:26" ht="19" hidden="1" x14ac:dyDescent="0.25">
      <c r="A451" s="88"/>
      <c r="B451" s="161"/>
      <c r="C451" s="99" t="s">
        <v>176</v>
      </c>
      <c r="D451" s="99"/>
      <c r="E451" s="100"/>
      <c r="F451" s="100"/>
      <c r="G451" s="100"/>
      <c r="H451" s="100"/>
      <c r="I451" s="99"/>
      <c r="J451" s="99"/>
      <c r="K451" s="99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 spans="1:26" ht="19" hidden="1" x14ac:dyDescent="0.25">
      <c r="A452" s="88"/>
      <c r="B452" s="161"/>
      <c r="C452" s="99" t="s">
        <v>178</v>
      </c>
      <c r="D452" s="99"/>
      <c r="E452" s="100"/>
      <c r="F452" s="100"/>
      <c r="G452" s="100"/>
      <c r="H452" s="100"/>
      <c r="I452" s="99"/>
      <c r="J452" s="99"/>
      <c r="K452" s="99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 spans="1:26" ht="19" hidden="1" x14ac:dyDescent="0.25">
      <c r="A453" s="88"/>
      <c r="B453" s="161"/>
      <c r="C453" s="99" t="s">
        <v>180</v>
      </c>
      <c r="D453" s="99"/>
      <c r="E453" s="100"/>
      <c r="F453" s="100"/>
      <c r="G453" s="100"/>
      <c r="H453" s="100"/>
      <c r="I453" s="99"/>
      <c r="J453" s="99"/>
      <c r="K453" s="99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 spans="1:26" ht="19" hidden="1" x14ac:dyDescent="0.25">
      <c r="A454" s="88"/>
      <c r="B454" s="161"/>
      <c r="C454" s="159" t="s">
        <v>184</v>
      </c>
      <c r="D454" s="99"/>
      <c r="E454" s="100"/>
      <c r="F454" s="100"/>
      <c r="G454" s="154"/>
      <c r="H454" s="154"/>
      <c r="I454" s="99"/>
      <c r="J454" s="99"/>
      <c r="K454" s="99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89"/>
      <c r="W454" s="89"/>
      <c r="X454" s="89"/>
      <c r="Y454" s="89"/>
    </row>
    <row r="455" spans="1:26" ht="19" x14ac:dyDescent="0.25">
      <c r="A455" s="88"/>
      <c r="B455" s="108" t="s">
        <v>314</v>
      </c>
      <c r="C455" s="356" t="s">
        <v>167</v>
      </c>
      <c r="D455" s="110" t="s">
        <v>315</v>
      </c>
      <c r="E455" s="110" t="s">
        <v>120</v>
      </c>
      <c r="F455" s="110" t="s">
        <v>251</v>
      </c>
      <c r="G455" s="110" t="s">
        <v>118</v>
      </c>
      <c r="H455" s="111" t="s">
        <v>252</v>
      </c>
      <c r="I455" s="111" t="s">
        <v>52</v>
      </c>
      <c r="J455" s="111" t="s">
        <v>253</v>
      </c>
      <c r="K455" s="111" t="s">
        <v>53</v>
      </c>
      <c r="L455" s="111" t="s">
        <v>254</v>
      </c>
      <c r="M455" s="111" t="s">
        <v>54</v>
      </c>
      <c r="N455" s="111" t="s">
        <v>255</v>
      </c>
      <c r="O455" s="110" t="s">
        <v>55</v>
      </c>
      <c r="P455" s="110" t="s">
        <v>256</v>
      </c>
      <c r="Q455" s="110" t="s">
        <v>56</v>
      </c>
      <c r="R455" s="110" t="s">
        <v>316</v>
      </c>
      <c r="S455" s="151" t="s">
        <v>57</v>
      </c>
      <c r="T455" s="104"/>
      <c r="U455" s="104"/>
      <c r="V455" s="104"/>
      <c r="W455" s="104"/>
      <c r="X455" s="104"/>
      <c r="Y455" s="104"/>
      <c r="Z455" s="104"/>
    </row>
    <row r="456" spans="1:26" ht="19" x14ac:dyDescent="0.25">
      <c r="A456" s="88"/>
      <c r="B456" s="174"/>
      <c r="C456" s="357"/>
      <c r="D456" s="110" t="s">
        <v>88</v>
      </c>
      <c r="E456" s="110" t="s">
        <v>88</v>
      </c>
      <c r="F456" s="111" t="s">
        <v>288</v>
      </c>
      <c r="G456" s="111" t="s">
        <v>288</v>
      </c>
      <c r="H456" s="111" t="s">
        <v>317</v>
      </c>
      <c r="I456" s="111" t="s">
        <v>317</v>
      </c>
      <c r="J456" s="111" t="s">
        <v>318</v>
      </c>
      <c r="K456" s="111" t="s">
        <v>318</v>
      </c>
      <c r="L456" s="111" t="s">
        <v>319</v>
      </c>
      <c r="M456" s="111" t="s">
        <v>319</v>
      </c>
      <c r="N456" s="110" t="s">
        <v>320</v>
      </c>
      <c r="O456" s="110" t="s">
        <v>320</v>
      </c>
      <c r="P456" s="110" t="s">
        <v>321</v>
      </c>
      <c r="Q456" s="110" t="s">
        <v>322</v>
      </c>
      <c r="R456" s="110" t="s">
        <v>323</v>
      </c>
      <c r="S456" s="151" t="s">
        <v>324</v>
      </c>
      <c r="T456" s="104"/>
      <c r="U456" s="104"/>
      <c r="V456" s="104"/>
      <c r="W456" s="104"/>
      <c r="X456" s="104"/>
      <c r="Y456" s="104"/>
      <c r="Z456" s="104"/>
    </row>
    <row r="457" spans="1:26" ht="19" x14ac:dyDescent="0.25">
      <c r="A457" s="88"/>
      <c r="B457" s="112"/>
      <c r="C457" s="99" t="s">
        <v>176</v>
      </c>
      <c r="D457" s="99">
        <v>614.21</v>
      </c>
      <c r="E457" s="99">
        <v>801.12</v>
      </c>
      <c r="F457" s="163">
        <v>1300</v>
      </c>
      <c r="G457" s="163">
        <v>1500</v>
      </c>
      <c r="H457" s="163">
        <v>2000</v>
      </c>
      <c r="I457" s="163">
        <v>2200</v>
      </c>
      <c r="J457" s="163">
        <v>3100</v>
      </c>
      <c r="K457" s="163">
        <v>3300</v>
      </c>
      <c r="L457" s="163">
        <v>5200</v>
      </c>
      <c r="M457" s="163">
        <v>6000</v>
      </c>
      <c r="N457" s="164">
        <v>15000</v>
      </c>
      <c r="O457" s="164">
        <v>17000</v>
      </c>
      <c r="P457" s="164">
        <v>24100</v>
      </c>
      <c r="Q457" s="164">
        <v>26500</v>
      </c>
      <c r="R457" s="164">
        <v>43900</v>
      </c>
      <c r="S457" s="165">
        <v>51200</v>
      </c>
      <c r="T457" s="104"/>
      <c r="U457" s="104"/>
      <c r="V457" s="104"/>
      <c r="W457" s="104"/>
      <c r="X457" s="104"/>
      <c r="Y457" s="104"/>
      <c r="Z457" s="104"/>
    </row>
    <row r="458" spans="1:26" ht="19" x14ac:dyDescent="0.25">
      <c r="A458" s="88"/>
      <c r="B458" s="112"/>
      <c r="C458" s="99" t="s">
        <v>177</v>
      </c>
      <c r="D458" s="228"/>
      <c r="E458" s="228"/>
      <c r="F458" s="214"/>
      <c r="G458" s="214"/>
      <c r="H458" s="214"/>
      <c r="I458" s="214"/>
      <c r="J458" s="214"/>
      <c r="K458" s="214"/>
      <c r="L458" s="117">
        <f>L457*0.9</f>
        <v>4680</v>
      </c>
      <c r="M458" s="117">
        <f t="shared" ref="M458:O458" si="173">M457*0.9</f>
        <v>5400</v>
      </c>
      <c r="N458" s="117">
        <f t="shared" si="173"/>
        <v>13500</v>
      </c>
      <c r="O458" s="117">
        <f t="shared" si="173"/>
        <v>15300</v>
      </c>
      <c r="P458" s="117">
        <f>P457*0.9</f>
        <v>21690</v>
      </c>
      <c r="Q458" s="117">
        <f t="shared" ref="Q458:S458" si="174">Q457*0.9</f>
        <v>23850</v>
      </c>
      <c r="R458" s="117">
        <f t="shared" si="174"/>
        <v>39510</v>
      </c>
      <c r="S458" s="156">
        <f t="shared" si="174"/>
        <v>46080</v>
      </c>
      <c r="T458" s="104"/>
      <c r="U458" s="104"/>
      <c r="V458" s="104"/>
      <c r="W458" s="104"/>
      <c r="X458" s="104"/>
      <c r="Y458" s="104"/>
      <c r="Z458" s="104"/>
    </row>
    <row r="459" spans="1:26" ht="19" x14ac:dyDescent="0.25">
      <c r="A459" s="88"/>
      <c r="B459" s="119"/>
      <c r="C459" s="99" t="s">
        <v>178</v>
      </c>
      <c r="D459" s="113">
        <f t="shared" ref="D459:K459" si="175">D457*3</f>
        <v>1842.63</v>
      </c>
      <c r="E459" s="113">
        <f t="shared" si="175"/>
        <v>2403.36</v>
      </c>
      <c r="F459" s="120">
        <f t="shared" si="175"/>
        <v>3900</v>
      </c>
      <c r="G459" s="120">
        <f t="shared" si="175"/>
        <v>4500</v>
      </c>
      <c r="H459" s="120">
        <f t="shared" si="175"/>
        <v>6000</v>
      </c>
      <c r="I459" s="120">
        <f t="shared" si="175"/>
        <v>6600</v>
      </c>
      <c r="J459" s="120">
        <f t="shared" si="175"/>
        <v>9300</v>
      </c>
      <c r="K459" s="120">
        <f t="shared" si="175"/>
        <v>9900</v>
      </c>
      <c r="L459" s="120">
        <f>L457*3</f>
        <v>15600</v>
      </c>
      <c r="M459" s="120">
        <f t="shared" ref="M459:O459" si="176">M457*3</f>
        <v>18000</v>
      </c>
      <c r="N459" s="120">
        <f t="shared" si="176"/>
        <v>45000</v>
      </c>
      <c r="O459" s="120">
        <f t="shared" si="176"/>
        <v>51000</v>
      </c>
      <c r="P459" s="120">
        <f>P457*3</f>
        <v>72300</v>
      </c>
      <c r="Q459" s="120">
        <f t="shared" ref="Q459:S459" si="177">Q457*3</f>
        <v>79500</v>
      </c>
      <c r="R459" s="120">
        <f t="shared" si="177"/>
        <v>131700</v>
      </c>
      <c r="S459" s="121">
        <f t="shared" si="177"/>
        <v>153600</v>
      </c>
      <c r="T459" s="104"/>
      <c r="U459" s="104"/>
      <c r="V459" s="104"/>
      <c r="W459" s="104"/>
      <c r="X459" s="104"/>
      <c r="Y459" s="104"/>
      <c r="Z459" s="104"/>
    </row>
    <row r="460" spans="1:26" ht="19" x14ac:dyDescent="0.25">
      <c r="A460" s="88"/>
      <c r="B460" s="122" t="s">
        <v>179</v>
      </c>
      <c r="C460" s="123"/>
      <c r="D460" s="124"/>
      <c r="E460" s="124"/>
      <c r="F460" s="125">
        <f t="shared" ref="F460:K460" si="178">F459*0.85</f>
        <v>3315</v>
      </c>
      <c r="G460" s="125">
        <f t="shared" si="178"/>
        <v>3825</v>
      </c>
      <c r="H460" s="125">
        <f t="shared" si="178"/>
        <v>5100</v>
      </c>
      <c r="I460" s="125">
        <f t="shared" si="178"/>
        <v>5610</v>
      </c>
      <c r="J460" s="125">
        <f t="shared" si="178"/>
        <v>7905</v>
      </c>
      <c r="K460" s="125">
        <f t="shared" si="178"/>
        <v>8415</v>
      </c>
      <c r="L460" s="125">
        <f>L459*0.75</f>
        <v>11700</v>
      </c>
      <c r="M460" s="125">
        <f t="shared" ref="M460:O460" si="179">M459*0.75</f>
        <v>13500</v>
      </c>
      <c r="N460" s="125">
        <f t="shared" si="179"/>
        <v>33750</v>
      </c>
      <c r="O460" s="125">
        <f t="shared" si="179"/>
        <v>38250</v>
      </c>
      <c r="P460" s="125">
        <f>P459*0.75</f>
        <v>54225</v>
      </c>
      <c r="Q460" s="125">
        <f t="shared" ref="Q460:S460" si="180">Q459*0.75</f>
        <v>59625</v>
      </c>
      <c r="R460" s="125">
        <f t="shared" si="180"/>
        <v>98775</v>
      </c>
      <c r="S460" s="126">
        <f t="shared" si="180"/>
        <v>115200</v>
      </c>
      <c r="T460" s="104"/>
      <c r="U460" s="104"/>
      <c r="V460" s="104"/>
      <c r="W460" s="104"/>
      <c r="X460" s="104"/>
      <c r="Y460" s="104"/>
      <c r="Z460" s="104"/>
    </row>
    <row r="461" spans="1:26" ht="19" x14ac:dyDescent="0.25">
      <c r="A461" s="88"/>
      <c r="B461" s="119"/>
      <c r="C461" s="99" t="s">
        <v>180</v>
      </c>
      <c r="D461" s="113">
        <f t="shared" ref="D461:K461" si="181">D457*6</f>
        <v>3685.26</v>
      </c>
      <c r="E461" s="113">
        <f t="shared" si="181"/>
        <v>4806.72</v>
      </c>
      <c r="F461" s="120">
        <f t="shared" si="181"/>
        <v>7800</v>
      </c>
      <c r="G461" s="120">
        <f t="shared" si="181"/>
        <v>9000</v>
      </c>
      <c r="H461" s="120">
        <f t="shared" si="181"/>
        <v>12000</v>
      </c>
      <c r="I461" s="120">
        <f t="shared" si="181"/>
        <v>13200</v>
      </c>
      <c r="J461" s="120">
        <f t="shared" si="181"/>
        <v>18600</v>
      </c>
      <c r="K461" s="120">
        <f t="shared" si="181"/>
        <v>19800</v>
      </c>
      <c r="L461" s="120">
        <f>L457*6</f>
        <v>31200</v>
      </c>
      <c r="M461" s="120">
        <f t="shared" ref="M461:O461" si="182">M457*6</f>
        <v>36000</v>
      </c>
      <c r="N461" s="120">
        <f t="shared" si="182"/>
        <v>90000</v>
      </c>
      <c r="O461" s="120">
        <f t="shared" si="182"/>
        <v>102000</v>
      </c>
      <c r="P461" s="120">
        <f>P457*6</f>
        <v>144600</v>
      </c>
      <c r="Q461" s="120">
        <f t="shared" ref="Q461:S461" si="183">Q457*6</f>
        <v>159000</v>
      </c>
      <c r="R461" s="120">
        <f t="shared" si="183"/>
        <v>263400</v>
      </c>
      <c r="S461" s="121">
        <f t="shared" si="183"/>
        <v>307200</v>
      </c>
      <c r="T461" s="104"/>
      <c r="U461" s="104"/>
      <c r="V461" s="104"/>
      <c r="W461" s="104"/>
      <c r="X461" s="104"/>
      <c r="Y461" s="104"/>
      <c r="Z461" s="104"/>
    </row>
    <row r="462" spans="1:26" ht="19" x14ac:dyDescent="0.25">
      <c r="A462" s="88"/>
      <c r="B462" s="122" t="s">
        <v>181</v>
      </c>
      <c r="C462" s="123"/>
      <c r="D462" s="129"/>
      <c r="E462" s="129"/>
      <c r="F462" s="130">
        <f t="shared" ref="F462:K462" si="184">F461*0.8</f>
        <v>6240</v>
      </c>
      <c r="G462" s="130">
        <f t="shared" si="184"/>
        <v>7200</v>
      </c>
      <c r="H462" s="130">
        <f t="shared" si="184"/>
        <v>9600</v>
      </c>
      <c r="I462" s="130">
        <f t="shared" si="184"/>
        <v>10560</v>
      </c>
      <c r="J462" s="130">
        <f t="shared" si="184"/>
        <v>14880</v>
      </c>
      <c r="K462" s="130">
        <f t="shared" si="184"/>
        <v>15840</v>
      </c>
      <c r="L462" s="130">
        <f>L461*0.7</f>
        <v>21840</v>
      </c>
      <c r="M462" s="130">
        <f t="shared" ref="M462:O462" si="185">M461*0.7</f>
        <v>25200</v>
      </c>
      <c r="N462" s="130">
        <f t="shared" si="185"/>
        <v>62999.999999999993</v>
      </c>
      <c r="O462" s="130">
        <f t="shared" si="185"/>
        <v>71400</v>
      </c>
      <c r="P462" s="130">
        <f>P461*0.7</f>
        <v>101220</v>
      </c>
      <c r="Q462" s="130">
        <f t="shared" ref="Q462:S462" si="186">Q461*0.7</f>
        <v>111300</v>
      </c>
      <c r="R462" s="130">
        <f t="shared" si="186"/>
        <v>184380</v>
      </c>
      <c r="S462" s="131">
        <f t="shared" si="186"/>
        <v>215040</v>
      </c>
      <c r="T462" s="104"/>
      <c r="U462" s="104"/>
      <c r="V462" s="104"/>
      <c r="W462" s="104"/>
      <c r="X462" s="104"/>
      <c r="Y462" s="104"/>
      <c r="Z462" s="104"/>
    </row>
    <row r="463" spans="1:26" ht="18" x14ac:dyDescent="0.25">
      <c r="A463" s="88"/>
      <c r="B463" s="133"/>
      <c r="C463" s="134" t="s">
        <v>182</v>
      </c>
      <c r="D463" s="135">
        <f t="shared" ref="D463:K463" si="187">D457*9</f>
        <v>5527.89</v>
      </c>
      <c r="E463" s="135">
        <f t="shared" si="187"/>
        <v>7210.08</v>
      </c>
      <c r="F463" s="136">
        <f t="shared" si="187"/>
        <v>11700</v>
      </c>
      <c r="G463" s="136">
        <f t="shared" si="187"/>
        <v>13500</v>
      </c>
      <c r="H463" s="136">
        <f t="shared" si="187"/>
        <v>18000</v>
      </c>
      <c r="I463" s="136">
        <f t="shared" si="187"/>
        <v>19800</v>
      </c>
      <c r="J463" s="136">
        <f t="shared" si="187"/>
        <v>27900</v>
      </c>
      <c r="K463" s="136">
        <f t="shared" si="187"/>
        <v>29700</v>
      </c>
      <c r="L463" s="136">
        <f>L457*9</f>
        <v>46800</v>
      </c>
      <c r="M463" s="136">
        <f t="shared" ref="M463:O463" si="188">M457*9</f>
        <v>54000</v>
      </c>
      <c r="N463" s="136">
        <f t="shared" si="188"/>
        <v>135000</v>
      </c>
      <c r="O463" s="136">
        <f t="shared" si="188"/>
        <v>153000</v>
      </c>
      <c r="P463" s="136">
        <f>P457*9</f>
        <v>216900</v>
      </c>
      <c r="Q463" s="136">
        <f t="shared" ref="Q463:S463" si="189">Q457*9</f>
        <v>238500</v>
      </c>
      <c r="R463" s="136">
        <f t="shared" si="189"/>
        <v>395100</v>
      </c>
      <c r="S463" s="137">
        <f t="shared" si="189"/>
        <v>460800</v>
      </c>
      <c r="T463" s="104"/>
      <c r="U463" s="104"/>
      <c r="V463" s="104"/>
      <c r="W463" s="104"/>
      <c r="X463" s="104"/>
      <c r="Y463" s="104"/>
      <c r="Z463" s="104"/>
    </row>
    <row r="464" spans="1:26" ht="19" x14ac:dyDescent="0.25">
      <c r="A464" s="88"/>
      <c r="B464" s="140" t="s">
        <v>183</v>
      </c>
      <c r="C464" s="141"/>
      <c r="D464" s="142"/>
      <c r="E464" s="142"/>
      <c r="F464" s="143">
        <f t="shared" ref="F464:K464" si="190">F463*0.75</f>
        <v>8775</v>
      </c>
      <c r="G464" s="143">
        <f t="shared" si="190"/>
        <v>10125</v>
      </c>
      <c r="H464" s="143">
        <f t="shared" si="190"/>
        <v>13500</v>
      </c>
      <c r="I464" s="143">
        <f t="shared" si="190"/>
        <v>14850</v>
      </c>
      <c r="J464" s="143">
        <f t="shared" si="190"/>
        <v>20925</v>
      </c>
      <c r="K464" s="143">
        <f t="shared" si="190"/>
        <v>22275</v>
      </c>
      <c r="L464" s="143">
        <f>L463*0.65</f>
        <v>30420</v>
      </c>
      <c r="M464" s="143">
        <f t="shared" ref="M464:O464" si="191">M463*0.65</f>
        <v>35100</v>
      </c>
      <c r="N464" s="143">
        <f t="shared" si="191"/>
        <v>87750</v>
      </c>
      <c r="O464" s="143">
        <f t="shared" si="191"/>
        <v>99450</v>
      </c>
      <c r="P464" s="143">
        <f>P463*0.65</f>
        <v>140985</v>
      </c>
      <c r="Q464" s="143">
        <f t="shared" ref="Q464:S464" si="192">Q463*0.65</f>
        <v>155025</v>
      </c>
      <c r="R464" s="143">
        <f t="shared" si="192"/>
        <v>256815</v>
      </c>
      <c r="S464" s="144">
        <f t="shared" si="192"/>
        <v>299520</v>
      </c>
      <c r="T464" s="104"/>
      <c r="U464" s="104"/>
      <c r="V464" s="104"/>
      <c r="W464" s="104"/>
      <c r="X464" s="104"/>
      <c r="Y464" s="104"/>
      <c r="Z464" s="104"/>
    </row>
    <row r="465" spans="1:26" ht="19" x14ac:dyDescent="0.25">
      <c r="A465" s="88"/>
      <c r="B465" s="146"/>
      <c r="C465" s="147" t="s">
        <v>184</v>
      </c>
      <c r="D465" s="148">
        <f t="shared" ref="D465:K465" si="193">D457*12</f>
        <v>7370.52</v>
      </c>
      <c r="E465" s="148">
        <f t="shared" si="193"/>
        <v>9613.44</v>
      </c>
      <c r="F465" s="149">
        <f t="shared" si="193"/>
        <v>15600</v>
      </c>
      <c r="G465" s="149">
        <f t="shared" si="193"/>
        <v>18000</v>
      </c>
      <c r="H465" s="149">
        <f t="shared" si="193"/>
        <v>24000</v>
      </c>
      <c r="I465" s="149">
        <f t="shared" si="193"/>
        <v>26400</v>
      </c>
      <c r="J465" s="149">
        <f t="shared" si="193"/>
        <v>37200</v>
      </c>
      <c r="K465" s="149">
        <f t="shared" si="193"/>
        <v>39600</v>
      </c>
      <c r="L465" s="149">
        <f>L457*12</f>
        <v>62400</v>
      </c>
      <c r="M465" s="149">
        <f t="shared" ref="M465:O465" si="194">M457*12</f>
        <v>72000</v>
      </c>
      <c r="N465" s="149">
        <f t="shared" si="194"/>
        <v>180000</v>
      </c>
      <c r="O465" s="149">
        <f t="shared" si="194"/>
        <v>204000</v>
      </c>
      <c r="P465" s="149">
        <f>P457*12</f>
        <v>289200</v>
      </c>
      <c r="Q465" s="149">
        <f t="shared" ref="Q465:S465" si="195">Q457*12</f>
        <v>318000</v>
      </c>
      <c r="R465" s="149">
        <f t="shared" si="195"/>
        <v>526800</v>
      </c>
      <c r="S465" s="149">
        <f t="shared" si="195"/>
        <v>614400</v>
      </c>
      <c r="T465" s="229" t="s">
        <v>325</v>
      </c>
      <c r="U465" s="104"/>
      <c r="V465" s="104"/>
      <c r="W465" s="104"/>
      <c r="X465" s="104"/>
      <c r="Y465" s="104"/>
      <c r="Z465" s="104"/>
    </row>
    <row r="466" spans="1:26" ht="19" x14ac:dyDescent="0.25">
      <c r="A466" s="88"/>
      <c r="B466" s="140" t="s">
        <v>185</v>
      </c>
      <c r="C466" s="123"/>
      <c r="D466" s="124"/>
      <c r="E466" s="124"/>
      <c r="F466" s="125">
        <f t="shared" ref="F466:K466" si="196">F465*0.7</f>
        <v>10920</v>
      </c>
      <c r="G466" s="125">
        <f t="shared" si="196"/>
        <v>12600</v>
      </c>
      <c r="H466" s="125">
        <f t="shared" si="196"/>
        <v>16800</v>
      </c>
      <c r="I466" s="125">
        <f t="shared" si="196"/>
        <v>18480</v>
      </c>
      <c r="J466" s="125">
        <f t="shared" si="196"/>
        <v>26040</v>
      </c>
      <c r="K466" s="125">
        <f t="shared" si="196"/>
        <v>27720</v>
      </c>
      <c r="L466" s="125">
        <f>L465*0.6</f>
        <v>37440</v>
      </c>
      <c r="M466" s="125">
        <f t="shared" ref="M466:O466" si="197">M465*0.6</f>
        <v>43200</v>
      </c>
      <c r="N466" s="125">
        <f t="shared" si="197"/>
        <v>108000</v>
      </c>
      <c r="O466" s="125">
        <f t="shared" si="197"/>
        <v>122400</v>
      </c>
      <c r="P466" s="125">
        <f>P465*0.6</f>
        <v>173520</v>
      </c>
      <c r="Q466" s="125">
        <f t="shared" ref="Q466:S466" si="198">Q465*0.6</f>
        <v>190800</v>
      </c>
      <c r="R466" s="125">
        <f t="shared" si="198"/>
        <v>316080</v>
      </c>
      <c r="S466" s="125">
        <f t="shared" si="198"/>
        <v>368640</v>
      </c>
      <c r="T466" s="230"/>
      <c r="U466" s="104"/>
      <c r="V466" s="104"/>
      <c r="W466" s="104"/>
      <c r="X466" s="104"/>
      <c r="Y466" s="104"/>
      <c r="Z466" s="104"/>
    </row>
    <row r="467" spans="1:26" ht="19" hidden="1" x14ac:dyDescent="0.25">
      <c r="A467" s="88"/>
      <c r="B467" s="176" t="s">
        <v>326</v>
      </c>
      <c r="C467" s="356" t="s">
        <v>167</v>
      </c>
      <c r="D467" s="110" t="s">
        <v>120</v>
      </c>
      <c r="E467" s="110" t="s">
        <v>118</v>
      </c>
      <c r="F467" s="111" t="s">
        <v>52</v>
      </c>
      <c r="G467" s="111" t="s">
        <v>53</v>
      </c>
      <c r="H467" s="111" t="s">
        <v>54</v>
      </c>
      <c r="I467" s="111" t="s">
        <v>55</v>
      </c>
      <c r="J467" s="110" t="s">
        <v>56</v>
      </c>
      <c r="K467" s="110" t="s">
        <v>57</v>
      </c>
      <c r="L467" s="88"/>
      <c r="M467" s="88"/>
      <c r="N467" s="88"/>
      <c r="O467" s="88"/>
      <c r="P467" s="88"/>
      <c r="Q467" s="88"/>
      <c r="R467" s="88"/>
      <c r="S467" s="88"/>
      <c r="T467" s="231"/>
      <c r="U467" s="186"/>
      <c r="V467" s="186"/>
      <c r="W467" s="186"/>
      <c r="X467" s="186"/>
      <c r="Y467" s="186"/>
    </row>
    <row r="468" spans="1:26" ht="19" hidden="1" x14ac:dyDescent="0.25">
      <c r="A468" s="88"/>
      <c r="B468" s="174"/>
      <c r="C468" s="357"/>
      <c r="D468" s="110" t="s">
        <v>88</v>
      </c>
      <c r="E468" s="111" t="s">
        <v>187</v>
      </c>
      <c r="F468" s="111" t="s">
        <v>89</v>
      </c>
      <c r="G468" s="111" t="s">
        <v>188</v>
      </c>
      <c r="H468" s="111" t="s">
        <v>91</v>
      </c>
      <c r="I468" s="110" t="s">
        <v>92</v>
      </c>
      <c r="J468" s="110" t="s">
        <v>93</v>
      </c>
      <c r="K468" s="110" t="s">
        <v>189</v>
      </c>
      <c r="L468" s="88"/>
      <c r="M468" s="88"/>
      <c r="N468" s="88"/>
      <c r="O468" s="88"/>
      <c r="P468" s="88"/>
      <c r="Q468" s="88"/>
      <c r="R468" s="88"/>
      <c r="S468" s="88"/>
      <c r="T468" s="231"/>
      <c r="U468" s="88"/>
      <c r="V468" s="88"/>
      <c r="W468" s="88"/>
      <c r="X468" s="88"/>
      <c r="Y468" s="88"/>
    </row>
    <row r="469" spans="1:26" ht="19" hidden="1" x14ac:dyDescent="0.25">
      <c r="A469" s="88"/>
      <c r="B469" s="174"/>
      <c r="C469" s="99" t="s">
        <v>176</v>
      </c>
      <c r="D469" s="99"/>
      <c r="E469" s="100"/>
      <c r="F469" s="100"/>
      <c r="G469" s="100"/>
      <c r="H469" s="100"/>
      <c r="I469" s="99"/>
      <c r="J469" s="99"/>
      <c r="K469" s="99"/>
      <c r="L469" s="88"/>
      <c r="M469" s="88"/>
      <c r="N469" s="88"/>
      <c r="O469" s="88"/>
      <c r="P469" s="88"/>
      <c r="Q469" s="88"/>
      <c r="R469" s="88"/>
      <c r="S469" s="88"/>
      <c r="T469" s="231"/>
      <c r="U469" s="88"/>
      <c r="V469" s="88"/>
      <c r="W469" s="88"/>
      <c r="X469" s="88"/>
      <c r="Y469" s="88"/>
    </row>
    <row r="470" spans="1:26" ht="19" hidden="1" x14ac:dyDescent="0.25">
      <c r="A470" s="88"/>
      <c r="B470" s="174"/>
      <c r="C470" s="99" t="s">
        <v>178</v>
      </c>
      <c r="D470" s="99"/>
      <c r="E470" s="100"/>
      <c r="F470" s="100"/>
      <c r="G470" s="100"/>
      <c r="H470" s="100"/>
      <c r="I470" s="99"/>
      <c r="J470" s="99"/>
      <c r="K470" s="99"/>
      <c r="L470" s="88"/>
      <c r="M470" s="88"/>
      <c r="N470" s="88"/>
      <c r="O470" s="88"/>
      <c r="P470" s="88"/>
      <c r="Q470" s="88"/>
      <c r="R470" s="88"/>
      <c r="S470" s="88"/>
      <c r="T470" s="231"/>
      <c r="U470" s="88"/>
      <c r="V470" s="88"/>
      <c r="W470" s="88"/>
      <c r="X470" s="88"/>
      <c r="Y470" s="88"/>
    </row>
    <row r="471" spans="1:26" ht="19" hidden="1" x14ac:dyDescent="0.25">
      <c r="A471" s="88"/>
      <c r="B471" s="174"/>
      <c r="C471" s="99" t="s">
        <v>180</v>
      </c>
      <c r="D471" s="99"/>
      <c r="E471" s="100"/>
      <c r="F471" s="100"/>
      <c r="G471" s="100"/>
      <c r="H471" s="100"/>
      <c r="I471" s="99"/>
      <c r="J471" s="99"/>
      <c r="K471" s="99"/>
      <c r="L471" s="88"/>
      <c r="M471" s="88"/>
      <c r="N471" s="88"/>
      <c r="O471" s="88"/>
      <c r="P471" s="88"/>
      <c r="Q471" s="88"/>
      <c r="R471" s="88"/>
      <c r="S471" s="88"/>
      <c r="T471" s="231"/>
      <c r="U471" s="88"/>
      <c r="V471" s="88"/>
      <c r="W471" s="88"/>
      <c r="X471" s="88"/>
      <c r="Y471" s="88"/>
    </row>
    <row r="472" spans="1:26" ht="19" hidden="1" x14ac:dyDescent="0.25">
      <c r="A472" s="88"/>
      <c r="B472" s="174"/>
      <c r="C472" s="99" t="s">
        <v>184</v>
      </c>
      <c r="D472" s="99"/>
      <c r="E472" s="100"/>
      <c r="F472" s="100"/>
      <c r="G472" s="154"/>
      <c r="H472" s="154"/>
      <c r="I472" s="99"/>
      <c r="J472" s="99"/>
      <c r="K472" s="99"/>
      <c r="L472" s="88"/>
      <c r="M472" s="88"/>
      <c r="N472" s="88"/>
      <c r="O472" s="88"/>
      <c r="P472" s="88"/>
      <c r="Q472" s="88"/>
      <c r="R472" s="88"/>
      <c r="S472" s="88"/>
      <c r="T472" s="231"/>
      <c r="U472" s="88"/>
      <c r="V472" s="88"/>
      <c r="W472" s="88"/>
      <c r="X472" s="88"/>
      <c r="Y472" s="88"/>
    </row>
    <row r="473" spans="1:26" ht="19" hidden="1" x14ac:dyDescent="0.25">
      <c r="A473" s="88"/>
      <c r="B473" s="176" t="s">
        <v>327</v>
      </c>
      <c r="C473" s="356" t="s">
        <v>167</v>
      </c>
      <c r="D473" s="110" t="s">
        <v>120</v>
      </c>
      <c r="E473" s="110" t="s">
        <v>118</v>
      </c>
      <c r="F473" s="111" t="s">
        <v>52</v>
      </c>
      <c r="G473" s="111" t="s">
        <v>53</v>
      </c>
      <c r="H473" s="111" t="s">
        <v>54</v>
      </c>
      <c r="I473" s="111" t="s">
        <v>55</v>
      </c>
      <c r="J473" s="110" t="s">
        <v>56</v>
      </c>
      <c r="K473" s="110" t="s">
        <v>57</v>
      </c>
      <c r="L473" s="88"/>
      <c r="M473" s="88"/>
      <c r="N473" s="88"/>
      <c r="O473" s="88"/>
      <c r="P473" s="88"/>
      <c r="Q473" s="88"/>
      <c r="R473" s="88"/>
      <c r="S473" s="88"/>
      <c r="T473" s="231"/>
      <c r="U473" s="88"/>
      <c r="V473" s="88"/>
      <c r="W473" s="88"/>
      <c r="X473" s="88"/>
      <c r="Y473" s="88"/>
    </row>
    <row r="474" spans="1:26" ht="19" hidden="1" x14ac:dyDescent="0.25">
      <c r="A474" s="88"/>
      <c r="B474" s="174"/>
      <c r="C474" s="357"/>
      <c r="D474" s="110" t="s">
        <v>88</v>
      </c>
      <c r="E474" s="111" t="s">
        <v>187</v>
      </c>
      <c r="F474" s="111" t="s">
        <v>89</v>
      </c>
      <c r="G474" s="111" t="s">
        <v>188</v>
      </c>
      <c r="H474" s="111" t="s">
        <v>91</v>
      </c>
      <c r="I474" s="110" t="s">
        <v>92</v>
      </c>
      <c r="J474" s="110" t="s">
        <v>93</v>
      </c>
      <c r="K474" s="110" t="s">
        <v>189</v>
      </c>
      <c r="L474" s="88"/>
      <c r="M474" s="88"/>
      <c r="N474" s="88"/>
      <c r="O474" s="88"/>
      <c r="P474" s="88"/>
      <c r="Q474" s="88"/>
      <c r="R474" s="88"/>
      <c r="S474" s="88"/>
      <c r="T474" s="231"/>
      <c r="U474" s="88"/>
      <c r="V474" s="88"/>
      <c r="W474" s="88"/>
      <c r="X474" s="88"/>
      <c r="Y474" s="88"/>
    </row>
    <row r="475" spans="1:26" ht="19" hidden="1" x14ac:dyDescent="0.25">
      <c r="A475" s="88"/>
      <c r="B475" s="174"/>
      <c r="C475" s="99" t="s">
        <v>176</v>
      </c>
      <c r="D475" s="99"/>
      <c r="E475" s="100"/>
      <c r="F475" s="100"/>
      <c r="G475" s="100"/>
      <c r="H475" s="100"/>
      <c r="I475" s="99"/>
      <c r="J475" s="99"/>
      <c r="K475" s="99"/>
      <c r="L475" s="88"/>
      <c r="M475" s="88"/>
      <c r="N475" s="88"/>
      <c r="O475" s="88"/>
      <c r="P475" s="88"/>
      <c r="Q475" s="88"/>
      <c r="R475" s="88"/>
      <c r="S475" s="88"/>
      <c r="T475" s="231"/>
      <c r="U475" s="88"/>
      <c r="V475" s="88"/>
      <c r="W475" s="88"/>
      <c r="X475" s="88"/>
      <c r="Y475" s="88"/>
    </row>
    <row r="476" spans="1:26" ht="19" hidden="1" x14ac:dyDescent="0.25">
      <c r="A476" s="88"/>
      <c r="B476" s="174"/>
      <c r="C476" s="99" t="s">
        <v>178</v>
      </c>
      <c r="D476" s="99"/>
      <c r="E476" s="100"/>
      <c r="F476" s="100"/>
      <c r="G476" s="100"/>
      <c r="H476" s="100"/>
      <c r="I476" s="99"/>
      <c r="J476" s="99"/>
      <c r="K476" s="99"/>
      <c r="L476" s="88"/>
      <c r="M476" s="88"/>
      <c r="N476" s="88"/>
      <c r="O476" s="88"/>
      <c r="P476" s="88"/>
      <c r="Q476" s="88"/>
      <c r="R476" s="88"/>
      <c r="S476" s="88"/>
      <c r="T476" s="231"/>
      <c r="U476" s="88"/>
      <c r="V476" s="88"/>
      <c r="W476" s="88"/>
      <c r="X476" s="88"/>
      <c r="Y476" s="88"/>
    </row>
    <row r="477" spans="1:26" ht="19" hidden="1" x14ac:dyDescent="0.25">
      <c r="A477" s="88"/>
      <c r="B477" s="174"/>
      <c r="C477" s="99" t="s">
        <v>180</v>
      </c>
      <c r="D477" s="99"/>
      <c r="E477" s="100"/>
      <c r="F477" s="100"/>
      <c r="G477" s="100"/>
      <c r="H477" s="100"/>
      <c r="I477" s="99"/>
      <c r="J477" s="99"/>
      <c r="K477" s="99"/>
      <c r="L477" s="88"/>
      <c r="M477" s="88"/>
      <c r="N477" s="88"/>
      <c r="O477" s="88"/>
      <c r="P477" s="88"/>
      <c r="Q477" s="88"/>
      <c r="R477" s="88"/>
      <c r="S477" s="88"/>
      <c r="T477" s="231"/>
      <c r="U477" s="88"/>
      <c r="V477" s="88"/>
      <c r="W477" s="88"/>
      <c r="X477" s="88"/>
      <c r="Y477" s="88"/>
    </row>
    <row r="478" spans="1:26" ht="19" hidden="1" x14ac:dyDescent="0.25">
      <c r="A478" s="88"/>
      <c r="B478" s="174"/>
      <c r="C478" s="99" t="s">
        <v>184</v>
      </c>
      <c r="D478" s="99"/>
      <c r="E478" s="100"/>
      <c r="F478" s="100"/>
      <c r="G478" s="154"/>
      <c r="H478" s="154"/>
      <c r="I478" s="99"/>
      <c r="J478" s="99"/>
      <c r="K478" s="99"/>
      <c r="L478" s="88"/>
      <c r="M478" s="88"/>
      <c r="N478" s="88"/>
      <c r="O478" s="88"/>
      <c r="P478" s="88"/>
      <c r="Q478" s="88"/>
      <c r="R478" s="88"/>
      <c r="S478" s="88"/>
      <c r="T478" s="232"/>
      <c r="U478" s="89"/>
      <c r="V478" s="89"/>
      <c r="W478" s="89"/>
      <c r="X478" s="89"/>
      <c r="Y478" s="89"/>
    </row>
    <row r="479" spans="1:26" ht="19" x14ac:dyDescent="0.25">
      <c r="A479" s="88"/>
      <c r="B479" s="108" t="s">
        <v>328</v>
      </c>
      <c r="C479" s="356" t="s">
        <v>167</v>
      </c>
      <c r="D479" s="110" t="s">
        <v>315</v>
      </c>
      <c r="E479" s="110" t="s">
        <v>120</v>
      </c>
      <c r="F479" s="110" t="s">
        <v>251</v>
      </c>
      <c r="G479" s="110" t="s">
        <v>118</v>
      </c>
      <c r="H479" s="111" t="s">
        <v>252</v>
      </c>
      <c r="I479" s="111" t="s">
        <v>52</v>
      </c>
      <c r="J479" s="111" t="s">
        <v>253</v>
      </c>
      <c r="K479" s="111" t="s">
        <v>53</v>
      </c>
      <c r="L479" s="111" t="s">
        <v>254</v>
      </c>
      <c r="M479" s="111" t="s">
        <v>54</v>
      </c>
      <c r="N479" s="111" t="s">
        <v>255</v>
      </c>
      <c r="O479" s="110" t="s">
        <v>55</v>
      </c>
      <c r="P479" s="110" t="s">
        <v>256</v>
      </c>
      <c r="Q479" s="110" t="s">
        <v>56</v>
      </c>
      <c r="R479" s="110" t="s">
        <v>316</v>
      </c>
      <c r="S479" s="151" t="s">
        <v>57</v>
      </c>
      <c r="T479" s="104"/>
      <c r="U479" s="104"/>
      <c r="V479" s="104"/>
      <c r="W479" s="104"/>
      <c r="X479" s="104"/>
      <c r="Y479" s="104"/>
    </row>
    <row r="480" spans="1:26" ht="19" x14ac:dyDescent="0.25">
      <c r="A480" s="88"/>
      <c r="B480" s="174"/>
      <c r="C480" s="357"/>
      <c r="D480" s="110" t="s">
        <v>88</v>
      </c>
      <c r="E480" s="110" t="s">
        <v>88</v>
      </c>
      <c r="F480" s="111" t="s">
        <v>187</v>
      </c>
      <c r="G480" s="111" t="s">
        <v>187</v>
      </c>
      <c r="H480" s="111" t="s">
        <v>89</v>
      </c>
      <c r="I480" s="111" t="s">
        <v>89</v>
      </c>
      <c r="J480" s="111" t="s">
        <v>188</v>
      </c>
      <c r="K480" s="111" t="s">
        <v>188</v>
      </c>
      <c r="L480" s="111" t="s">
        <v>319</v>
      </c>
      <c r="M480" s="111" t="s">
        <v>319</v>
      </c>
      <c r="N480" s="110" t="s">
        <v>320</v>
      </c>
      <c r="O480" s="110" t="s">
        <v>320</v>
      </c>
      <c r="P480" s="110" t="s">
        <v>321</v>
      </c>
      <c r="Q480" s="110" t="s">
        <v>322</v>
      </c>
      <c r="R480" s="110" t="s">
        <v>323</v>
      </c>
      <c r="S480" s="151" t="s">
        <v>324</v>
      </c>
      <c r="T480" s="104"/>
      <c r="U480" s="104"/>
      <c r="V480" s="104"/>
      <c r="W480" s="104"/>
      <c r="X480" s="104"/>
      <c r="Y480" s="104"/>
    </row>
    <row r="481" spans="1:26" ht="19" x14ac:dyDescent="0.25">
      <c r="A481" s="88"/>
      <c r="B481" s="112"/>
      <c r="C481" s="99" t="s">
        <v>176</v>
      </c>
      <c r="D481" s="99" t="s">
        <v>114</v>
      </c>
      <c r="E481" s="99" t="s">
        <v>114</v>
      </c>
      <c r="F481" s="99" t="s">
        <v>114</v>
      </c>
      <c r="G481" s="99" t="s">
        <v>114</v>
      </c>
      <c r="H481" s="99" t="s">
        <v>114</v>
      </c>
      <c r="I481" s="99" t="s">
        <v>114</v>
      </c>
      <c r="J481" s="99" t="s">
        <v>114</v>
      </c>
      <c r="K481" s="99" t="s">
        <v>114</v>
      </c>
      <c r="L481" s="163">
        <v>5200</v>
      </c>
      <c r="M481" s="163">
        <v>6000</v>
      </c>
      <c r="N481" s="164">
        <v>15000</v>
      </c>
      <c r="O481" s="164">
        <v>17000</v>
      </c>
      <c r="P481" s="164">
        <v>24100</v>
      </c>
      <c r="Q481" s="164">
        <v>26500</v>
      </c>
      <c r="R481" s="164">
        <v>43900</v>
      </c>
      <c r="S481" s="165">
        <v>51200</v>
      </c>
      <c r="T481" s="104"/>
      <c r="U481" s="104"/>
      <c r="V481" s="104"/>
      <c r="W481" s="104"/>
      <c r="X481" s="104"/>
      <c r="Y481" s="104"/>
    </row>
    <row r="482" spans="1:26" ht="19" x14ac:dyDescent="0.25">
      <c r="A482" s="88"/>
      <c r="B482" s="112"/>
      <c r="C482" s="99" t="s">
        <v>177</v>
      </c>
      <c r="D482" s="214" t="s">
        <v>114</v>
      </c>
      <c r="E482" s="214" t="s">
        <v>114</v>
      </c>
      <c r="F482" s="214" t="s">
        <v>114</v>
      </c>
      <c r="G482" s="214" t="s">
        <v>114</v>
      </c>
      <c r="H482" s="214" t="s">
        <v>114</v>
      </c>
      <c r="I482" s="214" t="s">
        <v>114</v>
      </c>
      <c r="J482" s="214" t="s">
        <v>114</v>
      </c>
      <c r="K482" s="214" t="s">
        <v>114</v>
      </c>
      <c r="L482" s="117">
        <f>L481*0.9</f>
        <v>4680</v>
      </c>
      <c r="M482" s="117">
        <f t="shared" ref="M482:O482" si="199">M481*0.9</f>
        <v>5400</v>
      </c>
      <c r="N482" s="117">
        <f t="shared" si="199"/>
        <v>13500</v>
      </c>
      <c r="O482" s="117">
        <f t="shared" si="199"/>
        <v>15300</v>
      </c>
      <c r="P482" s="117">
        <f>P481*0.9</f>
        <v>21690</v>
      </c>
      <c r="Q482" s="117">
        <f t="shared" ref="Q482:S482" si="200">Q481*0.9</f>
        <v>23850</v>
      </c>
      <c r="R482" s="117">
        <f t="shared" si="200"/>
        <v>39510</v>
      </c>
      <c r="S482" s="156">
        <f t="shared" si="200"/>
        <v>46080</v>
      </c>
      <c r="T482" s="104"/>
      <c r="U482" s="104"/>
      <c r="V482" s="104"/>
      <c r="W482" s="104"/>
      <c r="X482" s="104"/>
      <c r="Y482" s="104"/>
    </row>
    <row r="483" spans="1:26" ht="19" x14ac:dyDescent="0.25">
      <c r="A483" s="88"/>
      <c r="B483" s="157"/>
      <c r="C483" s="99" t="s">
        <v>178</v>
      </c>
      <c r="D483" s="99"/>
      <c r="E483" s="99"/>
      <c r="F483" s="99"/>
      <c r="G483" s="99"/>
      <c r="H483" s="99"/>
      <c r="I483" s="99"/>
      <c r="J483" s="99"/>
      <c r="K483" s="99"/>
      <c r="L483" s="120">
        <f>L481*3</f>
        <v>15600</v>
      </c>
      <c r="M483" s="120">
        <f t="shared" ref="M483:O483" si="201">M481*3</f>
        <v>18000</v>
      </c>
      <c r="N483" s="120">
        <f t="shared" si="201"/>
        <v>45000</v>
      </c>
      <c r="O483" s="120">
        <f t="shared" si="201"/>
        <v>51000</v>
      </c>
      <c r="P483" s="120">
        <f>P481*3</f>
        <v>72300</v>
      </c>
      <c r="Q483" s="120">
        <f t="shared" ref="Q483:S483" si="202">Q481*3</f>
        <v>79500</v>
      </c>
      <c r="R483" s="120">
        <f t="shared" si="202"/>
        <v>131700</v>
      </c>
      <c r="S483" s="121">
        <f t="shared" si="202"/>
        <v>153600</v>
      </c>
      <c r="T483" s="104"/>
      <c r="U483" s="104"/>
      <c r="V483" s="104"/>
      <c r="W483" s="104"/>
      <c r="X483" s="104"/>
      <c r="Y483" s="104"/>
    </row>
    <row r="484" spans="1:26" ht="19" x14ac:dyDescent="0.25">
      <c r="A484" s="88"/>
      <c r="B484" s="140" t="s">
        <v>192</v>
      </c>
      <c r="C484" s="123"/>
      <c r="D484" s="214"/>
      <c r="E484" s="214"/>
      <c r="F484" s="214"/>
      <c r="G484" s="214"/>
      <c r="H484" s="214"/>
      <c r="I484" s="214"/>
      <c r="J484" s="214"/>
      <c r="K484" s="214"/>
      <c r="L484" s="125">
        <f>L483*0.75</f>
        <v>11700</v>
      </c>
      <c r="M484" s="125">
        <f t="shared" ref="M484:O484" si="203">M483*0.75</f>
        <v>13500</v>
      </c>
      <c r="N484" s="125">
        <f t="shared" si="203"/>
        <v>33750</v>
      </c>
      <c r="O484" s="125">
        <f t="shared" si="203"/>
        <v>38250</v>
      </c>
      <c r="P484" s="125">
        <f>P483*0.75</f>
        <v>54225</v>
      </c>
      <c r="Q484" s="125">
        <f t="shared" ref="Q484:S484" si="204">Q483*0.75</f>
        <v>59625</v>
      </c>
      <c r="R484" s="125">
        <f t="shared" si="204"/>
        <v>98775</v>
      </c>
      <c r="S484" s="126">
        <f t="shared" si="204"/>
        <v>115200</v>
      </c>
      <c r="T484" s="104"/>
      <c r="U484" s="104"/>
      <c r="V484" s="104"/>
      <c r="W484" s="104"/>
      <c r="X484" s="104"/>
      <c r="Y484" s="104"/>
    </row>
    <row r="485" spans="1:26" ht="19" x14ac:dyDescent="0.25">
      <c r="A485" s="88"/>
      <c r="B485" s="157" t="s">
        <v>193</v>
      </c>
      <c r="C485" s="99" t="s">
        <v>180</v>
      </c>
      <c r="D485" s="99"/>
      <c r="E485" s="99"/>
      <c r="F485" s="99"/>
      <c r="G485" s="99"/>
      <c r="H485" s="99"/>
      <c r="I485" s="99"/>
      <c r="J485" s="99"/>
      <c r="K485" s="99"/>
      <c r="L485" s="120">
        <f>L481*6</f>
        <v>31200</v>
      </c>
      <c r="M485" s="120">
        <f t="shared" ref="M485:O485" si="205">M481*6</f>
        <v>36000</v>
      </c>
      <c r="N485" s="120">
        <f t="shared" si="205"/>
        <v>90000</v>
      </c>
      <c r="O485" s="120">
        <f t="shared" si="205"/>
        <v>102000</v>
      </c>
      <c r="P485" s="120">
        <f>P481*6</f>
        <v>144600</v>
      </c>
      <c r="Q485" s="120">
        <f t="shared" ref="Q485:S485" si="206">Q481*6</f>
        <v>159000</v>
      </c>
      <c r="R485" s="120">
        <f t="shared" si="206"/>
        <v>263400</v>
      </c>
      <c r="S485" s="121">
        <f t="shared" si="206"/>
        <v>307200</v>
      </c>
      <c r="T485" s="104"/>
      <c r="U485" s="104"/>
      <c r="V485" s="104"/>
      <c r="W485" s="104"/>
      <c r="X485" s="104"/>
      <c r="Y485" s="104"/>
    </row>
    <row r="486" spans="1:26" ht="19" x14ac:dyDescent="0.25">
      <c r="A486" s="88"/>
      <c r="B486" s="140" t="s">
        <v>194</v>
      </c>
      <c r="C486" s="123"/>
      <c r="D486" s="158" t="s">
        <v>114</v>
      </c>
      <c r="E486" s="158" t="s">
        <v>114</v>
      </c>
      <c r="F486" s="158" t="s">
        <v>114</v>
      </c>
      <c r="G486" s="158" t="s">
        <v>114</v>
      </c>
      <c r="H486" s="158" t="s">
        <v>114</v>
      </c>
      <c r="I486" s="158" t="s">
        <v>114</v>
      </c>
      <c r="J486" s="158" t="s">
        <v>114</v>
      </c>
      <c r="K486" s="158" t="s">
        <v>114</v>
      </c>
      <c r="L486" s="130">
        <f>L485*0.7</f>
        <v>21840</v>
      </c>
      <c r="M486" s="130">
        <f t="shared" ref="M486:O486" si="207">M485*0.7</f>
        <v>25200</v>
      </c>
      <c r="N486" s="130">
        <f t="shared" si="207"/>
        <v>62999.999999999993</v>
      </c>
      <c r="O486" s="130">
        <f t="shared" si="207"/>
        <v>71400</v>
      </c>
      <c r="P486" s="130">
        <f>P485*0.7</f>
        <v>101220</v>
      </c>
      <c r="Q486" s="130">
        <f t="shared" ref="Q486:S486" si="208">Q485*0.7</f>
        <v>111300</v>
      </c>
      <c r="R486" s="130">
        <f t="shared" si="208"/>
        <v>184380</v>
      </c>
      <c r="S486" s="131">
        <f t="shared" si="208"/>
        <v>215040</v>
      </c>
      <c r="T486" s="104"/>
      <c r="U486" s="104"/>
      <c r="V486" s="104"/>
      <c r="W486" s="104"/>
      <c r="X486" s="104"/>
      <c r="Y486" s="104"/>
      <c r="Z486" s="127"/>
    </row>
    <row r="487" spans="1:26" ht="19" x14ac:dyDescent="0.25">
      <c r="A487" s="88"/>
      <c r="B487" s="157" t="s">
        <v>193</v>
      </c>
      <c r="C487" s="134" t="s">
        <v>182</v>
      </c>
      <c r="D487" s="99" t="s">
        <v>114</v>
      </c>
      <c r="E487" s="99" t="s">
        <v>114</v>
      </c>
      <c r="F487" s="99" t="s">
        <v>114</v>
      </c>
      <c r="G487" s="99" t="s">
        <v>114</v>
      </c>
      <c r="H487" s="99" t="s">
        <v>114</v>
      </c>
      <c r="I487" s="99" t="s">
        <v>114</v>
      </c>
      <c r="J487" s="99" t="s">
        <v>114</v>
      </c>
      <c r="K487" s="99" t="s">
        <v>114</v>
      </c>
      <c r="L487" s="136">
        <f>L481*9</f>
        <v>46800</v>
      </c>
      <c r="M487" s="136">
        <f t="shared" ref="M487:O487" si="209">M481*9</f>
        <v>54000</v>
      </c>
      <c r="N487" s="136">
        <f t="shared" si="209"/>
        <v>135000</v>
      </c>
      <c r="O487" s="136">
        <f t="shared" si="209"/>
        <v>153000</v>
      </c>
      <c r="P487" s="136">
        <f>P481*9</f>
        <v>216900</v>
      </c>
      <c r="Q487" s="136">
        <f t="shared" ref="Q487:S487" si="210">Q481*9</f>
        <v>238500</v>
      </c>
      <c r="R487" s="136">
        <f t="shared" si="210"/>
        <v>395100</v>
      </c>
      <c r="S487" s="137">
        <f t="shared" si="210"/>
        <v>460800</v>
      </c>
      <c r="T487" s="104"/>
      <c r="U487" s="104"/>
      <c r="V487" s="104"/>
      <c r="W487" s="104"/>
      <c r="X487" s="104"/>
      <c r="Y487" s="104"/>
    </row>
    <row r="488" spans="1:26" ht="19" x14ac:dyDescent="0.25">
      <c r="A488" s="88"/>
      <c r="B488" s="140" t="s">
        <v>195</v>
      </c>
      <c r="C488" s="141"/>
      <c r="D488" s="158" t="s">
        <v>114</v>
      </c>
      <c r="E488" s="158" t="s">
        <v>114</v>
      </c>
      <c r="F488" s="158" t="s">
        <v>114</v>
      </c>
      <c r="G488" s="158" t="s">
        <v>114</v>
      </c>
      <c r="H488" s="158" t="s">
        <v>114</v>
      </c>
      <c r="I488" s="158" t="s">
        <v>114</v>
      </c>
      <c r="J488" s="158" t="s">
        <v>114</v>
      </c>
      <c r="K488" s="158" t="s">
        <v>114</v>
      </c>
      <c r="L488" s="143">
        <f>L487*0.65</f>
        <v>30420</v>
      </c>
      <c r="M488" s="143">
        <f t="shared" ref="M488:O488" si="211">M487*0.65</f>
        <v>35100</v>
      </c>
      <c r="N488" s="143">
        <f t="shared" si="211"/>
        <v>87750</v>
      </c>
      <c r="O488" s="143">
        <f t="shared" si="211"/>
        <v>99450</v>
      </c>
      <c r="P488" s="143">
        <f>P487*0.65</f>
        <v>140985</v>
      </c>
      <c r="Q488" s="143">
        <f t="shared" ref="Q488:S488" si="212">Q487*0.65</f>
        <v>155025</v>
      </c>
      <c r="R488" s="143">
        <f t="shared" si="212"/>
        <v>256815</v>
      </c>
      <c r="S488" s="144">
        <f t="shared" si="212"/>
        <v>299520</v>
      </c>
      <c r="T488" s="104"/>
      <c r="U488" s="104"/>
      <c r="V488" s="104"/>
      <c r="W488" s="104"/>
      <c r="X488" s="104"/>
      <c r="Y488" s="104"/>
      <c r="Z488" s="127"/>
    </row>
    <row r="489" spans="1:26" ht="19" x14ac:dyDescent="0.25">
      <c r="A489" s="88"/>
      <c r="B489" s="157" t="s">
        <v>193</v>
      </c>
      <c r="C489" s="147" t="s">
        <v>184</v>
      </c>
      <c r="D489" s="99" t="s">
        <v>114</v>
      </c>
      <c r="E489" s="99" t="s">
        <v>114</v>
      </c>
      <c r="F489" s="99" t="s">
        <v>114</v>
      </c>
      <c r="G489" s="99" t="s">
        <v>114</v>
      </c>
      <c r="H489" s="99" t="s">
        <v>114</v>
      </c>
      <c r="I489" s="99" t="s">
        <v>114</v>
      </c>
      <c r="J489" s="99" t="s">
        <v>114</v>
      </c>
      <c r="K489" s="99" t="s">
        <v>114</v>
      </c>
      <c r="L489" s="149">
        <f>L481*12</f>
        <v>62400</v>
      </c>
      <c r="M489" s="149">
        <f t="shared" ref="M489:O489" si="213">M481*12</f>
        <v>72000</v>
      </c>
      <c r="N489" s="149">
        <f t="shared" si="213"/>
        <v>180000</v>
      </c>
      <c r="O489" s="149">
        <f t="shared" si="213"/>
        <v>204000</v>
      </c>
      <c r="P489" s="149">
        <f>P481*12</f>
        <v>289200</v>
      </c>
      <c r="Q489" s="149">
        <f t="shared" ref="Q489:S489" si="214">Q481*12</f>
        <v>318000</v>
      </c>
      <c r="R489" s="149">
        <f t="shared" si="214"/>
        <v>526800</v>
      </c>
      <c r="S489" s="150">
        <f t="shared" si="214"/>
        <v>614400</v>
      </c>
      <c r="T489" s="104"/>
      <c r="U489" s="104"/>
      <c r="V489" s="104"/>
      <c r="W489" s="104"/>
      <c r="X489" s="104"/>
      <c r="Y489" s="104"/>
    </row>
    <row r="490" spans="1:26" ht="19" x14ac:dyDescent="0.25">
      <c r="A490" s="88"/>
      <c r="B490" s="140" t="s">
        <v>196</v>
      </c>
      <c r="C490" s="123"/>
      <c r="D490" s="158" t="s">
        <v>114</v>
      </c>
      <c r="E490" s="158" t="s">
        <v>114</v>
      </c>
      <c r="F490" s="158" t="s">
        <v>114</v>
      </c>
      <c r="G490" s="158" t="s">
        <v>114</v>
      </c>
      <c r="H490" s="158" t="s">
        <v>114</v>
      </c>
      <c r="I490" s="158" t="s">
        <v>114</v>
      </c>
      <c r="J490" s="158" t="s">
        <v>114</v>
      </c>
      <c r="K490" s="158" t="s">
        <v>114</v>
      </c>
      <c r="L490" s="233">
        <f>L489*0.6</f>
        <v>37440</v>
      </c>
      <c r="M490" s="233">
        <f t="shared" ref="M490:O490" si="215">M489*0.6</f>
        <v>43200</v>
      </c>
      <c r="N490" s="233">
        <f t="shared" si="215"/>
        <v>108000</v>
      </c>
      <c r="O490" s="233">
        <f t="shared" si="215"/>
        <v>122400</v>
      </c>
      <c r="P490" s="233">
        <f>P489*0.6</f>
        <v>173520</v>
      </c>
      <c r="Q490" s="233">
        <f t="shared" ref="Q490:S490" si="216">Q489*0.6</f>
        <v>190800</v>
      </c>
      <c r="R490" s="233">
        <f t="shared" si="216"/>
        <v>316080</v>
      </c>
      <c r="S490" s="234">
        <f t="shared" si="216"/>
        <v>368640</v>
      </c>
      <c r="T490" s="104"/>
      <c r="U490" s="104"/>
      <c r="V490" s="104"/>
      <c r="W490" s="104"/>
      <c r="X490" s="104"/>
      <c r="Y490" s="104"/>
      <c r="Z490" s="127"/>
    </row>
    <row r="491" spans="1:26" ht="19" x14ac:dyDescent="0.25">
      <c r="A491" s="88"/>
      <c r="B491" s="108" t="s">
        <v>329</v>
      </c>
      <c r="C491" s="356" t="s">
        <v>167</v>
      </c>
      <c r="D491" s="110" t="s">
        <v>120</v>
      </c>
      <c r="E491" s="110" t="s">
        <v>118</v>
      </c>
      <c r="F491" s="111" t="s">
        <v>52</v>
      </c>
      <c r="G491" s="111" t="s">
        <v>53</v>
      </c>
      <c r="H491" s="111" t="s">
        <v>54</v>
      </c>
      <c r="I491" s="111" t="s">
        <v>55</v>
      </c>
      <c r="J491" s="110" t="s">
        <v>56</v>
      </c>
      <c r="K491" s="151" t="s">
        <v>57</v>
      </c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 spans="1:26" ht="19" x14ac:dyDescent="0.25">
      <c r="A492" s="88"/>
      <c r="B492" s="174"/>
      <c r="C492" s="357"/>
      <c r="D492" s="110" t="s">
        <v>88</v>
      </c>
      <c r="E492" s="111" t="s">
        <v>330</v>
      </c>
      <c r="F492" s="111" t="s">
        <v>89</v>
      </c>
      <c r="G492" s="111" t="s">
        <v>188</v>
      </c>
      <c r="H492" s="111" t="s">
        <v>91</v>
      </c>
      <c r="I492" s="110" t="s">
        <v>331</v>
      </c>
      <c r="J492" s="110" t="s">
        <v>93</v>
      </c>
      <c r="K492" s="151" t="s">
        <v>332</v>
      </c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 spans="1:26" ht="19" x14ac:dyDescent="0.25">
      <c r="A493" s="88"/>
      <c r="B493" s="112"/>
      <c r="C493" s="99" t="s">
        <v>176</v>
      </c>
      <c r="D493" s="99" t="s">
        <v>114</v>
      </c>
      <c r="E493" s="99" t="s">
        <v>114</v>
      </c>
      <c r="F493" s="120"/>
      <c r="G493" s="99" t="s">
        <v>114</v>
      </c>
      <c r="H493" s="99"/>
      <c r="I493" s="164">
        <v>15100</v>
      </c>
      <c r="J493" s="99" t="s">
        <v>114</v>
      </c>
      <c r="K493" s="165">
        <v>30200</v>
      </c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 spans="1:26" ht="19" x14ac:dyDescent="0.25">
      <c r="A494" s="88"/>
      <c r="B494" s="112"/>
      <c r="C494" s="99" t="s">
        <v>177</v>
      </c>
      <c r="D494" s="99" t="s">
        <v>114</v>
      </c>
      <c r="E494" s="99" t="s">
        <v>114</v>
      </c>
      <c r="F494" s="99" t="s">
        <v>114</v>
      </c>
      <c r="G494" s="99" t="s">
        <v>114</v>
      </c>
      <c r="H494" s="99" t="s">
        <v>114</v>
      </c>
      <c r="I494" s="117">
        <f t="shared" ref="I494" si="217">I493*0.9</f>
        <v>13590</v>
      </c>
      <c r="J494" s="214" t="s">
        <v>114</v>
      </c>
      <c r="K494" s="156">
        <f>K493*0.9</f>
        <v>27180</v>
      </c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 spans="1:26" ht="19" x14ac:dyDescent="0.25">
      <c r="A495" s="88"/>
      <c r="B495" s="157"/>
      <c r="C495" s="99" t="s">
        <v>178</v>
      </c>
      <c r="D495" s="99"/>
      <c r="E495" s="99"/>
      <c r="F495" s="99"/>
      <c r="G495" s="99"/>
      <c r="H495" s="99"/>
      <c r="I495" s="120">
        <f t="shared" ref="I495" si="218">I493*3</f>
        <v>45300</v>
      </c>
      <c r="J495" s="99"/>
      <c r="K495" s="121">
        <f>K493*3</f>
        <v>90600</v>
      </c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 spans="1:26" ht="19" x14ac:dyDescent="0.25">
      <c r="A496" s="88"/>
      <c r="B496" s="140" t="s">
        <v>192</v>
      </c>
      <c r="C496" s="123"/>
      <c r="D496" s="214"/>
      <c r="E496" s="214"/>
      <c r="F496" s="214"/>
      <c r="G496" s="214"/>
      <c r="H496" s="214"/>
      <c r="I496" s="125">
        <f t="shared" ref="I496" si="219">I495*0.75</f>
        <v>33975</v>
      </c>
      <c r="J496" s="214"/>
      <c r="K496" s="126">
        <f>K495*0.75</f>
        <v>67950</v>
      </c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 spans="1:26" ht="19" x14ac:dyDescent="0.25">
      <c r="A497" s="88"/>
      <c r="B497" s="157" t="s">
        <v>193</v>
      </c>
      <c r="C497" s="99" t="s">
        <v>180</v>
      </c>
      <c r="D497" s="99"/>
      <c r="E497" s="99"/>
      <c r="F497" s="99"/>
      <c r="G497" s="99"/>
      <c r="H497" s="99"/>
      <c r="I497" s="120">
        <f t="shared" ref="I497" si="220">I493*6</f>
        <v>90600</v>
      </c>
      <c r="J497" s="99"/>
      <c r="K497" s="121">
        <f>K493*6</f>
        <v>181200</v>
      </c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 spans="1:26" ht="19" x14ac:dyDescent="0.25">
      <c r="A498" s="88"/>
      <c r="B498" s="140" t="s">
        <v>194</v>
      </c>
      <c r="C498" s="123"/>
      <c r="D498" s="158" t="s">
        <v>114</v>
      </c>
      <c r="E498" s="158" t="s">
        <v>114</v>
      </c>
      <c r="F498" s="158" t="s">
        <v>114</v>
      </c>
      <c r="G498" s="158" t="s">
        <v>114</v>
      </c>
      <c r="H498" s="158" t="s">
        <v>114</v>
      </c>
      <c r="I498" s="235">
        <f t="shared" ref="I498" si="221">I497*0.7</f>
        <v>63419.999999999993</v>
      </c>
      <c r="J498" s="214"/>
      <c r="K498" s="236">
        <f>K497*0.7</f>
        <v>126839.99999999999</v>
      </c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 spans="1:26" ht="19" x14ac:dyDescent="0.25">
      <c r="A499" s="88"/>
      <c r="B499" s="157" t="s">
        <v>193</v>
      </c>
      <c r="C499" s="134" t="s">
        <v>182</v>
      </c>
      <c r="D499" s="99" t="s">
        <v>114</v>
      </c>
      <c r="E499" s="99" t="s">
        <v>114</v>
      </c>
      <c r="F499" s="99" t="s">
        <v>114</v>
      </c>
      <c r="G499" s="99" t="s">
        <v>114</v>
      </c>
      <c r="H499" s="99" t="s">
        <v>114</v>
      </c>
      <c r="I499" s="136">
        <f t="shared" ref="I499" si="222">I493*9</f>
        <v>135900</v>
      </c>
      <c r="J499" s="99" t="s">
        <v>114</v>
      </c>
      <c r="K499" s="137">
        <f>K493*9</f>
        <v>271800</v>
      </c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27"/>
    </row>
    <row r="500" spans="1:26" ht="19" x14ac:dyDescent="0.25">
      <c r="A500" s="88"/>
      <c r="B500" s="140" t="s">
        <v>195</v>
      </c>
      <c r="C500" s="141"/>
      <c r="D500" s="158" t="s">
        <v>114</v>
      </c>
      <c r="E500" s="158" t="s">
        <v>114</v>
      </c>
      <c r="F500" s="158" t="s">
        <v>114</v>
      </c>
      <c r="G500" s="158" t="s">
        <v>114</v>
      </c>
      <c r="H500" s="158" t="s">
        <v>114</v>
      </c>
      <c r="I500" s="209">
        <f t="shared" ref="I500" si="223">I499*0.65</f>
        <v>88335</v>
      </c>
      <c r="J500" s="214" t="s">
        <v>114</v>
      </c>
      <c r="K500" s="237">
        <f>K499*0.65</f>
        <v>176670</v>
      </c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 spans="1:26" ht="19" x14ac:dyDescent="0.25">
      <c r="A501" s="88"/>
      <c r="B501" s="157" t="s">
        <v>193</v>
      </c>
      <c r="C501" s="147" t="s">
        <v>184</v>
      </c>
      <c r="D501" s="99"/>
      <c r="E501" s="99"/>
      <c r="F501" s="99"/>
      <c r="G501" s="99"/>
      <c r="H501" s="99"/>
      <c r="I501" s="149">
        <f t="shared" ref="I501" si="224">I493*12</f>
        <v>181200</v>
      </c>
      <c r="J501" s="99" t="s">
        <v>114</v>
      </c>
      <c r="K501" s="150">
        <f>K493*12</f>
        <v>362400</v>
      </c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27"/>
    </row>
    <row r="502" spans="1:26" ht="19" x14ac:dyDescent="0.25">
      <c r="A502" s="88"/>
      <c r="B502" s="140" t="s">
        <v>196</v>
      </c>
      <c r="C502" s="123"/>
      <c r="D502" s="158" t="s">
        <v>114</v>
      </c>
      <c r="E502" s="158" t="s">
        <v>114</v>
      </c>
      <c r="F502" s="158" t="s">
        <v>114</v>
      </c>
      <c r="G502" s="158" t="s">
        <v>114</v>
      </c>
      <c r="H502" s="158" t="s">
        <v>114</v>
      </c>
      <c r="I502" s="125">
        <f t="shared" ref="I502" si="225">I501*0.6</f>
        <v>108720</v>
      </c>
      <c r="J502" s="214" t="s">
        <v>114</v>
      </c>
      <c r="K502" s="126">
        <f>K501*0.6</f>
        <v>217440</v>
      </c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 spans="1:26" ht="19" hidden="1" x14ac:dyDescent="0.25">
      <c r="A503" s="88"/>
      <c r="B503" s="176" t="s">
        <v>326</v>
      </c>
      <c r="C503" s="356" t="s">
        <v>167</v>
      </c>
      <c r="D503" s="110" t="s">
        <v>120</v>
      </c>
      <c r="E503" s="110" t="s">
        <v>118</v>
      </c>
      <c r="F503" s="111" t="s">
        <v>52</v>
      </c>
      <c r="G503" s="111" t="s">
        <v>53</v>
      </c>
      <c r="H503" s="111" t="s">
        <v>54</v>
      </c>
      <c r="I503" s="111" t="s">
        <v>55</v>
      </c>
      <c r="J503" s="110" t="s">
        <v>56</v>
      </c>
      <c r="K503" s="151" t="s">
        <v>57</v>
      </c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 spans="1:26" ht="19" hidden="1" x14ac:dyDescent="0.25">
      <c r="A504" s="88"/>
      <c r="B504" s="174"/>
      <c r="C504" s="357"/>
      <c r="D504" s="110" t="s">
        <v>88</v>
      </c>
      <c r="E504" s="111" t="s">
        <v>187</v>
      </c>
      <c r="F504" s="111" t="s">
        <v>89</v>
      </c>
      <c r="G504" s="111" t="s">
        <v>188</v>
      </c>
      <c r="H504" s="111" t="s">
        <v>91</v>
      </c>
      <c r="I504" s="110" t="s">
        <v>92</v>
      </c>
      <c r="J504" s="110" t="s">
        <v>93</v>
      </c>
      <c r="K504" s="151" t="s">
        <v>189</v>
      </c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 spans="1:26" ht="19" hidden="1" x14ac:dyDescent="0.25">
      <c r="A505" s="88"/>
      <c r="B505" s="174"/>
      <c r="C505" s="99" t="s">
        <v>176</v>
      </c>
      <c r="D505" s="99"/>
      <c r="E505" s="100"/>
      <c r="F505" s="100"/>
      <c r="G505" s="100"/>
      <c r="H505" s="100"/>
      <c r="I505" s="99"/>
      <c r="J505" s="99"/>
      <c r="K505" s="152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 spans="1:26" ht="19" hidden="1" x14ac:dyDescent="0.25">
      <c r="A506" s="88"/>
      <c r="B506" s="174"/>
      <c r="C506" s="99" t="s">
        <v>178</v>
      </c>
      <c r="D506" s="99"/>
      <c r="E506" s="100"/>
      <c r="F506" s="100"/>
      <c r="G506" s="100"/>
      <c r="H506" s="100"/>
      <c r="I506" s="99"/>
      <c r="J506" s="99"/>
      <c r="K506" s="152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 spans="1:26" ht="19" hidden="1" x14ac:dyDescent="0.25">
      <c r="A507" s="88"/>
      <c r="B507" s="174"/>
      <c r="C507" s="99" t="s">
        <v>180</v>
      </c>
      <c r="D507" s="99"/>
      <c r="E507" s="100"/>
      <c r="F507" s="100"/>
      <c r="G507" s="100"/>
      <c r="H507" s="100"/>
      <c r="I507" s="99"/>
      <c r="J507" s="99"/>
      <c r="K507" s="152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 spans="1:26" ht="19" hidden="1" x14ac:dyDescent="0.25">
      <c r="A508" s="88"/>
      <c r="B508" s="174"/>
      <c r="C508" s="99" t="s">
        <v>184</v>
      </c>
      <c r="D508" s="99"/>
      <c r="E508" s="100"/>
      <c r="F508" s="100"/>
      <c r="G508" s="154"/>
      <c r="H508" s="154"/>
      <c r="I508" s="99"/>
      <c r="J508" s="99"/>
      <c r="K508" s="152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 spans="1:26" ht="19" hidden="1" x14ac:dyDescent="0.25">
      <c r="A509" s="88"/>
      <c r="B509" s="176" t="s">
        <v>333</v>
      </c>
      <c r="C509" s="356" t="s">
        <v>167</v>
      </c>
      <c r="D509" s="110" t="s">
        <v>120</v>
      </c>
      <c r="E509" s="110" t="s">
        <v>118</v>
      </c>
      <c r="F509" s="111" t="s">
        <v>52</v>
      </c>
      <c r="G509" s="111" t="s">
        <v>53</v>
      </c>
      <c r="H509" s="111" t="s">
        <v>54</v>
      </c>
      <c r="I509" s="111" t="s">
        <v>55</v>
      </c>
      <c r="J509" s="110" t="s">
        <v>56</v>
      </c>
      <c r="K509" s="151" t="s">
        <v>57</v>
      </c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 spans="1:26" ht="19" hidden="1" x14ac:dyDescent="0.25">
      <c r="A510" s="88"/>
      <c r="B510" s="174"/>
      <c r="C510" s="357"/>
      <c r="D510" s="110" t="s">
        <v>88</v>
      </c>
      <c r="E510" s="111" t="s">
        <v>187</v>
      </c>
      <c r="F510" s="111" t="s">
        <v>89</v>
      </c>
      <c r="G510" s="111" t="s">
        <v>188</v>
      </c>
      <c r="H510" s="111" t="s">
        <v>91</v>
      </c>
      <c r="I510" s="110" t="s">
        <v>92</v>
      </c>
      <c r="J510" s="110" t="s">
        <v>93</v>
      </c>
      <c r="K510" s="151" t="s">
        <v>189</v>
      </c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 spans="1:26" ht="19" hidden="1" x14ac:dyDescent="0.25">
      <c r="A511" s="88"/>
      <c r="B511" s="174"/>
      <c r="C511" s="99" t="s">
        <v>176</v>
      </c>
      <c r="D511" s="99"/>
      <c r="E511" s="100"/>
      <c r="F511" s="100"/>
      <c r="G511" s="100"/>
      <c r="H511" s="100"/>
      <c r="I511" s="99"/>
      <c r="J511" s="99"/>
      <c r="K511" s="152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 spans="1:26" ht="19" hidden="1" x14ac:dyDescent="0.25">
      <c r="A512" s="88"/>
      <c r="B512" s="174"/>
      <c r="C512" s="99" t="s">
        <v>178</v>
      </c>
      <c r="D512" s="99"/>
      <c r="E512" s="100"/>
      <c r="F512" s="100"/>
      <c r="G512" s="100"/>
      <c r="H512" s="100"/>
      <c r="I512" s="99"/>
      <c r="J512" s="99"/>
      <c r="K512" s="152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 spans="1:26" ht="19" hidden="1" x14ac:dyDescent="0.25">
      <c r="A513" s="88"/>
      <c r="B513" s="174"/>
      <c r="C513" s="99" t="s">
        <v>180</v>
      </c>
      <c r="D513" s="99"/>
      <c r="E513" s="100"/>
      <c r="F513" s="100"/>
      <c r="G513" s="100"/>
      <c r="H513" s="100"/>
      <c r="I513" s="99"/>
      <c r="J513" s="99"/>
      <c r="K513" s="152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 spans="1:26" ht="19" hidden="1" x14ac:dyDescent="0.25">
      <c r="A514" s="88"/>
      <c r="B514" s="174"/>
      <c r="C514" s="159" t="s">
        <v>184</v>
      </c>
      <c r="D514" s="99"/>
      <c r="E514" s="100"/>
      <c r="F514" s="100"/>
      <c r="G514" s="154"/>
      <c r="H514" s="154"/>
      <c r="I514" s="99"/>
      <c r="J514" s="99"/>
      <c r="K514" s="152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 spans="1:26" ht="19" x14ac:dyDescent="0.25">
      <c r="A515" s="88"/>
      <c r="B515" s="108" t="s">
        <v>334</v>
      </c>
      <c r="C515" s="356" t="s">
        <v>167</v>
      </c>
      <c r="D515" s="110" t="s">
        <v>120</v>
      </c>
      <c r="E515" s="110" t="s">
        <v>118</v>
      </c>
      <c r="F515" s="111" t="s">
        <v>52</v>
      </c>
      <c r="G515" s="111" t="s">
        <v>53</v>
      </c>
      <c r="H515" s="111" t="s">
        <v>54</v>
      </c>
      <c r="I515" s="111" t="s">
        <v>55</v>
      </c>
      <c r="J515" s="110" t="s">
        <v>56</v>
      </c>
      <c r="K515" s="151" t="s">
        <v>57</v>
      </c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 spans="1:26" ht="19" x14ac:dyDescent="0.25">
      <c r="A516" s="88"/>
      <c r="B516" s="161"/>
      <c r="C516" s="357"/>
      <c r="D516" s="110" t="s">
        <v>88</v>
      </c>
      <c r="E516" s="111" t="s">
        <v>288</v>
      </c>
      <c r="F516" s="111" t="s">
        <v>89</v>
      </c>
      <c r="G516" s="111" t="s">
        <v>188</v>
      </c>
      <c r="H516" s="111" t="s">
        <v>91</v>
      </c>
      <c r="I516" s="110" t="s">
        <v>92</v>
      </c>
      <c r="J516" s="110" t="s">
        <v>93</v>
      </c>
      <c r="K516" s="151" t="s">
        <v>189</v>
      </c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 spans="1:26" ht="19" x14ac:dyDescent="0.25">
      <c r="A517" s="88"/>
      <c r="B517" s="112"/>
      <c r="C517" s="99" t="s">
        <v>176</v>
      </c>
      <c r="D517" s="99">
        <v>801.12</v>
      </c>
      <c r="E517" s="115">
        <v>1600</v>
      </c>
      <c r="F517" s="114">
        <v>2400</v>
      </c>
      <c r="G517" s="114">
        <v>3800</v>
      </c>
      <c r="H517" s="114">
        <v>6400</v>
      </c>
      <c r="I517" s="115">
        <v>12900</v>
      </c>
      <c r="J517" s="115">
        <v>26800</v>
      </c>
      <c r="K517" s="155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 spans="1:26" ht="19" x14ac:dyDescent="0.25">
      <c r="A518" s="88"/>
      <c r="B518" s="112"/>
      <c r="C518" s="99" t="s">
        <v>177</v>
      </c>
      <c r="D518" s="113"/>
      <c r="E518" s="116"/>
      <c r="F518" s="116"/>
      <c r="G518" s="116"/>
      <c r="H518" s="117">
        <f>H517*0.9</f>
        <v>5760</v>
      </c>
      <c r="I518" s="117">
        <f t="shared" ref="I518:J518" si="226">I517*0.9</f>
        <v>11610</v>
      </c>
      <c r="J518" s="117">
        <f t="shared" si="226"/>
        <v>24120</v>
      </c>
      <c r="K518" s="156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 spans="1:26" ht="19" x14ac:dyDescent="0.25">
      <c r="A519" s="88"/>
      <c r="B519" s="157"/>
      <c r="C519" s="99" t="s">
        <v>178</v>
      </c>
      <c r="D519" s="113">
        <f t="shared" ref="D519:F519" si="227">D517*3</f>
        <v>2403.36</v>
      </c>
      <c r="E519" s="120">
        <f t="shared" si="227"/>
        <v>4800</v>
      </c>
      <c r="F519" s="120">
        <f t="shared" si="227"/>
        <v>7200</v>
      </c>
      <c r="G519" s="120">
        <f>G517*3</f>
        <v>11400</v>
      </c>
      <c r="H519" s="120">
        <f>H517*3</f>
        <v>19200</v>
      </c>
      <c r="I519" s="120">
        <f t="shared" ref="I519:J519" si="228">I517*3</f>
        <v>38700</v>
      </c>
      <c r="J519" s="120">
        <f t="shared" si="228"/>
        <v>80400</v>
      </c>
      <c r="K519" s="121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 spans="1:26" ht="19" x14ac:dyDescent="0.25">
      <c r="A520" s="88"/>
      <c r="B520" s="140" t="s">
        <v>220</v>
      </c>
      <c r="C520" s="123"/>
      <c r="D520" s="124"/>
      <c r="E520" s="125">
        <f>E519*0.85</f>
        <v>4080</v>
      </c>
      <c r="F520" s="125">
        <f>F519*0.85</f>
        <v>6120</v>
      </c>
      <c r="G520" s="125">
        <f>G519*0.85</f>
        <v>9690</v>
      </c>
      <c r="H520" s="125">
        <f>H519*0.75</f>
        <v>14400</v>
      </c>
      <c r="I520" s="125">
        <f>I519*0.75</f>
        <v>29025</v>
      </c>
      <c r="J520" s="125">
        <f>J519*0.75</f>
        <v>60300</v>
      </c>
      <c r="K520" s="126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 spans="1:26" ht="19" x14ac:dyDescent="0.25">
      <c r="A521" s="88"/>
      <c r="B521" s="157" t="s">
        <v>193</v>
      </c>
      <c r="C521" s="99" t="s">
        <v>180</v>
      </c>
      <c r="D521" s="113">
        <f t="shared" ref="D521:G521" si="229">D517*6</f>
        <v>4806.72</v>
      </c>
      <c r="E521" s="120">
        <f t="shared" si="229"/>
        <v>9600</v>
      </c>
      <c r="F521" s="120">
        <f t="shared" si="229"/>
        <v>14400</v>
      </c>
      <c r="G521" s="120">
        <f t="shared" si="229"/>
        <v>22800</v>
      </c>
      <c r="H521" s="120">
        <f>H517*6</f>
        <v>38400</v>
      </c>
      <c r="I521" s="120">
        <f t="shared" ref="I521:J521" si="230">I517*6</f>
        <v>77400</v>
      </c>
      <c r="J521" s="120">
        <f t="shared" si="230"/>
        <v>160800</v>
      </c>
      <c r="K521" s="121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 spans="1:26" ht="19" x14ac:dyDescent="0.25">
      <c r="A522" s="88"/>
      <c r="B522" s="140" t="s">
        <v>221</v>
      </c>
      <c r="C522" s="123"/>
      <c r="D522" s="129"/>
      <c r="E522" s="130">
        <f>E521*0.8</f>
        <v>7680</v>
      </c>
      <c r="F522" s="130">
        <f>F521*0.8</f>
        <v>11520</v>
      </c>
      <c r="G522" s="130">
        <f>G521*0.8</f>
        <v>18240</v>
      </c>
      <c r="H522" s="130">
        <f>H521*0.7</f>
        <v>26880</v>
      </c>
      <c r="I522" s="130">
        <f>I521*0.7</f>
        <v>54180</v>
      </c>
      <c r="J522" s="130">
        <f>J521*0.7</f>
        <v>112560</v>
      </c>
      <c r="K522" s="131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27"/>
    </row>
    <row r="523" spans="1:26" ht="19" x14ac:dyDescent="0.25">
      <c r="A523" s="88"/>
      <c r="B523" s="157" t="s">
        <v>193</v>
      </c>
      <c r="C523" s="134" t="s">
        <v>182</v>
      </c>
      <c r="D523" s="135">
        <f t="shared" ref="D523:G523" si="231">D517*9</f>
        <v>7210.08</v>
      </c>
      <c r="E523" s="136">
        <f t="shared" si="231"/>
        <v>14400</v>
      </c>
      <c r="F523" s="136">
        <f t="shared" si="231"/>
        <v>21600</v>
      </c>
      <c r="G523" s="136">
        <f t="shared" si="231"/>
        <v>34200</v>
      </c>
      <c r="H523" s="136">
        <f>H517*9</f>
        <v>57600</v>
      </c>
      <c r="I523" s="136">
        <f t="shared" ref="I523:J523" si="232">I517*9</f>
        <v>116100</v>
      </c>
      <c r="J523" s="136">
        <f t="shared" si="232"/>
        <v>241200</v>
      </c>
      <c r="K523" s="137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 spans="1:26" ht="19" x14ac:dyDescent="0.25">
      <c r="A524" s="88"/>
      <c r="B524" s="140" t="s">
        <v>222</v>
      </c>
      <c r="C524" s="141"/>
      <c r="D524" s="142"/>
      <c r="E524" s="143">
        <f>E523*0.75</f>
        <v>10800</v>
      </c>
      <c r="F524" s="143">
        <f>F523*0.75</f>
        <v>16200</v>
      </c>
      <c r="G524" s="143">
        <f>G523*0.75</f>
        <v>25650</v>
      </c>
      <c r="H524" s="143">
        <f>H523*0.65</f>
        <v>37440</v>
      </c>
      <c r="I524" s="143">
        <f>I523*0.65</f>
        <v>75465</v>
      </c>
      <c r="J524" s="143">
        <f>J523*0.65</f>
        <v>156780</v>
      </c>
      <c r="K524" s="14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27"/>
    </row>
    <row r="525" spans="1:26" ht="19" x14ac:dyDescent="0.25">
      <c r="A525" s="88"/>
      <c r="B525" s="157" t="s">
        <v>193</v>
      </c>
      <c r="C525" s="147" t="s">
        <v>184</v>
      </c>
      <c r="D525" s="148">
        <f t="shared" ref="D525:G525" si="233">D517*12</f>
        <v>9613.44</v>
      </c>
      <c r="E525" s="149">
        <f t="shared" si="233"/>
        <v>19200</v>
      </c>
      <c r="F525" s="149">
        <f t="shared" si="233"/>
        <v>28800</v>
      </c>
      <c r="G525" s="149">
        <f t="shared" si="233"/>
        <v>45600</v>
      </c>
      <c r="H525" s="149">
        <f>H517*12</f>
        <v>76800</v>
      </c>
      <c r="I525" s="149">
        <f t="shared" ref="I525:J525" si="234">I517*12</f>
        <v>154800</v>
      </c>
      <c r="J525" s="149">
        <f t="shared" si="234"/>
        <v>321600</v>
      </c>
      <c r="K525" s="150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 spans="1:26" ht="19" x14ac:dyDescent="0.25">
      <c r="A526" s="88"/>
      <c r="B526" s="140" t="s">
        <v>335</v>
      </c>
      <c r="C526" s="123"/>
      <c r="D526" s="124"/>
      <c r="E526" s="125">
        <f t="shared" ref="E526" si="235">E525*0.7</f>
        <v>13440</v>
      </c>
      <c r="F526" s="125">
        <f>F525*0.7</f>
        <v>20160</v>
      </c>
      <c r="G526" s="125">
        <f t="shared" ref="G526" si="236">G525*0.7</f>
        <v>31919.999999999996</v>
      </c>
      <c r="H526" s="125">
        <f>H525*0.6</f>
        <v>46080</v>
      </c>
      <c r="I526" s="125">
        <f>I525*0.6</f>
        <v>92880</v>
      </c>
      <c r="J526" s="125">
        <f>J525*0.6</f>
        <v>192960</v>
      </c>
      <c r="K526" s="126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27"/>
    </row>
    <row r="527" spans="1:26" ht="19" hidden="1" x14ac:dyDescent="0.25">
      <c r="A527" s="88"/>
      <c r="B527" s="172" t="s">
        <v>336</v>
      </c>
      <c r="C527" s="356" t="s">
        <v>167</v>
      </c>
      <c r="D527" s="110" t="s">
        <v>120</v>
      </c>
      <c r="E527" s="110" t="s">
        <v>118</v>
      </c>
      <c r="F527" s="111" t="s">
        <v>52</v>
      </c>
      <c r="G527" s="111" t="s">
        <v>53</v>
      </c>
      <c r="H527" s="111" t="s">
        <v>54</v>
      </c>
      <c r="I527" s="111" t="s">
        <v>55</v>
      </c>
      <c r="J527" s="110" t="s">
        <v>56</v>
      </c>
      <c r="K527" s="151" t="s">
        <v>57</v>
      </c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 spans="1:26" ht="19" hidden="1" x14ac:dyDescent="0.25">
      <c r="A528" s="88"/>
      <c r="B528" s="161"/>
      <c r="C528" s="357"/>
      <c r="D528" s="110" t="s">
        <v>88</v>
      </c>
      <c r="E528" s="111" t="s">
        <v>187</v>
      </c>
      <c r="F528" s="111" t="s">
        <v>89</v>
      </c>
      <c r="G528" s="111" t="s">
        <v>188</v>
      </c>
      <c r="H528" s="111" t="s">
        <v>91</v>
      </c>
      <c r="I528" s="110" t="s">
        <v>92</v>
      </c>
      <c r="J528" s="110" t="s">
        <v>93</v>
      </c>
      <c r="K528" s="151" t="s">
        <v>189</v>
      </c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 spans="1:25" ht="19" hidden="1" x14ac:dyDescent="0.25">
      <c r="A529" s="88"/>
      <c r="B529" s="161"/>
      <c r="C529" s="99" t="s">
        <v>176</v>
      </c>
      <c r="D529" s="99"/>
      <c r="E529" s="100"/>
      <c r="F529" s="100"/>
      <c r="G529" s="100"/>
      <c r="H529" s="100"/>
      <c r="I529" s="99"/>
      <c r="J529" s="99"/>
      <c r="K529" s="152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 spans="1:25" ht="19" hidden="1" x14ac:dyDescent="0.25">
      <c r="A530" s="88"/>
      <c r="B530" s="161"/>
      <c r="C530" s="99" t="s">
        <v>178</v>
      </c>
      <c r="D530" s="99"/>
      <c r="E530" s="100"/>
      <c r="F530" s="100"/>
      <c r="G530" s="100"/>
      <c r="H530" s="100"/>
      <c r="I530" s="99"/>
      <c r="J530" s="99"/>
      <c r="K530" s="152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 spans="1:25" ht="19" hidden="1" x14ac:dyDescent="0.25">
      <c r="A531" s="88"/>
      <c r="B531" s="161"/>
      <c r="C531" s="99" t="s">
        <v>180</v>
      </c>
      <c r="D531" s="99"/>
      <c r="E531" s="100"/>
      <c r="F531" s="100"/>
      <c r="G531" s="100"/>
      <c r="H531" s="100"/>
      <c r="I531" s="99"/>
      <c r="J531" s="99"/>
      <c r="K531" s="152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 spans="1:25" ht="19" hidden="1" x14ac:dyDescent="0.25">
      <c r="A532" s="88"/>
      <c r="B532" s="161"/>
      <c r="C532" s="99" t="s">
        <v>184</v>
      </c>
      <c r="D532" s="99"/>
      <c r="E532" s="100"/>
      <c r="F532" s="100"/>
      <c r="G532" s="154"/>
      <c r="H532" s="154"/>
      <c r="I532" s="99"/>
      <c r="J532" s="99"/>
      <c r="K532" s="152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 spans="1:25" ht="19" hidden="1" x14ac:dyDescent="0.25">
      <c r="A533" s="88"/>
      <c r="B533" s="172" t="s">
        <v>337</v>
      </c>
      <c r="C533" s="356" t="s">
        <v>167</v>
      </c>
      <c r="D533" s="110" t="s">
        <v>120</v>
      </c>
      <c r="E533" s="110" t="s">
        <v>118</v>
      </c>
      <c r="F533" s="111" t="s">
        <v>52</v>
      </c>
      <c r="G533" s="111" t="s">
        <v>53</v>
      </c>
      <c r="H533" s="111" t="s">
        <v>54</v>
      </c>
      <c r="I533" s="111" t="s">
        <v>55</v>
      </c>
      <c r="J533" s="110" t="s">
        <v>56</v>
      </c>
      <c r="K533" s="151" t="s">
        <v>57</v>
      </c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 spans="1:25" ht="19" hidden="1" x14ac:dyDescent="0.25">
      <c r="A534" s="88"/>
      <c r="B534" s="161"/>
      <c r="C534" s="357"/>
      <c r="D534" s="110" t="s">
        <v>88</v>
      </c>
      <c r="E534" s="111" t="s">
        <v>187</v>
      </c>
      <c r="F534" s="111" t="s">
        <v>89</v>
      </c>
      <c r="G534" s="111" t="s">
        <v>188</v>
      </c>
      <c r="H534" s="111" t="s">
        <v>91</v>
      </c>
      <c r="I534" s="110" t="s">
        <v>92</v>
      </c>
      <c r="J534" s="110" t="s">
        <v>93</v>
      </c>
      <c r="K534" s="151" t="s">
        <v>189</v>
      </c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 spans="1:25" ht="19" hidden="1" x14ac:dyDescent="0.25">
      <c r="A535" s="88"/>
      <c r="B535" s="161"/>
      <c r="C535" s="99" t="s">
        <v>176</v>
      </c>
      <c r="D535" s="99"/>
      <c r="E535" s="100"/>
      <c r="F535" s="100"/>
      <c r="G535" s="100"/>
      <c r="H535" s="100"/>
      <c r="I535" s="99"/>
      <c r="J535" s="99"/>
      <c r="K535" s="152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 spans="1:25" ht="19" hidden="1" x14ac:dyDescent="0.25">
      <c r="A536" s="88"/>
      <c r="B536" s="161"/>
      <c r="C536" s="99" t="s">
        <v>178</v>
      </c>
      <c r="D536" s="99"/>
      <c r="E536" s="100"/>
      <c r="F536" s="100"/>
      <c r="G536" s="100"/>
      <c r="H536" s="100"/>
      <c r="I536" s="99"/>
      <c r="J536" s="99"/>
      <c r="K536" s="152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 spans="1:25" ht="19" hidden="1" x14ac:dyDescent="0.25">
      <c r="A537" s="88"/>
      <c r="B537" s="161"/>
      <c r="C537" s="99" t="s">
        <v>180</v>
      </c>
      <c r="D537" s="99"/>
      <c r="E537" s="100"/>
      <c r="F537" s="100"/>
      <c r="G537" s="100"/>
      <c r="H537" s="100"/>
      <c r="I537" s="99"/>
      <c r="J537" s="99"/>
      <c r="K537" s="152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 spans="1:25" ht="19" hidden="1" x14ac:dyDescent="0.25">
      <c r="A538" s="88"/>
      <c r="B538" s="161"/>
      <c r="C538" s="99" t="s">
        <v>184</v>
      </c>
      <c r="D538" s="99"/>
      <c r="E538" s="100"/>
      <c r="F538" s="100"/>
      <c r="G538" s="154"/>
      <c r="H538" s="154"/>
      <c r="I538" s="99"/>
      <c r="J538" s="99"/>
      <c r="K538" s="152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 spans="1:25" ht="19" x14ac:dyDescent="0.25">
      <c r="A539" s="88"/>
      <c r="B539" s="218" t="s">
        <v>334</v>
      </c>
      <c r="C539" s="356" t="s">
        <v>167</v>
      </c>
      <c r="D539" s="110" t="s">
        <v>120</v>
      </c>
      <c r="E539" s="110" t="s">
        <v>118</v>
      </c>
      <c r="F539" s="111" t="s">
        <v>52</v>
      </c>
      <c r="G539" s="111" t="s">
        <v>53</v>
      </c>
      <c r="H539" s="111" t="s">
        <v>54</v>
      </c>
      <c r="I539" s="111" t="s">
        <v>55</v>
      </c>
      <c r="J539" s="110" t="s">
        <v>56</v>
      </c>
      <c r="K539" s="151" t="s">
        <v>57</v>
      </c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 spans="1:25" ht="19" x14ac:dyDescent="0.25">
      <c r="A540" s="88"/>
      <c r="B540" s="108" t="s">
        <v>338</v>
      </c>
      <c r="C540" s="357"/>
      <c r="D540" s="110" t="s">
        <v>88</v>
      </c>
      <c r="E540" s="111" t="s">
        <v>187</v>
      </c>
      <c r="F540" s="111" t="s">
        <v>89</v>
      </c>
      <c r="G540" s="111" t="s">
        <v>188</v>
      </c>
      <c r="H540" s="111" t="s">
        <v>91</v>
      </c>
      <c r="I540" s="110" t="s">
        <v>92</v>
      </c>
      <c r="J540" s="110" t="s">
        <v>93</v>
      </c>
      <c r="K540" s="151" t="s">
        <v>189</v>
      </c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 spans="1:25" ht="19" x14ac:dyDescent="0.25">
      <c r="A541" s="88"/>
      <c r="B541" s="112"/>
      <c r="C541" s="99" t="s">
        <v>176</v>
      </c>
      <c r="D541" s="99" t="s">
        <v>114</v>
      </c>
      <c r="E541" s="99" t="s">
        <v>114</v>
      </c>
      <c r="F541" s="99" t="s">
        <v>114</v>
      </c>
      <c r="G541" s="99" t="s">
        <v>114</v>
      </c>
      <c r="H541" s="114">
        <v>6400</v>
      </c>
      <c r="I541" s="115">
        <v>12900</v>
      </c>
      <c r="J541" s="115">
        <v>26800</v>
      </c>
      <c r="K541" s="155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 spans="1:25" ht="19" x14ac:dyDescent="0.25">
      <c r="A542" s="88"/>
      <c r="B542" s="112"/>
      <c r="C542" s="99" t="s">
        <v>177</v>
      </c>
      <c r="D542" s="228"/>
      <c r="E542" s="117"/>
      <c r="F542" s="117"/>
      <c r="G542" s="117"/>
      <c r="H542" s="117">
        <f>H541*0.9</f>
        <v>5760</v>
      </c>
      <c r="I542" s="117">
        <f t="shared" ref="I542:J542" si="237">I541*0.9</f>
        <v>11610</v>
      </c>
      <c r="J542" s="117">
        <f t="shared" si="237"/>
        <v>24120</v>
      </c>
      <c r="K542" s="156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 spans="1:25" ht="19" x14ac:dyDescent="0.25">
      <c r="A543" s="88"/>
      <c r="B543" s="157"/>
      <c r="C543" s="99" t="s">
        <v>178</v>
      </c>
      <c r="D543" s="99" t="s">
        <v>114</v>
      </c>
      <c r="E543" s="99" t="s">
        <v>114</v>
      </c>
      <c r="F543" s="99" t="s">
        <v>114</v>
      </c>
      <c r="G543" s="99" t="s">
        <v>114</v>
      </c>
      <c r="H543" s="120">
        <f>H541*3</f>
        <v>19200</v>
      </c>
      <c r="I543" s="120">
        <f t="shared" ref="I543:J543" si="238">I541*3</f>
        <v>38700</v>
      </c>
      <c r="J543" s="120">
        <f t="shared" si="238"/>
        <v>80400</v>
      </c>
      <c r="K543" s="121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 spans="1:25" ht="19" x14ac:dyDescent="0.25">
      <c r="A544" s="88"/>
      <c r="B544" s="140" t="s">
        <v>192</v>
      </c>
      <c r="C544" s="123"/>
      <c r="D544" s="158" t="s">
        <v>114</v>
      </c>
      <c r="E544" s="158" t="s">
        <v>114</v>
      </c>
      <c r="F544" s="158" t="s">
        <v>114</v>
      </c>
      <c r="G544" s="158" t="s">
        <v>114</v>
      </c>
      <c r="H544" s="125">
        <f>H543*0.75</f>
        <v>14400</v>
      </c>
      <c r="I544" s="125">
        <f>I543*0.75</f>
        <v>29025</v>
      </c>
      <c r="J544" s="125">
        <f>J543*0.75</f>
        <v>60300</v>
      </c>
      <c r="K544" s="126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 spans="1:26" ht="19" x14ac:dyDescent="0.25">
      <c r="A545" s="88"/>
      <c r="B545" s="157" t="s">
        <v>193</v>
      </c>
      <c r="C545" s="99" t="s">
        <v>180</v>
      </c>
      <c r="D545" s="159" t="s">
        <v>114</v>
      </c>
      <c r="E545" s="159" t="s">
        <v>114</v>
      </c>
      <c r="F545" s="159" t="s">
        <v>114</v>
      </c>
      <c r="G545" s="159" t="s">
        <v>114</v>
      </c>
      <c r="H545" s="120">
        <f>H541*6</f>
        <v>38400</v>
      </c>
      <c r="I545" s="120">
        <f t="shared" ref="I545:J545" si="239">I541*6</f>
        <v>77400</v>
      </c>
      <c r="J545" s="120">
        <f t="shared" si="239"/>
        <v>160800</v>
      </c>
      <c r="K545" s="121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 spans="1:26" ht="19" x14ac:dyDescent="0.25">
      <c r="A546" s="88"/>
      <c r="B546" s="140" t="s">
        <v>194</v>
      </c>
      <c r="C546" s="123"/>
      <c r="D546" s="160"/>
      <c r="E546" s="160"/>
      <c r="F546" s="160"/>
      <c r="G546" s="160"/>
      <c r="H546" s="130">
        <f>H545*0.7</f>
        <v>26880</v>
      </c>
      <c r="I546" s="130">
        <f>I545*0.7</f>
        <v>54180</v>
      </c>
      <c r="J546" s="130">
        <f>J545*0.7</f>
        <v>112560</v>
      </c>
      <c r="K546" s="131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 spans="1:26" ht="19" x14ac:dyDescent="0.25">
      <c r="A547" s="88"/>
      <c r="B547" s="157" t="s">
        <v>193</v>
      </c>
      <c r="C547" s="134" t="s">
        <v>182</v>
      </c>
      <c r="D547" s="147"/>
      <c r="E547" s="147"/>
      <c r="F547" s="147"/>
      <c r="G547" s="147"/>
      <c r="H547" s="136">
        <f>H541*9</f>
        <v>57600</v>
      </c>
      <c r="I547" s="136">
        <f t="shared" ref="I547:J547" si="240">I541*9</f>
        <v>116100</v>
      </c>
      <c r="J547" s="136">
        <f t="shared" si="240"/>
        <v>241200</v>
      </c>
      <c r="K547" s="137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27"/>
    </row>
    <row r="548" spans="1:26" ht="19" x14ac:dyDescent="0.25">
      <c r="A548" s="88"/>
      <c r="B548" s="140" t="s">
        <v>195</v>
      </c>
      <c r="C548" s="141"/>
      <c r="D548" s="158" t="s">
        <v>114</v>
      </c>
      <c r="E548" s="158" t="s">
        <v>114</v>
      </c>
      <c r="F548" s="158" t="s">
        <v>114</v>
      </c>
      <c r="G548" s="158" t="s">
        <v>114</v>
      </c>
      <c r="H548" s="143">
        <f>H547*0.65</f>
        <v>37440</v>
      </c>
      <c r="I548" s="143">
        <f>I547*0.65</f>
        <v>75465</v>
      </c>
      <c r="J548" s="143">
        <f>J547*0.65</f>
        <v>156780</v>
      </c>
      <c r="K548" s="14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 spans="1:26" ht="19" x14ac:dyDescent="0.25">
      <c r="A549" s="88"/>
      <c r="B549" s="157" t="s">
        <v>193</v>
      </c>
      <c r="C549" s="147" t="s">
        <v>184</v>
      </c>
      <c r="D549" s="99" t="s">
        <v>114</v>
      </c>
      <c r="E549" s="99" t="s">
        <v>114</v>
      </c>
      <c r="F549" s="99" t="s">
        <v>114</v>
      </c>
      <c r="G549" s="99" t="s">
        <v>114</v>
      </c>
      <c r="H549" s="149">
        <f>H541*12</f>
        <v>76800</v>
      </c>
      <c r="I549" s="149">
        <f t="shared" ref="I549:J549" si="241">I541*12</f>
        <v>154800</v>
      </c>
      <c r="J549" s="149">
        <f t="shared" si="241"/>
        <v>321600</v>
      </c>
      <c r="K549" s="150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27"/>
    </row>
    <row r="550" spans="1:26" ht="19" x14ac:dyDescent="0.25">
      <c r="A550" s="88"/>
      <c r="B550" s="140" t="s">
        <v>196</v>
      </c>
      <c r="C550" s="123"/>
      <c r="D550" s="158" t="s">
        <v>114</v>
      </c>
      <c r="E550" s="158" t="s">
        <v>114</v>
      </c>
      <c r="F550" s="158" t="s">
        <v>114</v>
      </c>
      <c r="G550" s="158" t="s">
        <v>114</v>
      </c>
      <c r="H550" s="125">
        <f>H549*0.6</f>
        <v>46080</v>
      </c>
      <c r="I550" s="125">
        <f>I549*0.6</f>
        <v>92880</v>
      </c>
      <c r="J550" s="125">
        <f>J549*0.6</f>
        <v>192960</v>
      </c>
      <c r="K550" s="126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 spans="1:26" ht="19" x14ac:dyDescent="0.25">
      <c r="A551" s="88"/>
      <c r="B551" s="172" t="s">
        <v>339</v>
      </c>
      <c r="C551" s="356" t="s">
        <v>167</v>
      </c>
      <c r="D551" s="110" t="s">
        <v>120</v>
      </c>
      <c r="E551" s="110" t="s">
        <v>118</v>
      </c>
      <c r="F551" s="111" t="s">
        <v>52</v>
      </c>
      <c r="G551" s="111" t="s">
        <v>53</v>
      </c>
      <c r="H551" s="111" t="s">
        <v>54</v>
      </c>
      <c r="I551" s="111" t="s">
        <v>55</v>
      </c>
      <c r="J551" s="110" t="s">
        <v>56</v>
      </c>
      <c r="K551" s="151" t="s">
        <v>57</v>
      </c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27"/>
    </row>
    <row r="552" spans="1:26" ht="19" hidden="1" x14ac:dyDescent="0.25">
      <c r="A552" s="88"/>
      <c r="B552" s="161"/>
      <c r="C552" s="357"/>
      <c r="D552" s="110" t="s">
        <v>88</v>
      </c>
      <c r="E552" s="111" t="s">
        <v>187</v>
      </c>
      <c r="F552" s="111" t="s">
        <v>89</v>
      </c>
      <c r="G552" s="111" t="s">
        <v>188</v>
      </c>
      <c r="H552" s="111" t="s">
        <v>91</v>
      </c>
      <c r="I552" s="110" t="s">
        <v>92</v>
      </c>
      <c r="J552" s="110" t="s">
        <v>93</v>
      </c>
      <c r="K552" s="151" t="s">
        <v>189</v>
      </c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 spans="1:26" ht="19" hidden="1" x14ac:dyDescent="0.25">
      <c r="A553" s="88"/>
      <c r="B553" s="161"/>
      <c r="C553" s="99" t="s">
        <v>176</v>
      </c>
      <c r="D553" s="99"/>
      <c r="E553" s="100"/>
      <c r="F553" s="100"/>
      <c r="G553" s="100"/>
      <c r="H553" s="100"/>
      <c r="I553" s="99"/>
      <c r="J553" s="99"/>
      <c r="K553" s="152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 spans="1:26" ht="19" hidden="1" x14ac:dyDescent="0.25">
      <c r="A554" s="88"/>
      <c r="B554" s="161"/>
      <c r="C554" s="99" t="s">
        <v>178</v>
      </c>
      <c r="D554" s="99"/>
      <c r="E554" s="100"/>
      <c r="F554" s="100"/>
      <c r="G554" s="100"/>
      <c r="H554" s="100"/>
      <c r="I554" s="99"/>
      <c r="J554" s="99"/>
      <c r="K554" s="152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 spans="1:26" ht="19" hidden="1" x14ac:dyDescent="0.25">
      <c r="A555" s="88"/>
      <c r="B555" s="161"/>
      <c r="C555" s="99" t="s">
        <v>180</v>
      </c>
      <c r="D555" s="99"/>
      <c r="E555" s="100"/>
      <c r="F555" s="100"/>
      <c r="G555" s="100"/>
      <c r="H555" s="100"/>
      <c r="I555" s="99"/>
      <c r="J555" s="99"/>
      <c r="K555" s="152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 spans="1:26" ht="19" hidden="1" x14ac:dyDescent="0.25">
      <c r="A556" s="88"/>
      <c r="B556" s="161"/>
      <c r="C556" s="99" t="s">
        <v>184</v>
      </c>
      <c r="D556" s="99"/>
      <c r="E556" s="100"/>
      <c r="F556" s="100"/>
      <c r="G556" s="154"/>
      <c r="H556" s="154"/>
      <c r="I556" s="99"/>
      <c r="J556" s="99"/>
      <c r="K556" s="152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 spans="1:26" ht="19" hidden="1" x14ac:dyDescent="0.25">
      <c r="A557" s="88"/>
      <c r="B557" s="172" t="s">
        <v>336</v>
      </c>
      <c r="C557" s="356" t="s">
        <v>167</v>
      </c>
      <c r="D557" s="110" t="s">
        <v>120</v>
      </c>
      <c r="E557" s="110" t="s">
        <v>118</v>
      </c>
      <c r="F557" s="111" t="s">
        <v>52</v>
      </c>
      <c r="G557" s="111" t="s">
        <v>53</v>
      </c>
      <c r="H557" s="111" t="s">
        <v>54</v>
      </c>
      <c r="I557" s="111" t="s">
        <v>55</v>
      </c>
      <c r="J557" s="110" t="s">
        <v>56</v>
      </c>
      <c r="K557" s="151" t="s">
        <v>57</v>
      </c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 spans="1:26" ht="19" hidden="1" x14ac:dyDescent="0.25">
      <c r="A558" s="88"/>
      <c r="B558" s="161"/>
      <c r="C558" s="357"/>
      <c r="D558" s="110" t="s">
        <v>88</v>
      </c>
      <c r="E558" s="111" t="s">
        <v>187</v>
      </c>
      <c r="F558" s="111" t="s">
        <v>89</v>
      </c>
      <c r="G558" s="111" t="s">
        <v>188</v>
      </c>
      <c r="H558" s="111" t="s">
        <v>91</v>
      </c>
      <c r="I558" s="110" t="s">
        <v>92</v>
      </c>
      <c r="J558" s="110" t="s">
        <v>93</v>
      </c>
      <c r="K558" s="151" t="s">
        <v>189</v>
      </c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 spans="1:26" ht="19" hidden="1" x14ac:dyDescent="0.25">
      <c r="A559" s="88"/>
      <c r="B559" s="161"/>
      <c r="C559" s="99" t="s">
        <v>176</v>
      </c>
      <c r="D559" s="99"/>
      <c r="E559" s="100"/>
      <c r="F559" s="100"/>
      <c r="G559" s="100"/>
      <c r="H559" s="100"/>
      <c r="I559" s="99"/>
      <c r="J559" s="99"/>
      <c r="K559" s="152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 spans="1:26" ht="19" hidden="1" x14ac:dyDescent="0.25">
      <c r="A560" s="88"/>
      <c r="B560" s="161"/>
      <c r="C560" s="99" t="s">
        <v>178</v>
      </c>
      <c r="D560" s="99"/>
      <c r="E560" s="100"/>
      <c r="F560" s="100"/>
      <c r="G560" s="100"/>
      <c r="H560" s="100"/>
      <c r="I560" s="99"/>
      <c r="J560" s="99"/>
      <c r="K560" s="152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 spans="1:25" ht="19" hidden="1" x14ac:dyDescent="0.25">
      <c r="A561" s="88"/>
      <c r="B561" s="161"/>
      <c r="C561" s="99" t="s">
        <v>180</v>
      </c>
      <c r="D561" s="99"/>
      <c r="E561" s="100"/>
      <c r="F561" s="100"/>
      <c r="G561" s="100"/>
      <c r="H561" s="100"/>
      <c r="I561" s="99"/>
      <c r="J561" s="99"/>
      <c r="K561" s="152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 spans="1:25" ht="19" hidden="1" x14ac:dyDescent="0.25">
      <c r="A562" s="88"/>
      <c r="B562" s="161"/>
      <c r="C562" s="99" t="s">
        <v>184</v>
      </c>
      <c r="D562" s="99"/>
      <c r="E562" s="100"/>
      <c r="F562" s="100"/>
      <c r="G562" s="154"/>
      <c r="H562" s="154"/>
      <c r="I562" s="99"/>
      <c r="J562" s="99"/>
      <c r="K562" s="152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 spans="1:25" ht="19" hidden="1" x14ac:dyDescent="0.25">
      <c r="A563" s="88"/>
      <c r="B563" s="172" t="s">
        <v>340</v>
      </c>
      <c r="C563" s="356" t="s">
        <v>167</v>
      </c>
      <c r="D563" s="110" t="s">
        <v>120</v>
      </c>
      <c r="E563" s="110" t="s">
        <v>118</v>
      </c>
      <c r="F563" s="111" t="s">
        <v>52</v>
      </c>
      <c r="G563" s="111" t="s">
        <v>53</v>
      </c>
      <c r="H563" s="111" t="s">
        <v>54</v>
      </c>
      <c r="I563" s="111" t="s">
        <v>55</v>
      </c>
      <c r="J563" s="110" t="s">
        <v>56</v>
      </c>
      <c r="K563" s="151" t="s">
        <v>57</v>
      </c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 spans="1:25" ht="19" hidden="1" x14ac:dyDescent="0.25">
      <c r="A564" s="88"/>
      <c r="B564" s="161"/>
      <c r="C564" s="357"/>
      <c r="D564" s="110" t="s">
        <v>88</v>
      </c>
      <c r="E564" s="111" t="s">
        <v>187</v>
      </c>
      <c r="F564" s="111" t="s">
        <v>89</v>
      </c>
      <c r="G564" s="111" t="s">
        <v>188</v>
      </c>
      <c r="H564" s="111" t="s">
        <v>91</v>
      </c>
      <c r="I564" s="110" t="s">
        <v>92</v>
      </c>
      <c r="J564" s="110" t="s">
        <v>93</v>
      </c>
      <c r="K564" s="151" t="s">
        <v>189</v>
      </c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 spans="1:25" ht="19" hidden="1" x14ac:dyDescent="0.25">
      <c r="A565" s="88"/>
      <c r="B565" s="161"/>
      <c r="C565" s="99" t="s">
        <v>176</v>
      </c>
      <c r="D565" s="99"/>
      <c r="E565" s="100"/>
      <c r="F565" s="100"/>
      <c r="G565" s="100"/>
      <c r="H565" s="100"/>
      <c r="I565" s="99"/>
      <c r="J565" s="99"/>
      <c r="K565" s="152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 spans="1:25" ht="19" hidden="1" x14ac:dyDescent="0.25">
      <c r="A566" s="88"/>
      <c r="B566" s="161"/>
      <c r="C566" s="99" t="s">
        <v>178</v>
      </c>
      <c r="D566" s="99"/>
      <c r="E566" s="100"/>
      <c r="F566" s="100"/>
      <c r="G566" s="100"/>
      <c r="H566" s="100"/>
      <c r="I566" s="99"/>
      <c r="J566" s="99"/>
      <c r="K566" s="152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 spans="1:25" ht="19" hidden="1" x14ac:dyDescent="0.25">
      <c r="A567" s="88"/>
      <c r="B567" s="161"/>
      <c r="C567" s="99" t="s">
        <v>180</v>
      </c>
      <c r="D567" s="99"/>
      <c r="E567" s="100"/>
      <c r="F567" s="100"/>
      <c r="G567" s="100"/>
      <c r="H567" s="100"/>
      <c r="I567" s="99"/>
      <c r="J567" s="99"/>
      <c r="K567" s="152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 spans="1:25" ht="19" hidden="1" x14ac:dyDescent="0.25">
      <c r="A568" s="88"/>
      <c r="B568" s="161"/>
      <c r="C568" s="99" t="s">
        <v>184</v>
      </c>
      <c r="D568" s="99"/>
      <c r="E568" s="100"/>
      <c r="F568" s="100"/>
      <c r="G568" s="100"/>
      <c r="H568" s="100"/>
      <c r="I568" s="99"/>
      <c r="J568" s="99"/>
      <c r="K568" s="152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 spans="1:25" ht="18" hidden="1" x14ac:dyDescent="0.25">
      <c r="A569" s="88"/>
      <c r="B569" s="88"/>
      <c r="C569" s="186"/>
      <c r="D569" s="186"/>
      <c r="E569" s="186"/>
      <c r="F569" s="186"/>
      <c r="G569" s="186"/>
      <c r="H569" s="186"/>
      <c r="I569" s="88"/>
      <c r="J569" s="88"/>
      <c r="K569" s="91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 spans="1:25" ht="18" x14ac:dyDescent="0.25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91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 spans="1:25" ht="18" x14ac:dyDescent="0.25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</row>
    <row r="572" spans="1:25" ht="18" x14ac:dyDescent="0.25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 spans="1:25" ht="18" x14ac:dyDescent="0.25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 spans="1:25" ht="18" x14ac:dyDescent="0.25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 spans="1:25" ht="18" x14ac:dyDescent="0.2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 spans="1:25" ht="18" x14ac:dyDescent="0.25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 spans="1:25" ht="18" x14ac:dyDescent="0.25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 spans="1:25" ht="18" x14ac:dyDescent="0.25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 spans="1:25" ht="18" x14ac:dyDescent="0.25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 spans="1:25" ht="18" x14ac:dyDescent="0.25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 spans="1:25" ht="18" x14ac:dyDescent="0.25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 spans="1:25" ht="18" x14ac:dyDescent="0.25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 spans="1:25" ht="18" x14ac:dyDescent="0.25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 spans="1:25" ht="18" x14ac:dyDescent="0.25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 spans="1:25" ht="18" x14ac:dyDescent="0.2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 spans="1:25" ht="18" x14ac:dyDescent="0.25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 spans="1:25" ht="18" x14ac:dyDescent="0.25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 spans="1:25" ht="18" x14ac:dyDescent="0.25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 spans="1:25" ht="18" x14ac:dyDescent="0.25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 spans="1:25" ht="18" x14ac:dyDescent="0.25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 spans="1:25" ht="18" x14ac:dyDescent="0.25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 spans="1:25" ht="18" x14ac:dyDescent="0.25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 spans="1:26" ht="18" x14ac:dyDescent="0.25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 spans="1:26" ht="18" x14ac:dyDescent="0.25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 spans="1:26" ht="18" x14ac:dyDescent="0.2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 spans="1:26" ht="18" x14ac:dyDescent="0.25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 spans="1:26" ht="18" x14ac:dyDescent="0.25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 spans="1:26" ht="18" x14ac:dyDescent="0.25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 spans="1:26" ht="18" x14ac:dyDescent="0.25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 spans="1:26" ht="18" x14ac:dyDescent="0.25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 spans="1:26" ht="18" x14ac:dyDescent="0.25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 spans="1:26" ht="18" x14ac:dyDescent="0.25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 spans="1:26" ht="18" x14ac:dyDescent="0.25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 spans="1:26" ht="18" x14ac:dyDescent="0.25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 spans="1:26" ht="18" x14ac:dyDescent="0.2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8" x14ac:dyDescent="0.25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8" x14ac:dyDescent="0.25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8" x14ac:dyDescent="0.25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8" x14ac:dyDescent="0.25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8" x14ac:dyDescent="0.25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8" x14ac:dyDescent="0.25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8" x14ac:dyDescent="0.25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8" x14ac:dyDescent="0.25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8" x14ac:dyDescent="0.25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8" x14ac:dyDescent="0.2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8" x14ac:dyDescent="0.25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8" x14ac:dyDescent="0.25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8" x14ac:dyDescent="0.25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8" x14ac:dyDescent="0.25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8" x14ac:dyDescent="0.25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8" x14ac:dyDescent="0.25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8" x14ac:dyDescent="0.25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8" x14ac:dyDescent="0.25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8" x14ac:dyDescent="0.25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8" x14ac:dyDescent="0.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8" x14ac:dyDescent="0.25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8" x14ac:dyDescent="0.25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8" x14ac:dyDescent="0.25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8" x14ac:dyDescent="0.25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8" x14ac:dyDescent="0.25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8" x14ac:dyDescent="0.25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8" x14ac:dyDescent="0.25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8" x14ac:dyDescent="0.25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8" x14ac:dyDescent="0.25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8" x14ac:dyDescent="0.2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8" x14ac:dyDescent="0.25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8" x14ac:dyDescent="0.25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8" x14ac:dyDescent="0.25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8" x14ac:dyDescent="0.25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8" x14ac:dyDescent="0.25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8" x14ac:dyDescent="0.25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8" x14ac:dyDescent="0.25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8" x14ac:dyDescent="0.25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8" x14ac:dyDescent="0.25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8" x14ac:dyDescent="0.2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8" x14ac:dyDescent="0.25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8" x14ac:dyDescent="0.25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8" x14ac:dyDescent="0.25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8" x14ac:dyDescent="0.25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8" x14ac:dyDescent="0.25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8" x14ac:dyDescent="0.25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8" x14ac:dyDescent="0.25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8" x14ac:dyDescent="0.25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8" x14ac:dyDescent="0.25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8" x14ac:dyDescent="0.2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8" x14ac:dyDescent="0.25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8" x14ac:dyDescent="0.25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8" x14ac:dyDescent="0.25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8" x14ac:dyDescent="0.25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8" x14ac:dyDescent="0.25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8" x14ac:dyDescent="0.25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8" x14ac:dyDescent="0.25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8" x14ac:dyDescent="0.25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8" x14ac:dyDescent="0.25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8" x14ac:dyDescent="0.2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8" x14ac:dyDescent="0.25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8" x14ac:dyDescent="0.25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8" x14ac:dyDescent="0.25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8" x14ac:dyDescent="0.25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8" x14ac:dyDescent="0.25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8" x14ac:dyDescent="0.25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8" x14ac:dyDescent="0.25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8" x14ac:dyDescent="0.25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8" x14ac:dyDescent="0.25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8" x14ac:dyDescent="0.2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8" x14ac:dyDescent="0.25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8" x14ac:dyDescent="0.25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8" x14ac:dyDescent="0.25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8" x14ac:dyDescent="0.25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8" x14ac:dyDescent="0.25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8" x14ac:dyDescent="0.25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8" x14ac:dyDescent="0.25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8" x14ac:dyDescent="0.25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8" x14ac:dyDescent="0.25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8" x14ac:dyDescent="0.2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8" x14ac:dyDescent="0.25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8" x14ac:dyDescent="0.25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8" x14ac:dyDescent="0.25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8" x14ac:dyDescent="0.25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8" x14ac:dyDescent="0.25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8" x14ac:dyDescent="0.25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8" x14ac:dyDescent="0.25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8" x14ac:dyDescent="0.25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8" x14ac:dyDescent="0.25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8" x14ac:dyDescent="0.2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8" x14ac:dyDescent="0.25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8" x14ac:dyDescent="0.25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8" x14ac:dyDescent="0.25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8" x14ac:dyDescent="0.25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8" x14ac:dyDescent="0.25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8" x14ac:dyDescent="0.25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8" x14ac:dyDescent="0.25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8" x14ac:dyDescent="0.25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8" x14ac:dyDescent="0.25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8" x14ac:dyDescent="0.2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8" x14ac:dyDescent="0.25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8" x14ac:dyDescent="0.25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8" x14ac:dyDescent="0.25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8" x14ac:dyDescent="0.25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8" x14ac:dyDescent="0.25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8" x14ac:dyDescent="0.25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8" x14ac:dyDescent="0.25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8" x14ac:dyDescent="0.25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8" x14ac:dyDescent="0.25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8" x14ac:dyDescent="0.2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8" x14ac:dyDescent="0.25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8" x14ac:dyDescent="0.25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8" x14ac:dyDescent="0.2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8" x14ac:dyDescent="0.25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8" x14ac:dyDescent="0.25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8" x14ac:dyDescent="0.25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8" x14ac:dyDescent="0.25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8" x14ac:dyDescent="0.25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8" x14ac:dyDescent="0.25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8" x14ac:dyDescent="0.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8" x14ac:dyDescent="0.25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8" x14ac:dyDescent="0.25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8" x14ac:dyDescent="0.25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8" x14ac:dyDescent="0.25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8" x14ac:dyDescent="0.25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8" x14ac:dyDescent="0.25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8" x14ac:dyDescent="0.25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8" x14ac:dyDescent="0.25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8" x14ac:dyDescent="0.25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8" x14ac:dyDescent="0.2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8" x14ac:dyDescent="0.25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8" x14ac:dyDescent="0.25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8" x14ac:dyDescent="0.25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8" x14ac:dyDescent="0.25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8" x14ac:dyDescent="0.25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8" x14ac:dyDescent="0.25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8" x14ac:dyDescent="0.25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8" x14ac:dyDescent="0.25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8" x14ac:dyDescent="0.25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8" x14ac:dyDescent="0.2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8" x14ac:dyDescent="0.25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8" x14ac:dyDescent="0.25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8" x14ac:dyDescent="0.25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8" x14ac:dyDescent="0.25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8" x14ac:dyDescent="0.25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8" x14ac:dyDescent="0.25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8" x14ac:dyDescent="0.25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8" x14ac:dyDescent="0.25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8" x14ac:dyDescent="0.25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8" x14ac:dyDescent="0.2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8" x14ac:dyDescent="0.25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8" x14ac:dyDescent="0.25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8" x14ac:dyDescent="0.25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8" x14ac:dyDescent="0.25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8" x14ac:dyDescent="0.25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8" x14ac:dyDescent="0.25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8" x14ac:dyDescent="0.25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8" x14ac:dyDescent="0.25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8" x14ac:dyDescent="0.25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8" x14ac:dyDescent="0.2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8" x14ac:dyDescent="0.25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8" x14ac:dyDescent="0.25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8" x14ac:dyDescent="0.25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8" x14ac:dyDescent="0.25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8" x14ac:dyDescent="0.25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8" x14ac:dyDescent="0.25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8" x14ac:dyDescent="0.25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8" x14ac:dyDescent="0.25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8" x14ac:dyDescent="0.25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8" x14ac:dyDescent="0.2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8" x14ac:dyDescent="0.25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8" x14ac:dyDescent="0.25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8" x14ac:dyDescent="0.25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8" x14ac:dyDescent="0.25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8" x14ac:dyDescent="0.25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8" x14ac:dyDescent="0.25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8" x14ac:dyDescent="0.25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8" x14ac:dyDescent="0.25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8" x14ac:dyDescent="0.25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8" x14ac:dyDescent="0.2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8" x14ac:dyDescent="0.25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8" x14ac:dyDescent="0.25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8" x14ac:dyDescent="0.25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8" x14ac:dyDescent="0.25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8" x14ac:dyDescent="0.25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8" x14ac:dyDescent="0.25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8" x14ac:dyDescent="0.25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8" x14ac:dyDescent="0.25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8" x14ac:dyDescent="0.25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8" x14ac:dyDescent="0.2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8" x14ac:dyDescent="0.25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8" x14ac:dyDescent="0.25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8" x14ac:dyDescent="0.25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8" x14ac:dyDescent="0.25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8" x14ac:dyDescent="0.25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8" x14ac:dyDescent="0.25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8" x14ac:dyDescent="0.25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8" x14ac:dyDescent="0.25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8" x14ac:dyDescent="0.25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8" x14ac:dyDescent="0.2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8" x14ac:dyDescent="0.25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8" x14ac:dyDescent="0.25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8" x14ac:dyDescent="0.25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8" x14ac:dyDescent="0.25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8" x14ac:dyDescent="0.25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8" x14ac:dyDescent="0.25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8" x14ac:dyDescent="0.25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8" x14ac:dyDescent="0.25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8" x14ac:dyDescent="0.25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8" x14ac:dyDescent="0.2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8" x14ac:dyDescent="0.25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8" x14ac:dyDescent="0.25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8" x14ac:dyDescent="0.25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8" x14ac:dyDescent="0.25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8" x14ac:dyDescent="0.25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8" x14ac:dyDescent="0.25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8" x14ac:dyDescent="0.25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8" x14ac:dyDescent="0.25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8" x14ac:dyDescent="0.25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8" x14ac:dyDescent="0.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8" x14ac:dyDescent="0.25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8" x14ac:dyDescent="0.25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8" x14ac:dyDescent="0.25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8" x14ac:dyDescent="0.25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8" x14ac:dyDescent="0.25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8" x14ac:dyDescent="0.25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8" x14ac:dyDescent="0.25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8" x14ac:dyDescent="0.25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8" x14ac:dyDescent="0.25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8" x14ac:dyDescent="0.2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8" x14ac:dyDescent="0.25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8" x14ac:dyDescent="0.25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8" x14ac:dyDescent="0.25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8" x14ac:dyDescent="0.25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8" x14ac:dyDescent="0.25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8" x14ac:dyDescent="0.25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8" x14ac:dyDescent="0.25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8" x14ac:dyDescent="0.25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8" x14ac:dyDescent="0.25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8" x14ac:dyDescent="0.2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8" x14ac:dyDescent="0.25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8" x14ac:dyDescent="0.25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8" x14ac:dyDescent="0.25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8" x14ac:dyDescent="0.25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8" x14ac:dyDescent="0.25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8" x14ac:dyDescent="0.25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8" x14ac:dyDescent="0.25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8" x14ac:dyDescent="0.25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8" x14ac:dyDescent="0.25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8" x14ac:dyDescent="0.2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8" x14ac:dyDescent="0.25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8" x14ac:dyDescent="0.25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8" x14ac:dyDescent="0.25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8" x14ac:dyDescent="0.25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8" x14ac:dyDescent="0.25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8" x14ac:dyDescent="0.25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8" x14ac:dyDescent="0.25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8" x14ac:dyDescent="0.25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8" x14ac:dyDescent="0.25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8" x14ac:dyDescent="0.2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8" x14ac:dyDescent="0.25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8" x14ac:dyDescent="0.25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8" x14ac:dyDescent="0.25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8" x14ac:dyDescent="0.25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8" x14ac:dyDescent="0.25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8" x14ac:dyDescent="0.25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8" x14ac:dyDescent="0.25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8" x14ac:dyDescent="0.25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8" x14ac:dyDescent="0.25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8" x14ac:dyDescent="0.2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8" x14ac:dyDescent="0.25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8" x14ac:dyDescent="0.25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8" x14ac:dyDescent="0.25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8" x14ac:dyDescent="0.25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8" x14ac:dyDescent="0.25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8" x14ac:dyDescent="0.25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8" x14ac:dyDescent="0.25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8" x14ac:dyDescent="0.25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8" x14ac:dyDescent="0.25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8" x14ac:dyDescent="0.2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8" x14ac:dyDescent="0.25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8" x14ac:dyDescent="0.25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8" x14ac:dyDescent="0.25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8" x14ac:dyDescent="0.25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8" x14ac:dyDescent="0.25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8" x14ac:dyDescent="0.25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8" x14ac:dyDescent="0.25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8" x14ac:dyDescent="0.25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8" x14ac:dyDescent="0.25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8" x14ac:dyDescent="0.2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8" x14ac:dyDescent="0.25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8" x14ac:dyDescent="0.25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8" x14ac:dyDescent="0.25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8" x14ac:dyDescent="0.25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8" x14ac:dyDescent="0.25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8" x14ac:dyDescent="0.25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8" x14ac:dyDescent="0.25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8" x14ac:dyDescent="0.25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8" x14ac:dyDescent="0.25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8" x14ac:dyDescent="0.2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8" x14ac:dyDescent="0.25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8" x14ac:dyDescent="0.25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8" x14ac:dyDescent="0.25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8" x14ac:dyDescent="0.25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8" x14ac:dyDescent="0.25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8" x14ac:dyDescent="0.25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8" x14ac:dyDescent="0.25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8" x14ac:dyDescent="0.25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8" x14ac:dyDescent="0.25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8" x14ac:dyDescent="0.2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8" x14ac:dyDescent="0.25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8" x14ac:dyDescent="0.25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8" x14ac:dyDescent="0.25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8" x14ac:dyDescent="0.25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8" x14ac:dyDescent="0.25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8" x14ac:dyDescent="0.25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8" x14ac:dyDescent="0.25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8" x14ac:dyDescent="0.25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8" x14ac:dyDescent="0.25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8" x14ac:dyDescent="0.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8" x14ac:dyDescent="0.25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8" x14ac:dyDescent="0.25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8" x14ac:dyDescent="0.25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8" x14ac:dyDescent="0.25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8" x14ac:dyDescent="0.25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8" x14ac:dyDescent="0.25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8" x14ac:dyDescent="0.25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8" x14ac:dyDescent="0.25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8" x14ac:dyDescent="0.25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8" x14ac:dyDescent="0.2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8" x14ac:dyDescent="0.25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8" x14ac:dyDescent="0.25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8" x14ac:dyDescent="0.25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8" x14ac:dyDescent="0.25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8" x14ac:dyDescent="0.25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8" x14ac:dyDescent="0.25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8" x14ac:dyDescent="0.25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8" x14ac:dyDescent="0.25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8" x14ac:dyDescent="0.25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8" x14ac:dyDescent="0.2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8" x14ac:dyDescent="0.25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8" x14ac:dyDescent="0.25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8" x14ac:dyDescent="0.25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8" x14ac:dyDescent="0.25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8" x14ac:dyDescent="0.25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8" x14ac:dyDescent="0.25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8" x14ac:dyDescent="0.25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8" x14ac:dyDescent="0.25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8" x14ac:dyDescent="0.25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8" x14ac:dyDescent="0.2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8" x14ac:dyDescent="0.25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8" x14ac:dyDescent="0.25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8" x14ac:dyDescent="0.25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8" x14ac:dyDescent="0.25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8" x14ac:dyDescent="0.25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8" x14ac:dyDescent="0.25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8" x14ac:dyDescent="0.25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8" x14ac:dyDescent="0.25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8" x14ac:dyDescent="0.25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8" x14ac:dyDescent="0.2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8" x14ac:dyDescent="0.25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8" x14ac:dyDescent="0.25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8" x14ac:dyDescent="0.25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8" x14ac:dyDescent="0.25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8" x14ac:dyDescent="0.25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8" x14ac:dyDescent="0.25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8" x14ac:dyDescent="0.25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8" x14ac:dyDescent="0.25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8" x14ac:dyDescent="0.25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8" x14ac:dyDescent="0.2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8" x14ac:dyDescent="0.25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8" x14ac:dyDescent="0.25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8" x14ac:dyDescent="0.25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8" x14ac:dyDescent="0.25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8" x14ac:dyDescent="0.25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8" x14ac:dyDescent="0.25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8" x14ac:dyDescent="0.25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8" x14ac:dyDescent="0.25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8" x14ac:dyDescent="0.25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8" x14ac:dyDescent="0.2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8" x14ac:dyDescent="0.25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8" x14ac:dyDescent="0.25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8" x14ac:dyDescent="0.25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8" x14ac:dyDescent="0.25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8" x14ac:dyDescent="0.25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8" x14ac:dyDescent="0.25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8" x14ac:dyDescent="0.25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8" x14ac:dyDescent="0.25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8" x14ac:dyDescent="0.25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8" x14ac:dyDescent="0.2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8" x14ac:dyDescent="0.25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8" x14ac:dyDescent="0.25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8" x14ac:dyDescent="0.25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8" x14ac:dyDescent="0.25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8" x14ac:dyDescent="0.25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spans="1:26" ht="18" x14ac:dyDescent="0.25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spans="1:26" ht="18" x14ac:dyDescent="0.25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spans="1:26" ht="18" x14ac:dyDescent="0.25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spans="1:26" ht="18" x14ac:dyDescent="0.25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spans="1:26" ht="18" x14ac:dyDescent="0.25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spans="1:26" ht="18" x14ac:dyDescent="0.25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spans="1:26" ht="18" x14ac:dyDescent="0.25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spans="1:26" ht="18" x14ac:dyDescent="0.25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spans="1:26" ht="18" x14ac:dyDescent="0.25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spans="1:26" ht="18" x14ac:dyDescent="0.25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 spans="1:26" ht="18" x14ac:dyDescent="0.25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 spans="1:26" ht="18" x14ac:dyDescent="0.25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 spans="1:26" ht="18" x14ac:dyDescent="0.25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  <row r="1014" spans="1:26" ht="18" x14ac:dyDescent="0.25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</row>
    <row r="1015" spans="1:26" ht="18" x14ac:dyDescent="0.25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</row>
    <row r="1016" spans="1:26" ht="18" x14ac:dyDescent="0.25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</row>
    <row r="1017" spans="1:26" ht="18" x14ac:dyDescent="0.25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</row>
    <row r="1018" spans="1:26" ht="18" x14ac:dyDescent="0.25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</row>
    <row r="1019" spans="1:26" ht="18" x14ac:dyDescent="0.25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</row>
    <row r="1020" spans="1:26" ht="18" x14ac:dyDescent="0.25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</row>
    <row r="1021" spans="1:26" ht="18" x14ac:dyDescent="0.25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</row>
    <row r="1022" spans="1:26" ht="18" x14ac:dyDescent="0.25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</row>
    <row r="1023" spans="1:26" ht="18" x14ac:dyDescent="0.25">
      <c r="A1023" s="88"/>
      <c r="B1023" s="88"/>
      <c r="C1023" s="88"/>
      <c r="D1023" s="8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</row>
    <row r="1024" spans="1:26" ht="18" x14ac:dyDescent="0.25">
      <c r="A1024" s="88"/>
      <c r="B1024" s="88"/>
      <c r="C1024" s="88"/>
      <c r="D1024" s="8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</row>
    <row r="1025" spans="1:26" ht="18" x14ac:dyDescent="0.25">
      <c r="A1025" s="88"/>
      <c r="B1025" s="88"/>
      <c r="C1025" s="88"/>
      <c r="D1025" s="8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</row>
    <row r="1026" spans="1:26" ht="18" x14ac:dyDescent="0.25">
      <c r="A1026" s="88"/>
      <c r="B1026" s="88"/>
      <c r="C1026" s="88"/>
      <c r="D1026" s="8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</row>
    <row r="1027" spans="1:26" ht="18" x14ac:dyDescent="0.25">
      <c r="A1027" s="88"/>
      <c r="B1027" s="88"/>
      <c r="C1027" s="88"/>
      <c r="D1027" s="8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</row>
    <row r="1028" spans="1:26" ht="18" x14ac:dyDescent="0.25">
      <c r="A1028" s="88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</row>
    <row r="1029" spans="1:26" ht="18" x14ac:dyDescent="0.25">
      <c r="A1029" s="88"/>
      <c r="B1029" s="88"/>
      <c r="C1029" s="88"/>
      <c r="D1029" s="8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</row>
    <row r="1030" spans="1:26" ht="18" x14ac:dyDescent="0.25">
      <c r="A1030" s="88"/>
      <c r="B1030" s="88"/>
      <c r="C1030" s="88"/>
      <c r="D1030" s="8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</row>
    <row r="1031" spans="1:26" ht="18" x14ac:dyDescent="0.25">
      <c r="A1031" s="88"/>
      <c r="B1031" s="88"/>
      <c r="C1031" s="88"/>
      <c r="D1031" s="8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</row>
    <row r="1032" spans="1:26" ht="18" x14ac:dyDescent="0.25">
      <c r="A1032" s="88"/>
      <c r="B1032" s="88"/>
      <c r="C1032" s="88"/>
      <c r="D1032" s="8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</row>
    <row r="1033" spans="1:26" ht="18" x14ac:dyDescent="0.25">
      <c r="A1033" s="88"/>
      <c r="B1033" s="88"/>
      <c r="C1033" s="88"/>
      <c r="D1033" s="8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</row>
    <row r="1034" spans="1:26" ht="18" x14ac:dyDescent="0.25">
      <c r="A1034" s="88"/>
      <c r="B1034" s="88"/>
      <c r="C1034" s="88"/>
      <c r="D1034" s="8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</row>
    <row r="1035" spans="1:26" ht="18" x14ac:dyDescent="0.25">
      <c r="A1035" s="88"/>
      <c r="B1035" s="88"/>
      <c r="C1035" s="88"/>
      <c r="D1035" s="8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</row>
    <row r="1036" spans="1:26" ht="18" x14ac:dyDescent="0.25">
      <c r="A1036" s="88"/>
      <c r="B1036" s="88"/>
      <c r="C1036" s="88"/>
      <c r="D1036" s="8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</row>
    <row r="1037" spans="1:26" ht="18" x14ac:dyDescent="0.25">
      <c r="A1037" s="88"/>
      <c r="B1037" s="88"/>
      <c r="C1037" s="88"/>
      <c r="D1037" s="8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</row>
    <row r="1038" spans="1:26" ht="18" x14ac:dyDescent="0.25">
      <c r="A1038" s="88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</row>
    <row r="1039" spans="1:26" ht="18" x14ac:dyDescent="0.25">
      <c r="A1039" s="88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</row>
    <row r="1040" spans="1:26" ht="18" x14ac:dyDescent="0.25">
      <c r="A1040" s="88"/>
      <c r="B1040" s="88"/>
      <c r="C1040" s="88"/>
      <c r="D1040" s="8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</row>
    <row r="1041" spans="1:26" ht="18" x14ac:dyDescent="0.25">
      <c r="A1041" s="88"/>
      <c r="B1041" s="88"/>
      <c r="C1041" s="88"/>
      <c r="D1041" s="8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</row>
    <row r="1042" spans="1:26" ht="18" x14ac:dyDescent="0.25">
      <c r="A1042" s="88"/>
      <c r="B1042" s="88"/>
      <c r="C1042" s="88"/>
      <c r="D1042" s="8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</row>
    <row r="1043" spans="1:26" ht="18" x14ac:dyDescent="0.25">
      <c r="A1043" s="88"/>
      <c r="B1043" s="88"/>
      <c r="C1043" s="88"/>
      <c r="D1043" s="8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</row>
    <row r="1044" spans="1:26" ht="18" x14ac:dyDescent="0.25">
      <c r="A1044" s="88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</row>
    <row r="1045" spans="1:26" ht="18" x14ac:dyDescent="0.25">
      <c r="A1045" s="88"/>
      <c r="B1045" s="88"/>
      <c r="C1045" s="88"/>
      <c r="D1045" s="8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</row>
    <row r="1046" spans="1:26" ht="18" x14ac:dyDescent="0.25">
      <c r="A1046" s="88"/>
      <c r="B1046" s="88"/>
      <c r="C1046" s="88"/>
      <c r="D1046" s="8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</row>
    <row r="1047" spans="1:26" ht="18" x14ac:dyDescent="0.25">
      <c r="A1047" s="88"/>
      <c r="B1047" s="88"/>
      <c r="C1047" s="88"/>
      <c r="D1047" s="8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</row>
    <row r="1048" spans="1:26" ht="18" x14ac:dyDescent="0.25">
      <c r="A1048" s="88"/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</row>
    <row r="1049" spans="1:26" ht="18" x14ac:dyDescent="0.25">
      <c r="A1049" s="88"/>
      <c r="B1049" s="88"/>
      <c r="C1049" s="88"/>
      <c r="D1049" s="88"/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</row>
    <row r="1050" spans="1:26" ht="18" x14ac:dyDescent="0.25">
      <c r="A1050" s="88"/>
      <c r="B1050" s="88"/>
      <c r="C1050" s="88"/>
      <c r="D1050" s="88"/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</row>
    <row r="1051" spans="1:26" ht="18" x14ac:dyDescent="0.25">
      <c r="A1051" s="88"/>
      <c r="B1051" s="88"/>
      <c r="C1051" s="88"/>
      <c r="D1051" s="88"/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</row>
    <row r="1052" spans="1:26" ht="18" x14ac:dyDescent="0.25">
      <c r="A1052" s="88"/>
      <c r="B1052" s="88"/>
      <c r="C1052" s="88"/>
      <c r="D1052" s="88"/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</row>
    <row r="1053" spans="1:26" ht="18" x14ac:dyDescent="0.25">
      <c r="A1053" s="88"/>
      <c r="B1053" s="88"/>
      <c r="C1053" s="88"/>
      <c r="D1053" s="88"/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</row>
    <row r="1054" spans="1:26" ht="18" x14ac:dyDescent="0.25">
      <c r="A1054" s="88"/>
      <c r="B1054" s="88"/>
      <c r="C1054" s="88"/>
      <c r="D1054" s="88"/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</row>
    <row r="1055" spans="1:26" ht="18" x14ac:dyDescent="0.25">
      <c r="A1055" s="88"/>
      <c r="B1055" s="88"/>
      <c r="C1055" s="88"/>
      <c r="D1055" s="88"/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</row>
    <row r="1056" spans="1:26" ht="18" x14ac:dyDescent="0.25">
      <c r="A1056" s="88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</row>
    <row r="1057" spans="1:26" ht="18" x14ac:dyDescent="0.25">
      <c r="A1057" s="88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</row>
    <row r="1058" spans="1:26" ht="18" x14ac:dyDescent="0.25">
      <c r="A1058" s="88"/>
      <c r="B1058" s="88"/>
      <c r="C1058" s="88"/>
      <c r="D1058" s="88"/>
      <c r="E1058" s="88"/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</row>
    <row r="1059" spans="1:26" ht="18" x14ac:dyDescent="0.25">
      <c r="A1059" s="88"/>
      <c r="B1059" s="88"/>
      <c r="C1059" s="88"/>
      <c r="D1059" s="88"/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</row>
    <row r="1060" spans="1:26" ht="18" x14ac:dyDescent="0.25">
      <c r="A1060" s="88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</row>
    <row r="1061" spans="1:26" ht="18" x14ac:dyDescent="0.25">
      <c r="A1061" s="88"/>
      <c r="B1061" s="88"/>
      <c r="C1061" s="88"/>
      <c r="D1061" s="88"/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</row>
    <row r="1062" spans="1:26" ht="18" x14ac:dyDescent="0.25">
      <c r="A1062" s="88"/>
      <c r="B1062" s="88"/>
      <c r="C1062" s="88"/>
      <c r="D1062" s="88"/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</row>
    <row r="1063" spans="1:26" ht="18" x14ac:dyDescent="0.25">
      <c r="A1063" s="88"/>
      <c r="B1063" s="88"/>
      <c r="C1063" s="88"/>
      <c r="D1063" s="88"/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</row>
    <row r="1064" spans="1:26" ht="18" x14ac:dyDescent="0.25">
      <c r="A1064" s="88"/>
      <c r="B1064" s="88"/>
      <c r="C1064" s="88"/>
      <c r="D1064" s="88"/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</row>
    <row r="1065" spans="1:26" ht="18" x14ac:dyDescent="0.25">
      <c r="A1065" s="88"/>
      <c r="B1065" s="88"/>
      <c r="C1065" s="88"/>
      <c r="D1065" s="88"/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</row>
    <row r="1066" spans="1:26" ht="18" x14ac:dyDescent="0.25">
      <c r="A1066" s="88"/>
      <c r="B1066" s="88"/>
      <c r="C1066" s="88"/>
      <c r="D1066" s="88"/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</row>
    <row r="1067" spans="1:26" ht="18" x14ac:dyDescent="0.25">
      <c r="A1067" s="88"/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</row>
    <row r="1068" spans="1:26" ht="18" x14ac:dyDescent="0.25">
      <c r="A1068" s="88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</row>
    <row r="1069" spans="1:26" ht="18" x14ac:dyDescent="0.25">
      <c r="A1069" s="88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 spans="1:26" ht="18" x14ac:dyDescent="0.25">
      <c r="A1070" s="88"/>
      <c r="B1070" s="88"/>
      <c r="C1070" s="88"/>
      <c r="D1070" s="88"/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</row>
    <row r="1071" spans="1:26" ht="18" x14ac:dyDescent="0.25">
      <c r="A1071" s="88"/>
      <c r="B1071" s="88"/>
      <c r="C1071" s="88"/>
      <c r="D1071" s="88"/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</row>
    <row r="1072" spans="1:26" ht="18" x14ac:dyDescent="0.25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</row>
    <row r="1073" spans="1:26" ht="18" x14ac:dyDescent="0.25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</row>
    <row r="1074" spans="1:26" ht="18" x14ac:dyDescent="0.25">
      <c r="A1074" s="88"/>
      <c r="B1074" s="88"/>
      <c r="C1074" s="88"/>
      <c r="D1074" s="88"/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</row>
    <row r="1075" spans="1:26" ht="18" x14ac:dyDescent="0.25">
      <c r="A1075" s="88"/>
      <c r="B1075" s="88"/>
      <c r="C1075" s="88"/>
      <c r="D1075" s="88"/>
      <c r="E1075" s="88"/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</row>
    <row r="1076" spans="1:26" ht="18" x14ac:dyDescent="0.25">
      <c r="A1076" s="88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</row>
    <row r="1077" spans="1:26" ht="18" x14ac:dyDescent="0.25">
      <c r="A1077" s="88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</row>
    <row r="1078" spans="1:26" ht="18" x14ac:dyDescent="0.25">
      <c r="A1078" s="88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</row>
    <row r="1079" spans="1:26" ht="18" x14ac:dyDescent="0.25">
      <c r="A1079" s="88"/>
      <c r="B1079" s="88"/>
      <c r="C1079" s="88"/>
      <c r="D1079" s="88"/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</row>
    <row r="1080" spans="1:26" ht="18" x14ac:dyDescent="0.25">
      <c r="A1080" s="88"/>
      <c r="B1080" s="88"/>
      <c r="C1080" s="88"/>
      <c r="D1080" s="88"/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</row>
    <row r="1081" spans="1:26" ht="18" x14ac:dyDescent="0.25">
      <c r="A1081" s="88"/>
      <c r="B1081" s="88"/>
      <c r="C1081" s="88"/>
      <c r="D1081" s="88"/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</row>
    <row r="1082" spans="1:26" ht="18" x14ac:dyDescent="0.25">
      <c r="A1082" s="88"/>
      <c r="B1082" s="88"/>
      <c r="C1082" s="88"/>
      <c r="D1082" s="88"/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</row>
    <row r="1083" spans="1:26" ht="18" x14ac:dyDescent="0.25">
      <c r="A1083" s="88"/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</row>
  </sheetData>
  <mergeCells count="70">
    <mergeCell ref="C92:C93"/>
    <mergeCell ref="C1:D1"/>
    <mergeCell ref="B2:B3"/>
    <mergeCell ref="C2:D2"/>
    <mergeCell ref="E2:G2"/>
    <mergeCell ref="C29:C30"/>
    <mergeCell ref="C41:C42"/>
    <mergeCell ref="C47:C48"/>
    <mergeCell ref="C53:C54"/>
    <mergeCell ref="C68:C69"/>
    <mergeCell ref="C74:C75"/>
    <mergeCell ref="C80:C81"/>
    <mergeCell ref="C194:C195"/>
    <mergeCell ref="C97:C98"/>
    <mergeCell ref="C109:C110"/>
    <mergeCell ref="C116:C117"/>
    <mergeCell ref="C122:C123"/>
    <mergeCell ref="C134:C135"/>
    <mergeCell ref="C140:C141"/>
    <mergeCell ref="C146:C147"/>
    <mergeCell ref="C158:C159"/>
    <mergeCell ref="C170:C171"/>
    <mergeCell ref="C176:C177"/>
    <mergeCell ref="C182:C183"/>
    <mergeCell ref="C287:C288"/>
    <mergeCell ref="C200:C201"/>
    <mergeCell ref="C206:C207"/>
    <mergeCell ref="C221:C222"/>
    <mergeCell ref="C227:C228"/>
    <mergeCell ref="C233:C234"/>
    <mergeCell ref="C245:C246"/>
    <mergeCell ref="C251:C252"/>
    <mergeCell ref="C257:C258"/>
    <mergeCell ref="C269:C270"/>
    <mergeCell ref="C275:C276"/>
    <mergeCell ref="C281:C282"/>
    <mergeCell ref="C389:C390"/>
    <mergeCell ref="C299:C300"/>
    <mergeCell ref="C305:C306"/>
    <mergeCell ref="C311:C312"/>
    <mergeCell ref="C323:C324"/>
    <mergeCell ref="C335:C336"/>
    <mergeCell ref="C341:C342"/>
    <mergeCell ref="C347:C348"/>
    <mergeCell ref="C359:C360"/>
    <mergeCell ref="C365:C366"/>
    <mergeCell ref="C371:C372"/>
    <mergeCell ref="C383:C384"/>
    <mergeCell ref="C479:C480"/>
    <mergeCell ref="C395:C396"/>
    <mergeCell ref="C401:C402"/>
    <mergeCell ref="C413:C414"/>
    <mergeCell ref="C419:C420"/>
    <mergeCell ref="C425:C426"/>
    <mergeCell ref="C437:C438"/>
    <mergeCell ref="C443:C444"/>
    <mergeCell ref="C449:C450"/>
    <mergeCell ref="C455:C456"/>
    <mergeCell ref="C467:C468"/>
    <mergeCell ref="C473:C474"/>
    <mergeCell ref="C539:C540"/>
    <mergeCell ref="C551:C552"/>
    <mergeCell ref="C557:C558"/>
    <mergeCell ref="C563:C564"/>
    <mergeCell ref="C491:C492"/>
    <mergeCell ref="C503:C504"/>
    <mergeCell ref="C509:C510"/>
    <mergeCell ref="C515:C516"/>
    <mergeCell ref="C527:C528"/>
    <mergeCell ref="C533:C53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849-7820-4EE4-8489-19DD6AB5DA44}">
  <sheetPr>
    <tabColor theme="9"/>
  </sheetPr>
  <dimension ref="A1:N62"/>
  <sheetViews>
    <sheetView workbookViewId="0">
      <pane ySplit="2" topLeftCell="A65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2" width="8.83203125" style="238"/>
    <col min="3" max="5" width="9" style="240" bestFit="1" customWidth="1"/>
    <col min="6" max="6" width="9" style="240" customWidth="1"/>
    <col min="7" max="14" width="9" style="240" bestFit="1" customWidth="1"/>
    <col min="15" max="16384" width="8.83203125" style="238"/>
  </cols>
  <sheetData>
    <row r="1" spans="1:14" x14ac:dyDescent="0.2">
      <c r="A1" s="273" t="s">
        <v>347</v>
      </c>
      <c r="B1" s="274"/>
      <c r="C1" s="241" t="s">
        <v>343</v>
      </c>
      <c r="D1" s="242"/>
      <c r="E1" s="242"/>
      <c r="F1" s="242"/>
      <c r="G1" s="243"/>
      <c r="H1" s="247" t="s">
        <v>344</v>
      </c>
      <c r="I1" s="248"/>
      <c r="J1" s="248"/>
      <c r="K1" s="248"/>
      <c r="L1" s="248"/>
      <c r="M1" s="248"/>
      <c r="N1" s="249"/>
    </row>
    <row r="2" spans="1:14" s="239" customFormat="1" x14ac:dyDescent="0.2">
      <c r="A2" s="275" t="s">
        <v>58</v>
      </c>
      <c r="B2" s="275" t="s">
        <v>341</v>
      </c>
      <c r="C2" s="276" t="s">
        <v>51</v>
      </c>
      <c r="D2" s="276" t="s">
        <v>81</v>
      </c>
      <c r="E2" s="276" t="s">
        <v>84</v>
      </c>
      <c r="F2" s="276" t="s">
        <v>83</v>
      </c>
      <c r="G2" s="276" t="s">
        <v>85</v>
      </c>
      <c r="H2" s="276" t="s">
        <v>80</v>
      </c>
      <c r="I2" s="276" t="s">
        <v>81</v>
      </c>
      <c r="J2" s="276" t="s">
        <v>82</v>
      </c>
      <c r="K2" s="276" t="s">
        <v>83</v>
      </c>
      <c r="L2" s="276" t="s">
        <v>86</v>
      </c>
      <c r="M2" s="276" t="s">
        <v>85</v>
      </c>
      <c r="N2" s="276" t="s">
        <v>87</v>
      </c>
    </row>
    <row r="3" spans="1:14" s="239" customFormat="1" x14ac:dyDescent="0.2">
      <c r="A3" s="250" t="s">
        <v>345</v>
      </c>
      <c r="B3" s="244">
        <v>1</v>
      </c>
      <c r="C3" s="259" t="s">
        <v>199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</row>
    <row r="4" spans="1:14" s="239" customFormat="1" x14ac:dyDescent="0.2">
      <c r="A4" s="251" t="s">
        <v>345</v>
      </c>
      <c r="B4" s="245">
        <v>3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4" s="239" customFormat="1" x14ac:dyDescent="0.2">
      <c r="A5" s="251" t="s">
        <v>345</v>
      </c>
      <c r="B5" s="245">
        <v>6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</row>
    <row r="6" spans="1:14" s="239" customFormat="1" x14ac:dyDescent="0.2">
      <c r="A6" s="251" t="s">
        <v>345</v>
      </c>
      <c r="B6" s="245">
        <v>9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1:14" s="239" customFormat="1" x14ac:dyDescent="0.2">
      <c r="A7" s="252" t="s">
        <v>345</v>
      </c>
      <c r="B7" s="246">
        <v>12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</row>
    <row r="8" spans="1:14" s="239" customFormat="1" x14ac:dyDescent="0.2">
      <c r="A8" s="266" t="s">
        <v>346</v>
      </c>
      <c r="B8" s="256">
        <v>1</v>
      </c>
      <c r="C8" s="267"/>
      <c r="D8" s="267"/>
      <c r="E8" s="267">
        <f>'Copy of Storage Price 1'!D349</f>
        <v>495</v>
      </c>
      <c r="F8" s="267"/>
      <c r="G8" s="267"/>
      <c r="H8" s="267"/>
      <c r="I8" s="267"/>
      <c r="J8" s="267"/>
      <c r="K8" s="267"/>
      <c r="L8" s="267"/>
      <c r="M8" s="267"/>
      <c r="N8" s="267"/>
    </row>
    <row r="9" spans="1:14" s="239" customFormat="1" x14ac:dyDescent="0.2">
      <c r="A9" s="268" t="s">
        <v>346</v>
      </c>
      <c r="B9" s="257">
        <v>3</v>
      </c>
      <c r="C9" s="269"/>
      <c r="D9" s="269"/>
      <c r="E9" s="269">
        <f>'Copy of Storage Price 1'!D351</f>
        <v>1485</v>
      </c>
      <c r="F9" s="269"/>
      <c r="G9" s="269"/>
      <c r="H9" s="269"/>
      <c r="I9" s="269"/>
      <c r="J9" s="269"/>
      <c r="K9" s="269"/>
      <c r="L9" s="269"/>
      <c r="M9" s="269"/>
      <c r="N9" s="269"/>
    </row>
    <row r="10" spans="1:14" s="239" customFormat="1" x14ac:dyDescent="0.2">
      <c r="A10" s="268" t="s">
        <v>346</v>
      </c>
      <c r="B10" s="257">
        <v>6</v>
      </c>
      <c r="C10" s="269"/>
      <c r="D10" s="269"/>
      <c r="E10" s="269">
        <f>'Copy of Storage Price 1'!D353</f>
        <v>2970</v>
      </c>
      <c r="F10" s="269"/>
      <c r="G10" s="269"/>
      <c r="H10" s="269"/>
      <c r="I10" s="269"/>
      <c r="J10" s="269"/>
      <c r="K10" s="269"/>
      <c r="L10" s="269"/>
      <c r="M10" s="269"/>
      <c r="N10" s="269"/>
    </row>
    <row r="11" spans="1:14" s="239" customFormat="1" x14ac:dyDescent="0.2">
      <c r="A11" s="268" t="s">
        <v>346</v>
      </c>
      <c r="B11" s="257">
        <v>9</v>
      </c>
      <c r="C11" s="269"/>
      <c r="D11" s="269"/>
      <c r="E11" s="269">
        <f>'Copy of Storage Price 1'!D355</f>
        <v>4455</v>
      </c>
      <c r="F11" s="269"/>
      <c r="G11" s="269"/>
      <c r="H11" s="269"/>
      <c r="I11" s="269"/>
      <c r="J11" s="269"/>
      <c r="K11" s="269"/>
      <c r="L11" s="269"/>
      <c r="M11" s="269"/>
      <c r="N11" s="269"/>
    </row>
    <row r="12" spans="1:14" s="239" customFormat="1" x14ac:dyDescent="0.2">
      <c r="A12" s="270" t="s">
        <v>346</v>
      </c>
      <c r="B12" s="258">
        <v>12</v>
      </c>
      <c r="C12" s="271"/>
      <c r="D12" s="271"/>
      <c r="E12" s="271">
        <f>'Copy of Storage Price 1'!D357</f>
        <v>5940</v>
      </c>
      <c r="F12" s="271"/>
      <c r="G12" s="271"/>
      <c r="H12" s="271"/>
      <c r="I12" s="271"/>
      <c r="J12" s="271"/>
      <c r="K12" s="271"/>
      <c r="L12" s="271"/>
      <c r="M12" s="271"/>
      <c r="N12" s="271"/>
    </row>
    <row r="13" spans="1:14" s="239" customFormat="1" x14ac:dyDescent="0.2">
      <c r="A13" s="250" t="s">
        <v>342</v>
      </c>
      <c r="B13" s="244">
        <v>1</v>
      </c>
      <c r="C13" s="260">
        <f>'Copy of Storage Price 1'!D31</f>
        <v>567.48</v>
      </c>
      <c r="D13" s="260">
        <f>'Copy of Storage Price 1'!E184</f>
        <v>1300</v>
      </c>
      <c r="E13" s="260">
        <f>'Copy of Storage Price 1'!E349</f>
        <v>1395</v>
      </c>
      <c r="F13" s="260"/>
      <c r="G13" s="260">
        <f>'Copy of Storage Price 1'!D457</f>
        <v>614.21</v>
      </c>
      <c r="H13" s="260">
        <f>'Copy of Storage Price 1'!D82</f>
        <v>847.85</v>
      </c>
      <c r="I13" s="260">
        <f>'Copy of Storage Price 1'!D184</f>
        <v>474.02</v>
      </c>
      <c r="J13" s="260">
        <f>'Copy of Storage Price 1'!D235</f>
        <v>801.12</v>
      </c>
      <c r="K13" s="260">
        <f>'Copy of Storage Price 1'!D289</f>
        <v>801.21</v>
      </c>
      <c r="L13" s="260">
        <f>'Copy of Storage Price 1'!D403</f>
        <v>801.12</v>
      </c>
      <c r="M13" s="260">
        <f>'Copy of Storage Price 1'!E457</f>
        <v>801.12</v>
      </c>
      <c r="N13" s="260">
        <f>'Copy of Storage Price 1'!D517</f>
        <v>801.12</v>
      </c>
    </row>
    <row r="14" spans="1:14" s="239" customFormat="1" x14ac:dyDescent="0.2">
      <c r="A14" s="251" t="s">
        <v>342</v>
      </c>
      <c r="B14" s="245">
        <v>3</v>
      </c>
      <c r="C14" s="261">
        <f>'Copy of Storage Price 1'!D33</f>
        <v>1702.44</v>
      </c>
      <c r="D14" s="261">
        <f>'Copy of Storage Price 1'!E187</f>
        <v>3120</v>
      </c>
      <c r="E14" s="261">
        <f>'Copy of Storage Price 1'!E351</f>
        <v>4185</v>
      </c>
      <c r="F14" s="261"/>
      <c r="G14" s="261">
        <f>'Copy of Storage Price 1'!D459</f>
        <v>1842.63</v>
      </c>
      <c r="H14" s="261">
        <f>'Copy of Storage Price 1'!D84</f>
        <v>2543.5500000000002</v>
      </c>
      <c r="I14" s="261">
        <f>'Copy of Storage Price 1'!D186</f>
        <v>1422.06</v>
      </c>
      <c r="J14" s="261">
        <f>'Copy of Storage Price 1'!D237</f>
        <v>2403.36</v>
      </c>
      <c r="K14" s="261">
        <f>'Copy of Storage Price 1'!D291</f>
        <v>2403.63</v>
      </c>
      <c r="L14" s="261">
        <f>'Copy of Storage Price 1'!D405</f>
        <v>2403.36</v>
      </c>
      <c r="M14" s="261">
        <f>'Copy of Storage Price 1'!E459</f>
        <v>2403.36</v>
      </c>
      <c r="N14" s="261">
        <f>'Copy of Storage Price 1'!D519</f>
        <v>2403.36</v>
      </c>
    </row>
    <row r="15" spans="1:14" s="239" customFormat="1" x14ac:dyDescent="0.2">
      <c r="A15" s="251" t="s">
        <v>342</v>
      </c>
      <c r="B15" s="245">
        <v>6</v>
      </c>
      <c r="C15" s="261">
        <f>'Copy of Storage Price 1'!D35</f>
        <v>3404.88</v>
      </c>
      <c r="D15" s="261">
        <f>'Copy of Storage Price 1'!E189</f>
        <v>5850</v>
      </c>
      <c r="E15" s="261">
        <f>'Copy of Storage Price 1'!E353</f>
        <v>8370</v>
      </c>
      <c r="F15" s="261"/>
      <c r="G15" s="261">
        <f>'Copy of Storage Price 1'!D461</f>
        <v>3685.26</v>
      </c>
      <c r="H15" s="261">
        <f>'Copy of Storage Price 1'!D86</f>
        <v>5087.1000000000004</v>
      </c>
      <c r="I15" s="261">
        <f>'Copy of Storage Price 1'!D188</f>
        <v>2844.12</v>
      </c>
      <c r="J15" s="261">
        <f>'Copy of Storage Price 1'!D239</f>
        <v>4806.72</v>
      </c>
      <c r="K15" s="261">
        <f>'Copy of Storage Price 1'!D293</f>
        <v>4807.26</v>
      </c>
      <c r="L15" s="261">
        <f>'Copy of Storage Price 1'!D407</f>
        <v>4806.72</v>
      </c>
      <c r="M15" s="261">
        <f>'Copy of Storage Price 1'!E461</f>
        <v>4806.72</v>
      </c>
      <c r="N15" s="261">
        <f>'Copy of Storage Price 1'!D521</f>
        <v>4806.72</v>
      </c>
    </row>
    <row r="16" spans="1:14" s="239" customFormat="1" x14ac:dyDescent="0.2">
      <c r="A16" s="251" t="s">
        <v>342</v>
      </c>
      <c r="B16" s="245">
        <v>9</v>
      </c>
      <c r="C16" s="261">
        <f>'Copy of Storage Price 1'!D37</f>
        <v>5107.32</v>
      </c>
      <c r="D16" s="261">
        <f>'Copy of Storage Price 1'!E191</f>
        <v>8189.9999999999991</v>
      </c>
      <c r="E16" s="261">
        <f>'Copy of Storage Price 1'!E355</f>
        <v>12555</v>
      </c>
      <c r="F16" s="261"/>
      <c r="G16" s="261">
        <f>'Copy of Storage Price 1'!D463</f>
        <v>5527.89</v>
      </c>
      <c r="H16" s="261">
        <f>'Copy of Storage Price 1'!D88</f>
        <v>7630.6500000000005</v>
      </c>
      <c r="I16" s="261">
        <f>'Copy of Storage Price 1'!D190</f>
        <v>4266.18</v>
      </c>
      <c r="J16" s="261">
        <f>'Copy of Storage Price 1'!D241</f>
        <v>7210.08</v>
      </c>
      <c r="K16" s="261">
        <f>'Copy of Storage Price 1'!D295</f>
        <v>7210.89</v>
      </c>
      <c r="L16" s="261">
        <f>'Copy of Storage Price 1'!D409</f>
        <v>7210.08</v>
      </c>
      <c r="M16" s="261">
        <f>'Copy of Storage Price 1'!E463</f>
        <v>7210.08</v>
      </c>
      <c r="N16" s="261">
        <f>'Copy of Storage Price 1'!D523</f>
        <v>7210.08</v>
      </c>
    </row>
    <row r="17" spans="1:14" s="239" customFormat="1" x14ac:dyDescent="0.2">
      <c r="A17" s="252" t="s">
        <v>342</v>
      </c>
      <c r="B17" s="246">
        <v>12</v>
      </c>
      <c r="C17" s="262">
        <f>'Copy of Storage Price 1'!D39</f>
        <v>6809.76</v>
      </c>
      <c r="D17" s="262">
        <f>'Copy of Storage Price 1'!E193</f>
        <v>10140</v>
      </c>
      <c r="E17" s="262">
        <f>'Copy of Storage Price 1'!E357</f>
        <v>16740</v>
      </c>
      <c r="F17" s="262"/>
      <c r="G17" s="262">
        <f>'Copy of Storage Price 1'!D465</f>
        <v>7370.52</v>
      </c>
      <c r="H17" s="262">
        <f>'Copy of Storage Price 1'!D90</f>
        <v>10174.200000000001</v>
      </c>
      <c r="I17" s="262">
        <f>'Copy of Storage Price 1'!D192</f>
        <v>5688.24</v>
      </c>
      <c r="J17" s="262">
        <f>'Copy of Storage Price 1'!D243</f>
        <v>9613.44</v>
      </c>
      <c r="K17" s="262">
        <f>'Copy of Storage Price 1'!D297</f>
        <v>9614.52</v>
      </c>
      <c r="L17" s="262">
        <f>'Copy of Storage Price 1'!D411</f>
        <v>9613.44</v>
      </c>
      <c r="M17" s="262">
        <f>'Copy of Storage Price 1'!E465</f>
        <v>9613.44</v>
      </c>
      <c r="N17" s="262">
        <f>'Copy of Storage Price 1'!D525</f>
        <v>9613.44</v>
      </c>
    </row>
    <row r="18" spans="1:14" x14ac:dyDescent="0.2">
      <c r="A18" s="266" t="s">
        <v>118</v>
      </c>
      <c r="B18" s="256">
        <v>1</v>
      </c>
      <c r="C18" s="267">
        <f>'Copy of Storage Price 1'!E31</f>
        <v>1300</v>
      </c>
      <c r="D18" s="267">
        <f>'Copy of Storage Price 1'!E184</f>
        <v>1300</v>
      </c>
      <c r="E18" s="267"/>
      <c r="F18" s="267"/>
      <c r="G18" s="267">
        <f>'Copy of Storage Price 1'!F457</f>
        <v>1300</v>
      </c>
      <c r="H18" s="267">
        <f>'Copy of Storage Price 1'!E82</f>
        <v>2100</v>
      </c>
      <c r="I18" s="267">
        <f>'Copy of Storage Price 1'!F184</f>
        <v>1400</v>
      </c>
      <c r="J18" s="267">
        <f>'Copy of Storage Price 1'!E235</f>
        <v>1500</v>
      </c>
      <c r="K18" s="267">
        <f>'Copy of Storage Price 1'!E289</f>
        <v>1800</v>
      </c>
      <c r="L18" s="267">
        <f>'Copy of Storage Price 1'!E403</f>
        <v>1600</v>
      </c>
      <c r="M18" s="267">
        <f>'Copy of Storage Price 1'!G457</f>
        <v>1500</v>
      </c>
      <c r="N18" s="267">
        <f>'Copy of Storage Price 1'!E517</f>
        <v>1600</v>
      </c>
    </row>
    <row r="19" spans="1:14" x14ac:dyDescent="0.2">
      <c r="A19" s="268" t="s">
        <v>118</v>
      </c>
      <c r="B19" s="257">
        <v>3</v>
      </c>
      <c r="C19" s="269">
        <f>'Copy of Storage Price 1'!E34</f>
        <v>3315</v>
      </c>
      <c r="D19" s="269">
        <f>'Copy of Storage Price 1'!E187</f>
        <v>3120</v>
      </c>
      <c r="E19" s="269"/>
      <c r="F19" s="269"/>
      <c r="G19" s="269">
        <f>'Copy of Storage Price 1'!F460</f>
        <v>3315</v>
      </c>
      <c r="H19" s="269">
        <f>'Copy of Storage Price 1'!E85</f>
        <v>5670</v>
      </c>
      <c r="I19" s="269">
        <f>'Copy of Storage Price 1'!F187</f>
        <v>3360</v>
      </c>
      <c r="J19" s="269">
        <f>'Copy of Storage Price 1'!E238</f>
        <v>3600</v>
      </c>
      <c r="K19" s="269">
        <f>'Copy of Storage Price 1'!E292</f>
        <v>4590</v>
      </c>
      <c r="L19" s="269">
        <f>'Copy of Storage Price 1'!E406</f>
        <v>4080</v>
      </c>
      <c r="M19" s="269">
        <f>'Copy of Storage Price 1'!G460</f>
        <v>3825</v>
      </c>
      <c r="N19" s="269">
        <f>'Copy of Storage Price 1'!E520</f>
        <v>4080</v>
      </c>
    </row>
    <row r="20" spans="1:14" x14ac:dyDescent="0.2">
      <c r="A20" s="268" t="s">
        <v>118</v>
      </c>
      <c r="B20" s="257">
        <v>6</v>
      </c>
      <c r="C20" s="269">
        <f>'Copy of Storage Price 1'!E36</f>
        <v>6240</v>
      </c>
      <c r="D20" s="269">
        <f>'Copy of Storage Price 1'!E189</f>
        <v>5850</v>
      </c>
      <c r="E20" s="269"/>
      <c r="F20" s="269"/>
      <c r="G20" s="269">
        <f>'Copy of Storage Price 1'!F462</f>
        <v>6240</v>
      </c>
      <c r="H20" s="269">
        <f>'Copy of Storage Price 1'!E87</f>
        <v>10710</v>
      </c>
      <c r="I20" s="269">
        <f>'Copy of Storage Price 1'!F189</f>
        <v>6300</v>
      </c>
      <c r="J20" s="269">
        <f>'Copy of Storage Price 1'!E240</f>
        <v>6750</v>
      </c>
      <c r="K20" s="269">
        <f>'Copy of Storage Price 1'!E294</f>
        <v>8640</v>
      </c>
      <c r="L20" s="269">
        <f>'Copy of Storage Price 1'!E408</f>
        <v>7680</v>
      </c>
      <c r="M20" s="269">
        <f>'Copy of Storage Price 1'!G462</f>
        <v>7200</v>
      </c>
      <c r="N20" s="269">
        <f>'Copy of Storage Price 1'!E522</f>
        <v>7680</v>
      </c>
    </row>
    <row r="21" spans="1:14" x14ac:dyDescent="0.2">
      <c r="A21" s="268" t="s">
        <v>118</v>
      </c>
      <c r="B21" s="257">
        <v>9</v>
      </c>
      <c r="C21" s="269">
        <f>'Copy of Storage Price 1'!E38</f>
        <v>8775</v>
      </c>
      <c r="D21" s="269">
        <f>'Copy of Storage Price 1'!E191</f>
        <v>8189.9999999999991</v>
      </c>
      <c r="E21" s="269"/>
      <c r="F21" s="269"/>
      <c r="G21" s="269">
        <f>'Copy of Storage Price 1'!F464</f>
        <v>8775</v>
      </c>
      <c r="H21" s="269">
        <f>'Copy of Storage Price 1'!E89</f>
        <v>15120</v>
      </c>
      <c r="I21" s="269">
        <f>'Copy of Storage Price 1'!F191</f>
        <v>8820</v>
      </c>
      <c r="J21" s="269">
        <f>'Copy of Storage Price 1'!E242</f>
        <v>9450</v>
      </c>
      <c r="K21" s="269">
        <f>'Copy of Storage Price 1'!E296</f>
        <v>12150</v>
      </c>
      <c r="L21" s="269">
        <f>'Copy of Storage Price 1'!E410</f>
        <v>10800</v>
      </c>
      <c r="M21" s="269">
        <f>'Copy of Storage Price 1'!G464</f>
        <v>10125</v>
      </c>
      <c r="N21" s="269">
        <f>'Copy of Storage Price 1'!E524</f>
        <v>10800</v>
      </c>
    </row>
    <row r="22" spans="1:14" x14ac:dyDescent="0.2">
      <c r="A22" s="270" t="s">
        <v>118</v>
      </c>
      <c r="B22" s="258">
        <v>12</v>
      </c>
      <c r="C22" s="271">
        <f>'Copy of Storage Price 1'!E40</f>
        <v>10920</v>
      </c>
      <c r="D22" s="271">
        <f>'Copy of Storage Price 1'!E193</f>
        <v>10140</v>
      </c>
      <c r="E22" s="271"/>
      <c r="F22" s="271"/>
      <c r="G22" s="271">
        <f>'Copy of Storage Price 1'!F466</f>
        <v>10920</v>
      </c>
      <c r="H22" s="271">
        <f>'Copy of Storage Price 1'!E91</f>
        <v>18900</v>
      </c>
      <c r="I22" s="271">
        <f>'Copy of Storage Price 1'!F193</f>
        <v>10920</v>
      </c>
      <c r="J22" s="271">
        <f>'Copy of Storage Price 1'!E244</f>
        <v>11700</v>
      </c>
      <c r="K22" s="271">
        <f>'Copy of Storage Price 1'!E298</f>
        <v>15119.999999999998</v>
      </c>
      <c r="L22" s="271">
        <f>'Copy of Storage Price 1'!E412</f>
        <v>13440</v>
      </c>
      <c r="M22" s="271">
        <f>'Copy of Storage Price 1'!G466</f>
        <v>12600</v>
      </c>
      <c r="N22" s="271">
        <f>'Copy of Storage Price 1'!E526</f>
        <v>13440</v>
      </c>
    </row>
    <row r="23" spans="1:14" x14ac:dyDescent="0.2">
      <c r="A23" s="253" t="s">
        <v>52</v>
      </c>
      <c r="B23" s="244">
        <v>1</v>
      </c>
      <c r="C23" s="263">
        <f>'Copy of Storage Price 1'!F31</f>
        <v>1500</v>
      </c>
      <c r="D23" s="263">
        <f>'Copy of Storage Price 1'!G184</f>
        <v>1600</v>
      </c>
      <c r="E23" s="263">
        <f>'Copy of Storage Price 1'!G349</f>
        <v>2600</v>
      </c>
      <c r="F23" s="263"/>
      <c r="G23" s="263">
        <f>'Copy of Storage Price 1'!H457</f>
        <v>2000</v>
      </c>
      <c r="H23" s="263">
        <f>'Copy of Storage Price 1'!F82</f>
        <v>2200</v>
      </c>
      <c r="I23" s="263">
        <f>'Copy of Storage Price 1'!H184</f>
        <v>1900</v>
      </c>
      <c r="J23" s="263">
        <f>'Copy of Storage Price 1'!F235</f>
        <v>2200</v>
      </c>
      <c r="K23" s="263">
        <f>'Copy of Storage Price 1'!F289</f>
        <v>2200</v>
      </c>
      <c r="L23" s="263">
        <f>'Copy of Storage Price 1'!F403</f>
        <v>2400</v>
      </c>
      <c r="M23" s="263">
        <f>'Copy of Storage Price 1'!I457</f>
        <v>2200</v>
      </c>
      <c r="N23" s="263">
        <f>'Copy of Storage Price 1'!F517</f>
        <v>2400</v>
      </c>
    </row>
    <row r="24" spans="1:14" x14ac:dyDescent="0.2">
      <c r="A24" s="254" t="s">
        <v>52</v>
      </c>
      <c r="B24" s="245">
        <v>3</v>
      </c>
      <c r="C24" s="264">
        <f>'Copy of Storage Price 1'!F34</f>
        <v>3825</v>
      </c>
      <c r="D24" s="264">
        <f>'Copy of Storage Price 1'!G187</f>
        <v>3840</v>
      </c>
      <c r="E24" s="264">
        <f>'Copy of Storage Price 1'!G352</f>
        <v>6240</v>
      </c>
      <c r="F24" s="264"/>
      <c r="G24" s="264">
        <f>'Copy of Storage Price 1'!H460</f>
        <v>5100</v>
      </c>
      <c r="H24" s="264">
        <f>'Copy of Storage Price 1'!F85</f>
        <v>5940</v>
      </c>
      <c r="I24" s="264">
        <f>'Copy of Storage Price 1'!H187</f>
        <v>4560</v>
      </c>
      <c r="J24" s="264">
        <f>'Copy of Storage Price 1'!F238</f>
        <v>5280</v>
      </c>
      <c r="K24" s="264">
        <f>'Copy of Storage Price 1'!F292</f>
        <v>5610</v>
      </c>
      <c r="L24" s="264">
        <f>'Copy of Storage Price 1'!F406</f>
        <v>6120</v>
      </c>
      <c r="M24" s="264">
        <f>'Copy of Storage Price 1'!I460</f>
        <v>5610</v>
      </c>
      <c r="N24" s="264">
        <f>'Copy of Storage Price 1'!F520</f>
        <v>6120</v>
      </c>
    </row>
    <row r="25" spans="1:14" x14ac:dyDescent="0.2">
      <c r="A25" s="254" t="s">
        <v>52</v>
      </c>
      <c r="B25" s="245">
        <v>6</v>
      </c>
      <c r="C25" s="264">
        <f>'Copy of Storage Price 1'!F36</f>
        <v>7200</v>
      </c>
      <c r="D25" s="264">
        <f>'Copy of Storage Price 1'!G189</f>
        <v>7200</v>
      </c>
      <c r="E25" s="264">
        <f>'Copy of Storage Price 1'!G354</f>
        <v>11700</v>
      </c>
      <c r="F25" s="264"/>
      <c r="G25" s="264">
        <f>'Copy of Storage Price 1'!H462</f>
        <v>9600</v>
      </c>
      <c r="H25" s="264">
        <f>'Copy of Storage Price 1'!F87</f>
        <v>11220</v>
      </c>
      <c r="I25" s="264">
        <f>'Copy of Storage Price 1'!H189</f>
        <v>8550</v>
      </c>
      <c r="J25" s="264">
        <f>'Copy of Storage Price 1'!F240</f>
        <v>9900</v>
      </c>
      <c r="K25" s="264">
        <f>'Copy of Storage Price 1'!F294</f>
        <v>10560</v>
      </c>
      <c r="L25" s="264">
        <f>'Copy of Storage Price 1'!F408</f>
        <v>11520</v>
      </c>
      <c r="M25" s="264">
        <f>'Copy of Storage Price 1'!I462</f>
        <v>10560</v>
      </c>
      <c r="N25" s="264">
        <f>'Copy of Storage Price 1'!F522</f>
        <v>11520</v>
      </c>
    </row>
    <row r="26" spans="1:14" x14ac:dyDescent="0.2">
      <c r="A26" s="254" t="s">
        <v>52</v>
      </c>
      <c r="B26" s="245">
        <v>9</v>
      </c>
      <c r="C26" s="264">
        <f>'Copy of Storage Price 1'!F38</f>
        <v>10125</v>
      </c>
      <c r="D26" s="264">
        <f>'Copy of Storage Price 1'!G191</f>
        <v>10080</v>
      </c>
      <c r="E26" s="264">
        <f>'Copy of Storage Price 1'!G356</f>
        <v>16379.999999999998</v>
      </c>
      <c r="F26" s="264"/>
      <c r="G26" s="264">
        <f>'Copy of Storage Price 1'!H464</f>
        <v>13500</v>
      </c>
      <c r="H26" s="264">
        <f>'Copy of Storage Price 1'!F89</f>
        <v>15840</v>
      </c>
      <c r="I26" s="264">
        <f>'Copy of Storage Price 1'!H191</f>
        <v>11970</v>
      </c>
      <c r="J26" s="264">
        <f>'Copy of Storage Price 1'!F242</f>
        <v>13860</v>
      </c>
      <c r="K26" s="264">
        <f>'Copy of Storage Price 1'!F296</f>
        <v>14850</v>
      </c>
      <c r="L26" s="264">
        <f>'Copy of Storage Price 1'!F410</f>
        <v>16200</v>
      </c>
      <c r="M26" s="264">
        <f>'Copy of Storage Price 1'!I464</f>
        <v>14850</v>
      </c>
      <c r="N26" s="264">
        <f>'Copy of Storage Price 1'!F524</f>
        <v>16200</v>
      </c>
    </row>
    <row r="27" spans="1:14" x14ac:dyDescent="0.2">
      <c r="A27" s="255" t="s">
        <v>52</v>
      </c>
      <c r="B27" s="246">
        <v>12</v>
      </c>
      <c r="C27" s="265">
        <f>'Copy of Storage Price 1'!F40</f>
        <v>12600</v>
      </c>
      <c r="D27" s="265">
        <f>'Copy of Storage Price 1'!G193</f>
        <v>12480</v>
      </c>
      <c r="E27" s="265">
        <f>'Copy of Storage Price 1'!G358</f>
        <v>20280</v>
      </c>
      <c r="F27" s="265"/>
      <c r="G27" s="265">
        <f>'Copy of Storage Price 1'!H466</f>
        <v>16800</v>
      </c>
      <c r="H27" s="265">
        <f>'Copy of Storage Price 1'!F91</f>
        <v>19800</v>
      </c>
      <c r="I27" s="265">
        <f>'Copy of Storage Price 1'!H193</f>
        <v>14820</v>
      </c>
      <c r="J27" s="265">
        <f>'Copy of Storage Price 1'!F244</f>
        <v>17160</v>
      </c>
      <c r="K27" s="265">
        <f>'Copy of Storage Price 1'!F298</f>
        <v>18480</v>
      </c>
      <c r="L27" s="265">
        <f>'Copy of Storage Price 1'!F412</f>
        <v>20160</v>
      </c>
      <c r="M27" s="265">
        <f>'Copy of Storage Price 1'!I466</f>
        <v>18480</v>
      </c>
      <c r="N27" s="265">
        <f>'Copy of Storage Price 1'!F526</f>
        <v>20160</v>
      </c>
    </row>
    <row r="28" spans="1:14" x14ac:dyDescent="0.2">
      <c r="A28" s="266" t="s">
        <v>53</v>
      </c>
      <c r="B28" s="256">
        <v>1</v>
      </c>
      <c r="C28" s="267">
        <f>'Copy of Storage Price 1'!G31</f>
        <v>3600</v>
      </c>
      <c r="D28" s="267">
        <f>'Copy of Storage Price 1'!I184</f>
        <v>2500</v>
      </c>
      <c r="E28" s="267">
        <f>'Copy of Storage Price 1'!H349</f>
        <v>2800</v>
      </c>
      <c r="F28" s="267"/>
      <c r="G28" s="267">
        <f>'Copy of Storage Price 1'!J457</f>
        <v>3100</v>
      </c>
      <c r="H28" s="267">
        <f>'Copy of Storage Price 1'!G82</f>
        <v>3500</v>
      </c>
      <c r="I28" s="267">
        <f>'Copy of Storage Price 1'!J184</f>
        <v>2500</v>
      </c>
      <c r="J28" s="267">
        <f>'Copy of Storage Price 1'!G236</f>
        <v>2100</v>
      </c>
      <c r="K28" s="267">
        <f>'Copy of Storage Price 1'!G289</f>
        <v>3400</v>
      </c>
      <c r="L28" s="267">
        <f>'Copy of Storage Price 1'!G403</f>
        <v>4000</v>
      </c>
      <c r="M28" s="267">
        <f>'Copy of Storage Price 1'!K457</f>
        <v>3300</v>
      </c>
      <c r="N28" s="267">
        <f>'Copy of Storage Price 1'!G517</f>
        <v>3800</v>
      </c>
    </row>
    <row r="29" spans="1:14" x14ac:dyDescent="0.2">
      <c r="A29" s="268" t="s">
        <v>53</v>
      </c>
      <c r="B29" s="257">
        <v>3</v>
      </c>
      <c r="C29" s="269">
        <f>'Copy of Storage Price 1'!G34</f>
        <v>9180</v>
      </c>
      <c r="D29" s="269">
        <f>'Copy of Storage Price 1'!I187</f>
        <v>6000</v>
      </c>
      <c r="E29" s="269">
        <f>'Copy of Storage Price 1'!H352</f>
        <v>6720</v>
      </c>
      <c r="F29" s="269"/>
      <c r="G29" s="269">
        <f>'Copy of Storage Price 1'!J460</f>
        <v>7905</v>
      </c>
      <c r="H29" s="269">
        <f>'Copy of Storage Price 1'!G85</f>
        <v>9450</v>
      </c>
      <c r="I29" s="269">
        <f>'Copy of Storage Price 1'!J187</f>
        <v>6000</v>
      </c>
      <c r="J29" s="269">
        <f>'Copy of Storage Price 1'!G238</f>
        <v>6300</v>
      </c>
      <c r="K29" s="269">
        <f>'Copy of Storage Price 1'!G292</f>
        <v>8670</v>
      </c>
      <c r="L29" s="269">
        <f>'Copy of Storage Price 1'!G406</f>
        <v>10200</v>
      </c>
      <c r="M29" s="269">
        <f>'Copy of Storage Price 1'!K460</f>
        <v>8415</v>
      </c>
      <c r="N29" s="269">
        <f>'Copy of Storage Price 1'!G520</f>
        <v>9690</v>
      </c>
    </row>
    <row r="30" spans="1:14" x14ac:dyDescent="0.2">
      <c r="A30" s="268" t="s">
        <v>53</v>
      </c>
      <c r="B30" s="257">
        <v>6</v>
      </c>
      <c r="C30" s="269">
        <f>'Copy of Storage Price 1'!G36</f>
        <v>17280</v>
      </c>
      <c r="D30" s="269">
        <f>'Copy of Storage Price 1'!I189</f>
        <v>11250</v>
      </c>
      <c r="E30" s="269">
        <f>'Copy of Storage Price 1'!H354</f>
        <v>12600</v>
      </c>
      <c r="F30" s="269"/>
      <c r="G30" s="269">
        <f>'Copy of Storage Price 1'!J462</f>
        <v>14880</v>
      </c>
      <c r="H30" s="269">
        <f>'Copy of Storage Price 1'!G87</f>
        <v>17850</v>
      </c>
      <c r="I30" s="269">
        <f>'Copy of Storage Price 1'!J189</f>
        <v>11250</v>
      </c>
      <c r="J30" s="269">
        <f>'Copy of Storage Price 1'!G240</f>
        <v>12600</v>
      </c>
      <c r="K30" s="269">
        <f>'Copy of Storage Price 1'!G294</f>
        <v>16320</v>
      </c>
      <c r="L30" s="269">
        <f>'Copy of Storage Price 1'!G408</f>
        <v>19200</v>
      </c>
      <c r="M30" s="269">
        <f>'Copy of Storage Price 1'!K462</f>
        <v>15840</v>
      </c>
      <c r="N30" s="269">
        <f>'Copy of Storage Price 1'!G522</f>
        <v>18240</v>
      </c>
    </row>
    <row r="31" spans="1:14" x14ac:dyDescent="0.2">
      <c r="A31" s="268" t="s">
        <v>53</v>
      </c>
      <c r="B31" s="257">
        <v>9</v>
      </c>
      <c r="C31" s="269">
        <f>'Copy of Storage Price 1'!G38</f>
        <v>24300</v>
      </c>
      <c r="D31" s="269">
        <f>'Copy of Storage Price 1'!I191</f>
        <v>15749.999999999998</v>
      </c>
      <c r="E31" s="269">
        <f>'Copy of Storage Price 1'!H356</f>
        <v>17640</v>
      </c>
      <c r="F31" s="269"/>
      <c r="G31" s="269">
        <f>'Copy of Storage Price 1'!J464</f>
        <v>20925</v>
      </c>
      <c r="H31" s="269">
        <f>'Copy of Storage Price 1'!G89</f>
        <v>25200</v>
      </c>
      <c r="I31" s="269">
        <f>'Copy of Storage Price 1'!J191</f>
        <v>15749.999999999998</v>
      </c>
      <c r="J31" s="269">
        <f>'Copy of Storage Price 1'!G242</f>
        <v>18900</v>
      </c>
      <c r="K31" s="269">
        <f>'Copy of Storage Price 1'!G296</f>
        <v>22950</v>
      </c>
      <c r="L31" s="269">
        <f>'Copy of Storage Price 1'!G410</f>
        <v>27000</v>
      </c>
      <c r="M31" s="269">
        <f>'Copy of Storage Price 1'!K464</f>
        <v>22275</v>
      </c>
      <c r="N31" s="269">
        <f>'Copy of Storage Price 1'!G524</f>
        <v>25650</v>
      </c>
    </row>
    <row r="32" spans="1:14" x14ac:dyDescent="0.2">
      <c r="A32" s="270" t="s">
        <v>53</v>
      </c>
      <c r="B32" s="258">
        <v>12</v>
      </c>
      <c r="C32" s="271">
        <f>'Copy of Storage Price 1'!G40</f>
        <v>30239.999999999996</v>
      </c>
      <c r="D32" s="271">
        <f>'Copy of Storage Price 1'!I193</f>
        <v>19500</v>
      </c>
      <c r="E32" s="271">
        <f>'Copy of Storage Price 1'!H358</f>
        <v>21840</v>
      </c>
      <c r="F32" s="271"/>
      <c r="G32" s="271">
        <f>'Copy of Storage Price 1'!J466</f>
        <v>26040</v>
      </c>
      <c r="H32" s="271">
        <f>'Copy of Storage Price 1'!G91</f>
        <v>31500</v>
      </c>
      <c r="I32" s="271">
        <f>'Copy of Storage Price 1'!J193</f>
        <v>19500</v>
      </c>
      <c r="J32" s="271">
        <f>'Copy of Storage Price 1'!G244</f>
        <v>25200</v>
      </c>
      <c r="K32" s="271">
        <f>'Copy of Storage Price 1'!G298</f>
        <v>28560</v>
      </c>
      <c r="L32" s="271">
        <f>'Copy of Storage Price 1'!G412</f>
        <v>33600</v>
      </c>
      <c r="M32" s="271">
        <f>'Copy of Storage Price 1'!K466</f>
        <v>27720</v>
      </c>
      <c r="N32" s="271">
        <f>'Copy of Storage Price 1'!G526</f>
        <v>31919.999999999996</v>
      </c>
    </row>
    <row r="33" spans="1:14" x14ac:dyDescent="0.2">
      <c r="A33" s="253" t="s">
        <v>54</v>
      </c>
      <c r="B33" s="244">
        <v>1</v>
      </c>
      <c r="C33" s="263">
        <f>'Copy of Storage Price 1'!H32</f>
        <v>4680</v>
      </c>
      <c r="D33" s="263">
        <f>'Copy of Storage Price 1'!K184</f>
        <v>5000</v>
      </c>
      <c r="E33" s="263">
        <f>'Copy of Storage Price 1'!I349</f>
        <v>4500</v>
      </c>
      <c r="F33" s="263"/>
      <c r="G33" s="263">
        <f>'Copy of Storage Price 1'!L458</f>
        <v>4680</v>
      </c>
      <c r="H33" s="263">
        <f>'Copy of Storage Price 1'!H83</f>
        <v>5670</v>
      </c>
      <c r="I33" s="263">
        <f>'Copy of Storage Price 1'!L184</f>
        <v>7000</v>
      </c>
      <c r="J33" s="263">
        <f>'Copy of Storage Price 1'!H236</f>
        <v>4030</v>
      </c>
      <c r="K33" s="263">
        <f>'Copy of Storage Price 1'!H290</f>
        <v>5850</v>
      </c>
      <c r="L33" s="263">
        <f>'Copy of Storage Price 1'!H404</f>
        <v>5400</v>
      </c>
      <c r="M33" s="263">
        <f>'Copy of Storage Price 1'!M458</f>
        <v>5400</v>
      </c>
      <c r="N33" s="263">
        <f>'Copy of Storage Price 1'!H518</f>
        <v>5760</v>
      </c>
    </row>
    <row r="34" spans="1:14" x14ac:dyDescent="0.2">
      <c r="A34" s="254" t="s">
        <v>54</v>
      </c>
      <c r="B34" s="245">
        <v>3</v>
      </c>
      <c r="C34" s="264">
        <f>'Copy of Storage Price 1'!H34</f>
        <v>11700</v>
      </c>
      <c r="D34" s="264">
        <f>'Copy of Storage Price 1'!K187</f>
        <v>12000</v>
      </c>
      <c r="E34" s="264">
        <f>'Copy of Storage Price 1'!I352</f>
        <v>10800</v>
      </c>
      <c r="F34" s="264"/>
      <c r="G34" s="264">
        <f>'Copy of Storage Price 1'!L460</f>
        <v>11700</v>
      </c>
      <c r="H34" s="264">
        <f>'Copy of Storage Price 1'!H85</f>
        <v>16065</v>
      </c>
      <c r="I34" s="264">
        <f>'Copy of Storage Price 1'!L187</f>
        <v>16800</v>
      </c>
      <c r="J34" s="264">
        <f>'Copy of Storage Price 1'!H238</f>
        <v>12090</v>
      </c>
      <c r="K34" s="264">
        <f>'Copy of Storage Price 1'!H292</f>
        <v>14625</v>
      </c>
      <c r="L34" s="264">
        <f>'Copy of Storage Price 1'!H406</f>
        <v>13500</v>
      </c>
      <c r="M34" s="264">
        <f>'Copy of Storage Price 1'!M460</f>
        <v>13500</v>
      </c>
      <c r="N34" s="264">
        <f>'Copy of Storage Price 1'!H520</f>
        <v>14400</v>
      </c>
    </row>
    <row r="35" spans="1:14" x14ac:dyDescent="0.2">
      <c r="A35" s="254" t="s">
        <v>54</v>
      </c>
      <c r="B35" s="245">
        <v>6</v>
      </c>
      <c r="C35" s="264">
        <f>'Copy of Storage Price 1'!H36</f>
        <v>21840</v>
      </c>
      <c r="D35" s="264">
        <f>'Copy of Storage Price 1'!K189</f>
        <v>22500</v>
      </c>
      <c r="E35" s="264">
        <f>'Copy of Storage Price 1'!I354</f>
        <v>20250</v>
      </c>
      <c r="F35" s="264"/>
      <c r="G35" s="264">
        <f>'Copy of Storage Price 1'!L462</f>
        <v>21840</v>
      </c>
      <c r="H35" s="264">
        <f>'Copy of Storage Price 1'!H87</f>
        <v>30240</v>
      </c>
      <c r="I35" s="264">
        <f>'Copy of Storage Price 1'!L189</f>
        <v>31500</v>
      </c>
      <c r="J35" s="264">
        <f>'Copy of Storage Price 1'!H240</f>
        <v>24180</v>
      </c>
      <c r="K35" s="264">
        <f>'Copy of Storage Price 1'!H294</f>
        <v>27300</v>
      </c>
      <c r="L35" s="264">
        <f>'Copy of Storage Price 1'!H408</f>
        <v>25200</v>
      </c>
      <c r="M35" s="264">
        <f>'Copy of Storage Price 1'!M462</f>
        <v>25200</v>
      </c>
      <c r="N35" s="264">
        <f>'Copy of Storage Price 1'!H522</f>
        <v>26880</v>
      </c>
    </row>
    <row r="36" spans="1:14" x14ac:dyDescent="0.2">
      <c r="A36" s="254" t="s">
        <v>54</v>
      </c>
      <c r="B36" s="245">
        <v>9</v>
      </c>
      <c r="C36" s="264">
        <f>'Copy of Storage Price 1'!H38</f>
        <v>30420</v>
      </c>
      <c r="D36" s="264">
        <f>'Copy of Storage Price 1'!K191</f>
        <v>31499.999999999996</v>
      </c>
      <c r="E36" s="264">
        <f>'Copy of Storage Price 1'!I356</f>
        <v>28350</v>
      </c>
      <c r="F36" s="264"/>
      <c r="G36" s="264">
        <f>'Copy of Storage Price 1'!K464</f>
        <v>22275</v>
      </c>
      <c r="H36" s="264">
        <f>'Copy of Storage Price 1'!H89</f>
        <v>42525</v>
      </c>
      <c r="I36" s="264">
        <f>'Copy of Storage Price 1'!L191</f>
        <v>44100</v>
      </c>
      <c r="J36" s="264">
        <f>'Copy of Storage Price 1'!H242</f>
        <v>36270</v>
      </c>
      <c r="K36" s="264">
        <f>'Copy of Storage Price 1'!H296</f>
        <v>38025</v>
      </c>
      <c r="L36" s="264">
        <f>'Copy of Storage Price 1'!H410</f>
        <v>35100</v>
      </c>
      <c r="M36" s="264">
        <f>'Copy of Storage Price 1'!M464</f>
        <v>35100</v>
      </c>
      <c r="N36" s="264">
        <f>'Copy of Storage Price 1'!H524</f>
        <v>37440</v>
      </c>
    </row>
    <row r="37" spans="1:14" x14ac:dyDescent="0.2">
      <c r="A37" s="255" t="s">
        <v>54</v>
      </c>
      <c r="B37" s="246">
        <v>12</v>
      </c>
      <c r="C37" s="265">
        <f>'Copy of Storage Price 1'!H40</f>
        <v>37440</v>
      </c>
      <c r="D37" s="265">
        <f>'Copy of Storage Price 1'!K193</f>
        <v>39000</v>
      </c>
      <c r="E37" s="265">
        <f>'Copy of Storage Price 1'!I358</f>
        <v>35100</v>
      </c>
      <c r="F37" s="265"/>
      <c r="G37" s="265">
        <f>'Copy of Storage Price 1'!L466</f>
        <v>37440</v>
      </c>
      <c r="H37" s="265">
        <f>'Copy of Storage Price 1'!H91</f>
        <v>52920</v>
      </c>
      <c r="I37" s="265">
        <f>'Copy of Storage Price 1'!L193</f>
        <v>54600</v>
      </c>
      <c r="J37" s="265">
        <f>'Copy of Storage Price 1'!H244</f>
        <v>48360</v>
      </c>
      <c r="K37" s="265">
        <f>'Copy of Storage Price 1'!H298</f>
        <v>46800</v>
      </c>
      <c r="L37" s="265">
        <f>'Copy of Storage Price 1'!H412</f>
        <v>43200</v>
      </c>
      <c r="M37" s="265">
        <f>'Copy of Storage Price 1'!M466</f>
        <v>43200</v>
      </c>
      <c r="N37" s="265">
        <f>'Copy of Storage Price 1'!H526</f>
        <v>46080</v>
      </c>
    </row>
    <row r="38" spans="1:14" x14ac:dyDescent="0.2">
      <c r="A38" s="266" t="s">
        <v>55</v>
      </c>
      <c r="B38" s="256">
        <v>1</v>
      </c>
      <c r="C38" s="267">
        <f>'Copy of Storage Price 1'!I32</f>
        <v>9450</v>
      </c>
      <c r="D38" s="267">
        <f>'Copy of Storage Price 1'!M184</f>
        <v>11000</v>
      </c>
      <c r="E38" s="267">
        <f>'Copy of Storage Price 1'!J349</f>
        <v>8600</v>
      </c>
      <c r="F38" s="267"/>
      <c r="G38" s="267">
        <f>'Copy of Storage Price 1'!N458</f>
        <v>13500</v>
      </c>
      <c r="H38" s="267">
        <f>'Copy of Storage Price 1'!I83</f>
        <v>12510</v>
      </c>
      <c r="I38" s="267">
        <f>'Copy of Storage Price 1'!N184</f>
        <v>14200</v>
      </c>
      <c r="J38" s="267">
        <f>'Copy of Storage Price 1'!I236</f>
        <v>9425</v>
      </c>
      <c r="K38" s="267">
        <f>'Copy of Storage Price 1'!I290</f>
        <v>16200</v>
      </c>
      <c r="L38" s="267">
        <f>'Copy of Storage Price 1'!I404</f>
        <v>8100</v>
      </c>
      <c r="M38" s="267">
        <f>'Copy of Storage Price 1'!O458</f>
        <v>15300</v>
      </c>
      <c r="N38" s="267">
        <f>'Copy of Storage Price 1'!I518</f>
        <v>11610</v>
      </c>
    </row>
    <row r="39" spans="1:14" x14ac:dyDescent="0.2">
      <c r="A39" s="268" t="s">
        <v>55</v>
      </c>
      <c r="B39" s="257">
        <v>3</v>
      </c>
      <c r="C39" s="269">
        <f>'Copy of Storage Price 1'!I34</f>
        <v>23625</v>
      </c>
      <c r="D39" s="269">
        <f>'Copy of Storage Price 1'!M187</f>
        <v>26400</v>
      </c>
      <c r="E39" s="269">
        <f>'Copy of Storage Price 1'!J352</f>
        <v>20640</v>
      </c>
      <c r="F39" s="269"/>
      <c r="G39" s="269">
        <f>'Copy of Storage Price 1'!N460</f>
        <v>33750</v>
      </c>
      <c r="H39" s="269">
        <f>'Copy of Storage Price 1'!I85</f>
        <v>35445</v>
      </c>
      <c r="I39" s="269">
        <f>'Copy of Storage Price 1'!N187</f>
        <v>34080</v>
      </c>
      <c r="J39" s="269">
        <f>'Copy of Storage Price 1'!I238</f>
        <v>28275</v>
      </c>
      <c r="K39" s="269">
        <f>'Copy of Storage Price 1'!I292</f>
        <v>40500</v>
      </c>
      <c r="L39" s="269">
        <f>'Copy of Storage Price 1'!I406</f>
        <v>24300</v>
      </c>
      <c r="M39" s="269">
        <f>'Copy of Storage Price 1'!O460</f>
        <v>38250</v>
      </c>
      <c r="N39" s="269">
        <f>'Copy of Storage Price 1'!I520</f>
        <v>29025</v>
      </c>
    </row>
    <row r="40" spans="1:14" x14ac:dyDescent="0.2">
      <c r="A40" s="268" t="s">
        <v>55</v>
      </c>
      <c r="B40" s="257">
        <v>6</v>
      </c>
      <c r="C40" s="269">
        <f>'Copy of Storage Price 1'!I36</f>
        <v>44100</v>
      </c>
      <c r="D40" s="269">
        <f>'Copy of Storage Price 1'!M189</f>
        <v>49500</v>
      </c>
      <c r="E40" s="269">
        <f>'Copy of Storage Price 1'!J354</f>
        <v>38700</v>
      </c>
      <c r="F40" s="269"/>
      <c r="G40" s="269">
        <f>'Copy of Storage Price 1'!N462</f>
        <v>62999.999999999993</v>
      </c>
      <c r="H40" s="269">
        <f>'Copy of Storage Price 1'!I87</f>
        <v>66720</v>
      </c>
      <c r="I40" s="269">
        <f>'Copy of Storage Price 1'!N189</f>
        <v>63900</v>
      </c>
      <c r="J40" s="269">
        <f>'Copy of Storage Price 1'!I240</f>
        <v>56550</v>
      </c>
      <c r="K40" s="269">
        <f>'Copy of Storage Price 1'!I294</f>
        <v>75600</v>
      </c>
      <c r="L40" s="269">
        <f>'Copy of Storage Price 1'!I408</f>
        <v>48600</v>
      </c>
      <c r="M40" s="269">
        <f>'Copy of Storage Price 1'!O462</f>
        <v>71400</v>
      </c>
      <c r="N40" s="269">
        <f>'Copy of Storage Price 1'!I522</f>
        <v>54180</v>
      </c>
    </row>
    <row r="41" spans="1:14" x14ac:dyDescent="0.2">
      <c r="A41" s="268" t="s">
        <v>55</v>
      </c>
      <c r="B41" s="257">
        <v>9</v>
      </c>
      <c r="C41" s="269">
        <f>'Copy of Storage Price 1'!I38</f>
        <v>61425</v>
      </c>
      <c r="D41" s="269">
        <f>'Copy of Storage Price 1'!M191</f>
        <v>69300</v>
      </c>
      <c r="E41" s="269">
        <f>'Copy of Storage Price 1'!J356</f>
        <v>54180</v>
      </c>
      <c r="F41" s="269"/>
      <c r="G41" s="269">
        <f>'Copy of Storage Price 1'!N464</f>
        <v>87750</v>
      </c>
      <c r="H41" s="269">
        <f>'Copy of Storage Price 1'!I89</f>
        <v>93825</v>
      </c>
      <c r="I41" s="269">
        <f>'Copy of Storage Price 1'!N191</f>
        <v>89460</v>
      </c>
      <c r="J41" s="269">
        <f>'Copy of Storage Price 1'!I242</f>
        <v>84825</v>
      </c>
      <c r="K41" s="269">
        <f>'Copy of Storage Price 1'!I296</f>
        <v>105300</v>
      </c>
      <c r="L41" s="269">
        <f>'Copy of Storage Price 1'!I410</f>
        <v>72900</v>
      </c>
      <c r="M41" s="269">
        <f>'Copy of Storage Price 1'!O464</f>
        <v>99450</v>
      </c>
      <c r="N41" s="269">
        <f>'Copy of Storage Price 1'!I524</f>
        <v>75465</v>
      </c>
    </row>
    <row r="42" spans="1:14" x14ac:dyDescent="0.2">
      <c r="A42" s="270" t="s">
        <v>55</v>
      </c>
      <c r="B42" s="258">
        <v>12</v>
      </c>
      <c r="C42" s="271">
        <f>'Copy of Storage Price 1'!I40</f>
        <v>75600</v>
      </c>
      <c r="D42" s="271">
        <f>'Copy of Storage Price 1'!M193</f>
        <v>85800</v>
      </c>
      <c r="E42" s="271">
        <f>'Copy of Storage Price 1'!J358</f>
        <v>67080</v>
      </c>
      <c r="F42" s="271"/>
      <c r="G42" s="271">
        <f>'Copy of Storage Price 1'!N466</f>
        <v>108000</v>
      </c>
      <c r="H42" s="271">
        <f>'Copy of Storage Price 1'!I91</f>
        <v>116759.99999999999</v>
      </c>
      <c r="I42" s="271">
        <f>'Copy of Storage Price 1'!N193</f>
        <v>110760</v>
      </c>
      <c r="J42" s="271">
        <f>'Copy of Storage Price 1'!I244</f>
        <v>113100</v>
      </c>
      <c r="K42" s="271">
        <f>'Copy of Storage Price 1'!I298</f>
        <v>129600</v>
      </c>
      <c r="L42" s="271">
        <f>'Copy of Storage Price 1'!I412</f>
        <v>97200</v>
      </c>
      <c r="M42" s="271">
        <f>'Copy of Storage Price 1'!O466</f>
        <v>122400</v>
      </c>
      <c r="N42" s="271">
        <f>'Copy of Storage Price 1'!I526</f>
        <v>92880</v>
      </c>
    </row>
    <row r="43" spans="1:14" x14ac:dyDescent="0.2">
      <c r="A43" s="253" t="s">
        <v>56</v>
      </c>
      <c r="B43" s="244">
        <v>1</v>
      </c>
      <c r="C43" s="263">
        <f>'Copy of Storage Price 1'!J32</f>
        <v>18090</v>
      </c>
      <c r="D43" s="263">
        <f>'Copy of Storage Price 1'!O184</f>
        <v>18800</v>
      </c>
      <c r="E43" s="263">
        <f>'Copy of Storage Price 1'!K349</f>
        <v>15000</v>
      </c>
      <c r="F43" s="263"/>
      <c r="G43" s="263">
        <f>'Copy of Storage Price 1'!P458</f>
        <v>21690</v>
      </c>
      <c r="H43" s="263">
        <f>'Copy of Storage Price 1'!J83</f>
        <v>21330</v>
      </c>
      <c r="I43" s="263"/>
      <c r="J43" s="263">
        <f>'Copy of Storage Price 1'!J236</f>
        <v>15275</v>
      </c>
      <c r="K43" s="263">
        <f>'Copy of Storage Price 1'!J290</f>
        <v>26730</v>
      </c>
      <c r="L43" s="263">
        <f>'Copy of Storage Price 1'!J404</f>
        <v>11280</v>
      </c>
      <c r="M43" s="263">
        <f>'Copy of Storage Price 1'!Q458</f>
        <v>23850</v>
      </c>
      <c r="N43" s="263">
        <f>'Copy of Storage Price 1'!J518</f>
        <v>24120</v>
      </c>
    </row>
    <row r="44" spans="1:14" x14ac:dyDescent="0.2">
      <c r="A44" s="254" t="s">
        <v>56</v>
      </c>
      <c r="B44" s="245">
        <v>3</v>
      </c>
      <c r="C44" s="264">
        <f>'Copy of Storage Price 1'!J34</f>
        <v>45225</v>
      </c>
      <c r="D44" s="264">
        <f>'Copy of Storage Price 1'!O187</f>
        <v>45120</v>
      </c>
      <c r="E44" s="264">
        <f>'Copy of Storage Price 1'!K352</f>
        <v>36000</v>
      </c>
      <c r="F44" s="264"/>
      <c r="G44" s="264">
        <f>'Copy of Storage Price 1'!P460</f>
        <v>54225</v>
      </c>
      <c r="H44" s="264">
        <f>'Copy of Storage Price 1'!J85</f>
        <v>60435</v>
      </c>
      <c r="I44" s="264"/>
      <c r="J44" s="264">
        <f>'Copy of Storage Price 1'!J238</f>
        <v>45825</v>
      </c>
      <c r="K44" s="264">
        <f>'Copy of Storage Price 1'!J292</f>
        <v>66825</v>
      </c>
      <c r="L44" s="264">
        <f>'Copy of Storage Price 1'!J406</f>
        <v>33840</v>
      </c>
      <c r="M44" s="264">
        <f>'Copy of Storage Price 1'!Q460</f>
        <v>59625</v>
      </c>
      <c r="N44" s="264">
        <f>'Copy of Storage Price 1'!J520</f>
        <v>60300</v>
      </c>
    </row>
    <row r="45" spans="1:14" x14ac:dyDescent="0.2">
      <c r="A45" s="254" t="s">
        <v>56</v>
      </c>
      <c r="B45" s="245">
        <v>6</v>
      </c>
      <c r="C45" s="264">
        <f>'Copy of Storage Price 1'!J36</f>
        <v>84420</v>
      </c>
      <c r="D45" s="264">
        <f>'Copy of Storage Price 1'!O189</f>
        <v>84600</v>
      </c>
      <c r="E45" s="264">
        <f>'Copy of Storage Price 1'!K354</f>
        <v>67500</v>
      </c>
      <c r="F45" s="264"/>
      <c r="G45" s="264">
        <f>'Copy of Storage Price 1'!P462</f>
        <v>101220</v>
      </c>
      <c r="H45" s="264">
        <f>'Copy of Storage Price 1'!J87</f>
        <v>113760</v>
      </c>
      <c r="I45" s="264"/>
      <c r="J45" s="264">
        <f>'Copy of Storage Price 1'!J240</f>
        <v>91650</v>
      </c>
      <c r="K45" s="264">
        <f>'Copy of Storage Price 1'!J294</f>
        <v>124739.99999999999</v>
      </c>
      <c r="L45" s="264">
        <f>'Copy of Storage Price 1'!J408</f>
        <v>67680</v>
      </c>
      <c r="M45" s="264">
        <f>'Copy of Storage Price 1'!Q462</f>
        <v>111300</v>
      </c>
      <c r="N45" s="264">
        <f>'Copy of Storage Price 1'!J522</f>
        <v>112560</v>
      </c>
    </row>
    <row r="46" spans="1:14" x14ac:dyDescent="0.2">
      <c r="A46" s="254" t="s">
        <v>56</v>
      </c>
      <c r="B46" s="245">
        <v>9</v>
      </c>
      <c r="C46" s="264">
        <f>'Copy of Storage Price 1'!J38</f>
        <v>117585</v>
      </c>
      <c r="D46" s="264">
        <f>'Copy of Storage Price 1'!O191</f>
        <v>118439.99999999999</v>
      </c>
      <c r="E46" s="264">
        <f>'Copy of Storage Price 1'!K356</f>
        <v>94500</v>
      </c>
      <c r="F46" s="264"/>
      <c r="G46" s="264">
        <f>'Copy of Storage Price 1'!P464</f>
        <v>140985</v>
      </c>
      <c r="H46" s="264">
        <f>'Copy of Storage Price 1'!J89</f>
        <v>159975</v>
      </c>
      <c r="I46" s="264"/>
      <c r="J46" s="264">
        <f>'Copy of Storage Price 1'!J242</f>
        <v>137475</v>
      </c>
      <c r="K46" s="264">
        <f>'Copy of Storage Price 1'!J296</f>
        <v>173745</v>
      </c>
      <c r="L46" s="264">
        <f>'Copy of Storage Price 1'!J410</f>
        <v>101520</v>
      </c>
      <c r="M46" s="264">
        <f>'Copy of Storage Price 1'!Q464</f>
        <v>155025</v>
      </c>
      <c r="N46" s="264">
        <f>'Copy of Storage Price 1'!J524</f>
        <v>156780</v>
      </c>
    </row>
    <row r="47" spans="1:14" x14ac:dyDescent="0.2">
      <c r="A47" s="255" t="s">
        <v>56</v>
      </c>
      <c r="B47" s="246">
        <v>12</v>
      </c>
      <c r="C47" s="265">
        <f>'Copy of Storage Price 1'!J40</f>
        <v>144720</v>
      </c>
      <c r="D47" s="265">
        <f>'Copy of Storage Price 1'!O193</f>
        <v>146640</v>
      </c>
      <c r="E47" s="265">
        <f>'Copy of Storage Price 1'!K358</f>
        <v>117000</v>
      </c>
      <c r="F47" s="265"/>
      <c r="G47" s="265">
        <f>'Copy of Storage Price 1'!P466</f>
        <v>173520</v>
      </c>
      <c r="H47" s="265">
        <f>'Copy of Storage Price 1'!J91</f>
        <v>199080</v>
      </c>
      <c r="I47" s="265"/>
      <c r="J47" s="265">
        <f>'Copy of Storage Price 1'!J244</f>
        <v>183300</v>
      </c>
      <c r="K47" s="265">
        <f>'Copy of Storage Price 1'!J298</f>
        <v>213840</v>
      </c>
      <c r="L47" s="265">
        <f>'Copy of Storage Price 1'!J412</f>
        <v>135360</v>
      </c>
      <c r="M47" s="265">
        <f>'Copy of Storage Price 1'!Q466</f>
        <v>190800</v>
      </c>
      <c r="N47" s="265">
        <f>'Copy of Storage Price 1'!J526</f>
        <v>192960</v>
      </c>
    </row>
    <row r="48" spans="1:14" x14ac:dyDescent="0.2">
      <c r="A48" s="266" t="s">
        <v>57</v>
      </c>
      <c r="B48" s="256">
        <v>1</v>
      </c>
      <c r="C48" s="272">
        <f>'Copy of Storage Price 1'!K32</f>
        <v>28620</v>
      </c>
      <c r="D48" s="272"/>
      <c r="E48" s="272"/>
      <c r="F48" s="272"/>
      <c r="G48" s="272">
        <f>'Copy of Storage Price 1'!R458</f>
        <v>39510</v>
      </c>
      <c r="H48" s="272">
        <f>'Copy of Storage Price 1'!K83</f>
        <v>32850</v>
      </c>
      <c r="I48" s="272"/>
      <c r="J48" s="272">
        <f>'Copy of Storage Price 1'!K236</f>
        <v>23725</v>
      </c>
      <c r="K48" s="272">
        <f>'Copy of Storage Price 1'!K290</f>
        <v>51390</v>
      </c>
      <c r="L48" s="272">
        <f>'Copy of Storage Price 1'!K404</f>
        <v>14520</v>
      </c>
      <c r="M48" s="272">
        <f>'Copy of Storage Price 1'!S458</f>
        <v>46080</v>
      </c>
      <c r="N48" s="272"/>
    </row>
    <row r="49" spans="1:14" x14ac:dyDescent="0.2">
      <c r="A49" s="268" t="s">
        <v>57</v>
      </c>
      <c r="B49" s="257">
        <v>3</v>
      </c>
      <c r="C49" s="269">
        <f>'Copy of Storage Price 1'!K34</f>
        <v>71550</v>
      </c>
      <c r="D49" s="269"/>
      <c r="E49" s="269"/>
      <c r="F49" s="269"/>
      <c r="G49" s="269">
        <f>'Copy of Storage Price 1'!R460</f>
        <v>98775</v>
      </c>
      <c r="H49" s="269">
        <f>'Copy of Storage Price 1'!K85</f>
        <v>93075</v>
      </c>
      <c r="I49" s="269"/>
      <c r="J49" s="269">
        <f>'Copy of Storage Price 1'!K238</f>
        <v>71175</v>
      </c>
      <c r="K49" s="269">
        <f>'Copy of Storage Price 1'!K292</f>
        <v>128475</v>
      </c>
      <c r="L49" s="269">
        <f>'Copy of Storage Price 1'!K406</f>
        <v>43560</v>
      </c>
      <c r="M49" s="269">
        <f>'Copy of Storage Price 1'!S460</f>
        <v>115200</v>
      </c>
      <c r="N49" s="269"/>
    </row>
    <row r="50" spans="1:14" x14ac:dyDescent="0.2">
      <c r="A50" s="268" t="s">
        <v>57</v>
      </c>
      <c r="B50" s="257">
        <v>6</v>
      </c>
      <c r="C50" s="269">
        <f>'Copy of Storage Price 1'!K36</f>
        <v>133560</v>
      </c>
      <c r="D50" s="269"/>
      <c r="E50" s="269"/>
      <c r="F50" s="269"/>
      <c r="G50" s="269">
        <f>'Copy of Storage Price 1'!R462</f>
        <v>184380</v>
      </c>
      <c r="H50" s="269">
        <f>'Copy of Storage Price 1'!K87</f>
        <v>175200</v>
      </c>
      <c r="I50" s="269"/>
      <c r="J50" s="269">
        <f>'Copy of Storage Price 1'!K240</f>
        <v>142350</v>
      </c>
      <c r="K50" s="269">
        <f>'Copy of Storage Price 1'!K294</f>
        <v>239819.99999999997</v>
      </c>
      <c r="L50" s="269">
        <f>'Copy of Storage Price 1'!K408</f>
        <v>87120</v>
      </c>
      <c r="M50" s="269">
        <f>'Copy of Storage Price 1'!S462</f>
        <v>215040</v>
      </c>
      <c r="N50" s="269"/>
    </row>
    <row r="51" spans="1:14" x14ac:dyDescent="0.2">
      <c r="A51" s="268" t="s">
        <v>57</v>
      </c>
      <c r="B51" s="257">
        <v>9</v>
      </c>
      <c r="C51" s="269">
        <f>'Copy of Storage Price 1'!K38</f>
        <v>186030</v>
      </c>
      <c r="D51" s="269"/>
      <c r="E51" s="269"/>
      <c r="F51" s="269"/>
      <c r="G51" s="269">
        <f>'Copy of Storage Price 1'!R464</f>
        <v>256815</v>
      </c>
      <c r="H51" s="269">
        <f>'Copy of Storage Price 1'!K89</f>
        <v>246375</v>
      </c>
      <c r="I51" s="269"/>
      <c r="J51" s="269">
        <f>'Copy of Storage Price 1'!K242</f>
        <v>213525</v>
      </c>
      <c r="K51" s="269">
        <f>'Copy of Storage Price 1'!K296</f>
        <v>334035</v>
      </c>
      <c r="L51" s="269">
        <f>'Copy of Storage Price 1'!K410</f>
        <v>130680</v>
      </c>
      <c r="M51" s="269">
        <f>'Copy of Storage Price 1'!S464</f>
        <v>299520</v>
      </c>
      <c r="N51" s="269"/>
    </row>
    <row r="52" spans="1:14" x14ac:dyDescent="0.2">
      <c r="A52" s="270" t="s">
        <v>57</v>
      </c>
      <c r="B52" s="258">
        <v>12</v>
      </c>
      <c r="C52" s="271">
        <f>'Copy of Storage Price 1'!K40</f>
        <v>228960</v>
      </c>
      <c r="D52" s="271"/>
      <c r="E52" s="271"/>
      <c r="F52" s="271"/>
      <c r="G52" s="271">
        <f>'Copy of Storage Price 1'!R466</f>
        <v>316080</v>
      </c>
      <c r="H52" s="271">
        <f>'Copy of Storage Price 1'!K91</f>
        <v>306600</v>
      </c>
      <c r="I52" s="271"/>
      <c r="J52" s="271">
        <f>'Copy of Storage Price 1'!K244</f>
        <v>284700</v>
      </c>
      <c r="K52" s="271">
        <f>'Copy of Storage Price 1'!K298</f>
        <v>411120</v>
      </c>
      <c r="L52" s="271">
        <f>'Copy of Storage Price 1'!K412</f>
        <v>174240</v>
      </c>
      <c r="M52" s="271">
        <f>'Copy of Storage Price 1'!S466</f>
        <v>368640</v>
      </c>
      <c r="N52" s="271"/>
    </row>
    <row r="53" spans="1:14" x14ac:dyDescent="0.2">
      <c r="A53" s="253" t="s">
        <v>348</v>
      </c>
      <c r="B53" s="244">
        <v>1</v>
      </c>
      <c r="C53" s="263">
        <v>0</v>
      </c>
      <c r="D53" s="263">
        <v>0</v>
      </c>
      <c r="E53" s="263">
        <v>0</v>
      </c>
      <c r="F53" s="263">
        <f>'Copy of Storage Price 1'!I326</f>
        <v>13140</v>
      </c>
      <c r="G53" s="263">
        <f>'Copy of Storage Price 1'!I494</f>
        <v>13590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</row>
    <row r="54" spans="1:14" x14ac:dyDescent="0.2">
      <c r="A54" s="254" t="s">
        <v>348</v>
      </c>
      <c r="B54" s="245">
        <v>3</v>
      </c>
      <c r="C54" s="264">
        <v>0</v>
      </c>
      <c r="D54" s="264">
        <v>0</v>
      </c>
      <c r="E54" s="264">
        <v>0</v>
      </c>
      <c r="F54" s="264">
        <f>'Copy of Storage Price 1'!I328</f>
        <v>32850</v>
      </c>
      <c r="G54" s="264">
        <f>'Copy of Storage Price 1'!I496</f>
        <v>33975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</row>
    <row r="55" spans="1:14" x14ac:dyDescent="0.2">
      <c r="A55" s="254" t="s">
        <v>348</v>
      </c>
      <c r="B55" s="245">
        <v>6</v>
      </c>
      <c r="C55" s="264">
        <v>0</v>
      </c>
      <c r="D55" s="264">
        <v>0</v>
      </c>
      <c r="E55" s="264">
        <v>0</v>
      </c>
      <c r="F55" s="264">
        <f>'Copy of Storage Price 1'!I330</f>
        <v>61319.999999999993</v>
      </c>
      <c r="G55" s="264">
        <f>'Copy of Storage Price 1'!I498</f>
        <v>63419.999999999993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</row>
    <row r="56" spans="1:14" x14ac:dyDescent="0.2">
      <c r="A56" s="254" t="s">
        <v>348</v>
      </c>
      <c r="B56" s="245">
        <v>9</v>
      </c>
      <c r="C56" s="264">
        <v>0</v>
      </c>
      <c r="D56" s="264">
        <v>0</v>
      </c>
      <c r="E56" s="264">
        <v>0</v>
      </c>
      <c r="F56" s="264">
        <f>'Copy of Storage Price 1'!I332</f>
        <v>85410</v>
      </c>
      <c r="G56" s="264">
        <f>'Copy of Storage Price 1'!I500</f>
        <v>88335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</row>
    <row r="57" spans="1:14" x14ac:dyDescent="0.2">
      <c r="A57" s="255" t="s">
        <v>348</v>
      </c>
      <c r="B57" s="246">
        <v>12</v>
      </c>
      <c r="C57" s="265">
        <v>0</v>
      </c>
      <c r="D57" s="265">
        <v>0</v>
      </c>
      <c r="E57" s="265">
        <v>0</v>
      </c>
      <c r="F57" s="265">
        <f>'Copy of Storage Price 1'!I334</f>
        <v>105120</v>
      </c>
      <c r="G57" s="265">
        <f>'Copy of Storage Price 1'!I502</f>
        <v>108720</v>
      </c>
      <c r="H57" s="265">
        <v>0</v>
      </c>
      <c r="I57" s="265">
        <v>0</v>
      </c>
      <c r="J57" s="265">
        <v>0</v>
      </c>
      <c r="K57" s="265">
        <v>0</v>
      </c>
      <c r="L57" s="265">
        <v>0</v>
      </c>
      <c r="M57" s="265">
        <v>0</v>
      </c>
      <c r="N57" s="265">
        <v>0</v>
      </c>
    </row>
    <row r="58" spans="1:14" x14ac:dyDescent="0.2">
      <c r="A58" s="266" t="s">
        <v>349</v>
      </c>
      <c r="B58" s="256">
        <v>1</v>
      </c>
      <c r="C58" s="272">
        <v>0</v>
      </c>
      <c r="D58" s="272">
        <v>0</v>
      </c>
      <c r="E58" s="272">
        <v>0</v>
      </c>
      <c r="F58" s="272">
        <f>'Copy of Storage Price 1'!J326</f>
        <v>17190</v>
      </c>
      <c r="G58" s="272">
        <f>'Copy of Storage Price 1'!K494</f>
        <v>27180</v>
      </c>
      <c r="H58" s="272">
        <v>0</v>
      </c>
      <c r="I58" s="272">
        <v>0</v>
      </c>
      <c r="J58" s="272">
        <v>0</v>
      </c>
      <c r="K58" s="272">
        <v>0</v>
      </c>
      <c r="L58" s="272">
        <v>0</v>
      </c>
      <c r="M58" s="272">
        <v>0</v>
      </c>
      <c r="N58" s="272">
        <v>0</v>
      </c>
    </row>
    <row r="59" spans="1:14" x14ac:dyDescent="0.2">
      <c r="A59" s="268" t="s">
        <v>349</v>
      </c>
      <c r="B59" s="257">
        <v>3</v>
      </c>
      <c r="C59" s="269">
        <v>0</v>
      </c>
      <c r="D59" s="269">
        <v>0</v>
      </c>
      <c r="E59" s="269">
        <v>0</v>
      </c>
      <c r="F59" s="269">
        <f>'Copy of Storage Price 1'!J328</f>
        <v>42975</v>
      </c>
      <c r="G59" s="269">
        <f>'Copy of Storage Price 1'!K496</f>
        <v>67950</v>
      </c>
      <c r="H59" s="269">
        <v>0</v>
      </c>
      <c r="I59" s="269">
        <v>0</v>
      </c>
      <c r="J59" s="269">
        <v>0</v>
      </c>
      <c r="K59" s="269">
        <v>0</v>
      </c>
      <c r="L59" s="269">
        <v>0</v>
      </c>
      <c r="M59" s="269">
        <v>0</v>
      </c>
      <c r="N59" s="269">
        <v>0</v>
      </c>
    </row>
    <row r="60" spans="1:14" x14ac:dyDescent="0.2">
      <c r="A60" s="268" t="s">
        <v>349</v>
      </c>
      <c r="B60" s="257">
        <v>6</v>
      </c>
      <c r="C60" s="269">
        <v>0</v>
      </c>
      <c r="D60" s="269">
        <v>0</v>
      </c>
      <c r="E60" s="269">
        <v>0</v>
      </c>
      <c r="F60" s="269">
        <f>'Copy of Storage Price 1'!J330</f>
        <v>80220</v>
      </c>
      <c r="G60" s="269">
        <f>'Copy of Storage Price 1'!K498</f>
        <v>126839.99999999999</v>
      </c>
      <c r="H60" s="269">
        <v>0</v>
      </c>
      <c r="I60" s="269">
        <v>0</v>
      </c>
      <c r="J60" s="269">
        <v>0</v>
      </c>
      <c r="K60" s="269">
        <v>0</v>
      </c>
      <c r="L60" s="269">
        <v>0</v>
      </c>
      <c r="M60" s="269">
        <v>0</v>
      </c>
      <c r="N60" s="269">
        <v>0</v>
      </c>
    </row>
    <row r="61" spans="1:14" x14ac:dyDescent="0.2">
      <c r="A61" s="268" t="s">
        <v>349</v>
      </c>
      <c r="B61" s="257">
        <v>9</v>
      </c>
      <c r="C61" s="269">
        <v>0</v>
      </c>
      <c r="D61" s="269">
        <v>0</v>
      </c>
      <c r="E61" s="269">
        <v>0</v>
      </c>
      <c r="F61" s="269">
        <f>'Copy of Storage Price 1'!J332</f>
        <v>111735</v>
      </c>
      <c r="G61" s="269">
        <f>'Copy of Storage Price 1'!K500</f>
        <v>176670</v>
      </c>
      <c r="H61" s="269">
        <v>0</v>
      </c>
      <c r="I61" s="269">
        <v>0</v>
      </c>
      <c r="J61" s="269">
        <v>0</v>
      </c>
      <c r="K61" s="269">
        <v>0</v>
      </c>
      <c r="L61" s="269">
        <v>0</v>
      </c>
      <c r="M61" s="269">
        <v>0</v>
      </c>
      <c r="N61" s="269">
        <v>0</v>
      </c>
    </row>
    <row r="62" spans="1:14" x14ac:dyDescent="0.2">
      <c r="A62" s="268" t="s">
        <v>349</v>
      </c>
      <c r="B62" s="258">
        <v>12</v>
      </c>
      <c r="C62" s="271">
        <v>0</v>
      </c>
      <c r="D62" s="271">
        <v>0</v>
      </c>
      <c r="E62" s="271">
        <v>0</v>
      </c>
      <c r="F62" s="271">
        <f>'Copy of Storage Price 1'!J334</f>
        <v>137520</v>
      </c>
      <c r="G62" s="271">
        <f>'Copy of Storage Price 1'!K502</f>
        <v>217440</v>
      </c>
      <c r="H62" s="271">
        <v>0</v>
      </c>
      <c r="I62" s="271">
        <v>0</v>
      </c>
      <c r="J62" s="271">
        <v>0</v>
      </c>
      <c r="K62" s="271">
        <v>0</v>
      </c>
      <c r="L62" s="271">
        <v>0</v>
      </c>
      <c r="M62" s="271">
        <v>0</v>
      </c>
      <c r="N62" s="271">
        <v>0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853-3F0E-4DB7-A6B7-4101A8862E56}">
  <sheetPr>
    <tabColor theme="8" tint="0.59999389629810485"/>
  </sheetPr>
  <dimension ref="A1:D26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4.1640625" bestFit="1" customWidth="1"/>
    <col min="2" max="2" width="7" bestFit="1" customWidth="1"/>
    <col min="3" max="3" width="21.1640625" customWidth="1"/>
    <col min="4" max="4" width="22.33203125" customWidth="1"/>
  </cols>
  <sheetData>
    <row r="1" spans="1:4" x14ac:dyDescent="0.2">
      <c r="A1" s="312" t="s">
        <v>379</v>
      </c>
      <c r="B1" s="312" t="s">
        <v>362</v>
      </c>
      <c r="C1" s="312" t="s">
        <v>363</v>
      </c>
      <c r="D1" s="313" t="s">
        <v>386</v>
      </c>
    </row>
    <row r="2" spans="1:4" x14ac:dyDescent="0.2">
      <c r="A2" s="312">
        <v>1</v>
      </c>
      <c r="B2" s="312" t="s">
        <v>51</v>
      </c>
      <c r="C2" s="312" t="s">
        <v>380</v>
      </c>
      <c r="D2" s="314">
        <v>0.4</v>
      </c>
    </row>
    <row r="3" spans="1:4" x14ac:dyDescent="0.2">
      <c r="A3" s="332"/>
      <c r="B3" s="333"/>
      <c r="C3" s="333"/>
      <c r="D3" s="334"/>
    </row>
    <row r="4" spans="1:4" x14ac:dyDescent="0.2">
      <c r="A4" s="335">
        <v>2</v>
      </c>
      <c r="B4" s="335" t="s">
        <v>80</v>
      </c>
      <c r="C4" s="312" t="s">
        <v>381</v>
      </c>
      <c r="D4" s="314">
        <v>0.25</v>
      </c>
    </row>
    <row r="5" spans="1:4" x14ac:dyDescent="0.2">
      <c r="A5" s="337"/>
      <c r="B5" s="337"/>
      <c r="C5" s="312" t="s">
        <v>382</v>
      </c>
      <c r="D5" s="314">
        <v>0.5</v>
      </c>
    </row>
    <row r="6" spans="1:4" x14ac:dyDescent="0.2">
      <c r="A6" s="336"/>
      <c r="B6" s="336"/>
      <c r="C6" s="312" t="s">
        <v>383</v>
      </c>
      <c r="D6" s="314">
        <v>0.3</v>
      </c>
    </row>
    <row r="7" spans="1:4" x14ac:dyDescent="0.2">
      <c r="A7" s="332"/>
      <c r="B7" s="333"/>
      <c r="C7" s="333"/>
      <c r="D7" s="334"/>
    </row>
    <row r="8" spans="1:4" x14ac:dyDescent="0.2">
      <c r="A8" s="312">
        <v>3</v>
      </c>
      <c r="B8" s="312" t="s">
        <v>384</v>
      </c>
      <c r="C8" s="312" t="s">
        <v>385</v>
      </c>
      <c r="D8" s="314" t="s">
        <v>385</v>
      </c>
    </row>
    <row r="9" spans="1:4" x14ac:dyDescent="0.2">
      <c r="A9" s="332"/>
      <c r="B9" s="333"/>
      <c r="C9" s="333"/>
      <c r="D9" s="334"/>
    </row>
    <row r="10" spans="1:4" x14ac:dyDescent="0.2">
      <c r="A10" s="312">
        <v>4</v>
      </c>
      <c r="B10" s="312" t="s">
        <v>81</v>
      </c>
      <c r="C10" s="312" t="s">
        <v>380</v>
      </c>
      <c r="D10" s="314">
        <v>0.4</v>
      </c>
    </row>
    <row r="11" spans="1:4" x14ac:dyDescent="0.2">
      <c r="A11" s="332"/>
      <c r="B11" s="333"/>
      <c r="C11" s="333"/>
      <c r="D11" s="334"/>
    </row>
    <row r="12" spans="1:4" x14ac:dyDescent="0.2">
      <c r="A12" s="312">
        <v>5</v>
      </c>
      <c r="B12" s="312" t="s">
        <v>82</v>
      </c>
      <c r="C12" s="312" t="s">
        <v>380</v>
      </c>
      <c r="D12" s="314">
        <v>0.35</v>
      </c>
    </row>
    <row r="13" spans="1:4" x14ac:dyDescent="0.2">
      <c r="A13" s="332"/>
      <c r="B13" s="333"/>
      <c r="C13" s="333"/>
      <c r="D13" s="334"/>
    </row>
    <row r="14" spans="1:4" x14ac:dyDescent="0.2">
      <c r="A14" s="335">
        <v>6</v>
      </c>
      <c r="B14" s="335" t="s">
        <v>83</v>
      </c>
      <c r="C14" s="312" t="s">
        <v>381</v>
      </c>
      <c r="D14" s="314">
        <v>0.3</v>
      </c>
    </row>
    <row r="15" spans="1:4" x14ac:dyDescent="0.2">
      <c r="A15" s="336"/>
      <c r="B15" s="336"/>
      <c r="C15" s="312" t="s">
        <v>383</v>
      </c>
      <c r="D15" s="314">
        <v>0.4</v>
      </c>
    </row>
    <row r="16" spans="1:4" x14ac:dyDescent="0.2">
      <c r="A16" s="332"/>
      <c r="B16" s="333"/>
      <c r="C16" s="333"/>
      <c r="D16" s="334"/>
    </row>
    <row r="17" spans="1:4" x14ac:dyDescent="0.2">
      <c r="A17" s="312">
        <v>7</v>
      </c>
      <c r="B17" s="312" t="s">
        <v>84</v>
      </c>
      <c r="C17" s="312" t="s">
        <v>380</v>
      </c>
      <c r="D17" s="314">
        <v>0.35</v>
      </c>
    </row>
    <row r="18" spans="1:4" x14ac:dyDescent="0.2">
      <c r="A18" s="332"/>
      <c r="B18" s="333"/>
      <c r="C18" s="333"/>
      <c r="D18" s="334"/>
    </row>
    <row r="19" spans="1:4" x14ac:dyDescent="0.2">
      <c r="A19" s="335">
        <v>8</v>
      </c>
      <c r="B19" s="335" t="s">
        <v>86</v>
      </c>
      <c r="C19" s="312" t="s">
        <v>381</v>
      </c>
      <c r="D19" s="314">
        <v>0.3</v>
      </c>
    </row>
    <row r="20" spans="1:4" x14ac:dyDescent="0.2">
      <c r="A20" s="336"/>
      <c r="B20" s="336"/>
      <c r="C20" s="312" t="s">
        <v>383</v>
      </c>
      <c r="D20" s="314">
        <v>0.5</v>
      </c>
    </row>
    <row r="21" spans="1:4" x14ac:dyDescent="0.2">
      <c r="A21" s="332"/>
      <c r="B21" s="333"/>
      <c r="C21" s="333"/>
      <c r="D21" s="334"/>
    </row>
    <row r="22" spans="1:4" x14ac:dyDescent="0.2">
      <c r="A22" s="335">
        <v>9</v>
      </c>
      <c r="B22" s="335" t="s">
        <v>85</v>
      </c>
      <c r="C22" s="312" t="s">
        <v>381</v>
      </c>
      <c r="D22" s="314">
        <v>0.3</v>
      </c>
    </row>
    <row r="23" spans="1:4" x14ac:dyDescent="0.2">
      <c r="A23" s="336"/>
      <c r="B23" s="336"/>
      <c r="C23" s="312" t="s">
        <v>383</v>
      </c>
      <c r="D23" s="314">
        <v>0.4</v>
      </c>
    </row>
    <row r="24" spans="1:4" x14ac:dyDescent="0.2">
      <c r="A24" s="332"/>
      <c r="B24" s="333"/>
      <c r="C24" s="333"/>
      <c r="D24" s="334"/>
    </row>
    <row r="25" spans="1:4" x14ac:dyDescent="0.2">
      <c r="A25" s="335">
        <v>10</v>
      </c>
      <c r="B25" s="335" t="s">
        <v>87</v>
      </c>
      <c r="C25" s="312" t="s">
        <v>381</v>
      </c>
      <c r="D25" s="314">
        <v>0.3</v>
      </c>
    </row>
    <row r="26" spans="1:4" x14ac:dyDescent="0.2">
      <c r="A26" s="336"/>
      <c r="B26" s="336"/>
      <c r="C26" s="312" t="s">
        <v>383</v>
      </c>
      <c r="D26" s="314">
        <v>0.4</v>
      </c>
    </row>
  </sheetData>
  <mergeCells count="19">
    <mergeCell ref="A19:A20"/>
    <mergeCell ref="B19:B20"/>
    <mergeCell ref="A3:D3"/>
    <mergeCell ref="A4:A6"/>
    <mergeCell ref="B4:B6"/>
    <mergeCell ref="A7:D7"/>
    <mergeCell ref="A9:D9"/>
    <mergeCell ref="A11:D11"/>
    <mergeCell ref="A13:D13"/>
    <mergeCell ref="A14:A15"/>
    <mergeCell ref="B14:B15"/>
    <mergeCell ref="A16:D16"/>
    <mergeCell ref="A18:D18"/>
    <mergeCell ref="A21:D21"/>
    <mergeCell ref="A22:A23"/>
    <mergeCell ref="B22:B23"/>
    <mergeCell ref="A24:D24"/>
    <mergeCell ref="A25:A26"/>
    <mergeCell ref="B25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FAF8-5A79-46EA-8658-2E674F9CC9A6}">
  <sheetPr>
    <tabColor theme="8" tint="0.59999389629810485"/>
  </sheetPr>
  <dimension ref="A1:T91"/>
  <sheetViews>
    <sheetView showGridLines="0" zoomScaleNormal="100" workbookViewId="0">
      <selection activeCell="Q5" sqref="Q5"/>
    </sheetView>
  </sheetViews>
  <sheetFormatPr baseColWidth="10" defaultColWidth="11.5" defaultRowHeight="15" x14ac:dyDescent="0.2"/>
  <cols>
    <col min="1" max="1" width="12.5" style="15" customWidth="1"/>
    <col min="2" max="2" width="34.6640625" style="15" customWidth="1"/>
    <col min="3" max="3" width="12.33203125" style="39" bestFit="1" customWidth="1"/>
    <col min="4" max="4" width="10.5" style="14" customWidth="1"/>
    <col min="5" max="7" width="9.5" style="14" customWidth="1"/>
    <col min="8" max="8" width="21" style="14" customWidth="1"/>
    <col min="9" max="9" width="2" style="15" hidden="1" customWidth="1"/>
    <col min="10" max="18" width="7.83203125" style="15" customWidth="1"/>
    <col min="19" max="19" width="10.6640625" style="81" bestFit="1" customWidth="1"/>
    <col min="20" max="16384" width="11.5" style="15"/>
  </cols>
  <sheetData>
    <row r="1" spans="1:20" x14ac:dyDescent="0.2">
      <c r="B1" s="11" t="s">
        <v>67</v>
      </c>
      <c r="C1" s="12"/>
      <c r="D1" s="13"/>
      <c r="E1" s="13"/>
      <c r="F1" s="13"/>
      <c r="H1" s="45" t="s">
        <v>67</v>
      </c>
      <c r="I1" s="12"/>
      <c r="J1" s="13"/>
      <c r="K1" s="13"/>
      <c r="L1" s="13"/>
      <c r="M1" s="13"/>
      <c r="N1" s="13"/>
      <c r="O1" s="13"/>
      <c r="P1" s="13"/>
      <c r="Q1" s="14"/>
      <c r="R1" s="14"/>
    </row>
    <row r="2" spans="1:20" s="16" customFormat="1" x14ac:dyDescent="0.2">
      <c r="C2" s="17"/>
      <c r="D2" s="18" t="s">
        <v>387</v>
      </c>
      <c r="E2" s="18" t="s">
        <v>388</v>
      </c>
      <c r="F2" s="18" t="s">
        <v>389</v>
      </c>
      <c r="G2" s="19"/>
      <c r="I2" s="17"/>
      <c r="J2" s="60" t="s">
        <v>51</v>
      </c>
      <c r="K2" s="18" t="s">
        <v>80</v>
      </c>
      <c r="L2" s="60" t="s">
        <v>81</v>
      </c>
      <c r="M2" s="18" t="s">
        <v>82</v>
      </c>
      <c r="N2" s="18" t="s">
        <v>83</v>
      </c>
      <c r="O2" s="60" t="s">
        <v>84</v>
      </c>
      <c r="P2" s="18" t="s">
        <v>86</v>
      </c>
      <c r="Q2" s="61" t="s">
        <v>85</v>
      </c>
      <c r="R2" s="19" t="s">
        <v>87</v>
      </c>
      <c r="S2" s="82"/>
    </row>
    <row r="3" spans="1:20" s="23" customFormat="1" x14ac:dyDescent="0.2">
      <c r="A3" s="20" t="s">
        <v>402</v>
      </c>
      <c r="B3" s="20" t="s">
        <v>58</v>
      </c>
      <c r="C3" s="21" t="s">
        <v>59</v>
      </c>
      <c r="D3" s="22" t="s">
        <v>75</v>
      </c>
      <c r="E3" s="22" t="s">
        <v>75</v>
      </c>
      <c r="F3" s="22" t="s">
        <v>75</v>
      </c>
      <c r="G3" s="62" t="s">
        <v>112</v>
      </c>
      <c r="H3" s="40" t="s">
        <v>58</v>
      </c>
      <c r="I3" s="41" t="s">
        <v>59</v>
      </c>
      <c r="J3" s="42" t="s">
        <v>75</v>
      </c>
      <c r="K3" s="42" t="s">
        <v>75</v>
      </c>
      <c r="L3" s="42" t="s">
        <v>75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83" t="s">
        <v>112</v>
      </c>
    </row>
    <row r="4" spans="1:20" s="23" customFormat="1" x14ac:dyDescent="0.2">
      <c r="A4" s="338" t="s">
        <v>438</v>
      </c>
      <c r="B4" s="315" t="s">
        <v>437</v>
      </c>
      <c r="C4" s="25">
        <v>1</v>
      </c>
      <c r="D4" s="320" t="s">
        <v>114</v>
      </c>
      <c r="E4" s="26">
        <v>1200</v>
      </c>
      <c r="F4" s="325">
        <v>900</v>
      </c>
      <c r="G4" s="63"/>
      <c r="H4" s="24" t="s">
        <v>105</v>
      </c>
      <c r="I4" s="10"/>
      <c r="J4" s="46"/>
      <c r="K4" s="47"/>
      <c r="L4" s="322"/>
      <c r="M4" s="46"/>
      <c r="N4" s="46"/>
      <c r="O4" s="322"/>
      <c r="P4" s="46"/>
      <c r="Q4" s="46"/>
      <c r="R4" s="46"/>
      <c r="S4" s="84" t="e">
        <f>SUM(J4:R4)/COUNT(J4:R4)/C6</f>
        <v>#DIV/0!</v>
      </c>
      <c r="T4" s="64" t="e">
        <f>S4/G6-1</f>
        <v>#DIV/0!</v>
      </c>
    </row>
    <row r="5" spans="1:20" s="23" customFormat="1" x14ac:dyDescent="0.2">
      <c r="A5" s="339"/>
      <c r="B5" s="315" t="s">
        <v>449</v>
      </c>
      <c r="C5" s="25">
        <v>1</v>
      </c>
      <c r="D5" s="320" t="s">
        <v>114</v>
      </c>
      <c r="E5" s="26">
        <v>1300</v>
      </c>
      <c r="F5" s="325">
        <v>1000</v>
      </c>
      <c r="G5" s="63"/>
      <c r="H5" s="24" t="s">
        <v>106</v>
      </c>
      <c r="I5" s="10"/>
      <c r="J5" s="46"/>
      <c r="K5" s="47"/>
      <c r="L5" s="322"/>
      <c r="M5" s="46"/>
      <c r="N5" s="46"/>
      <c r="O5" s="322"/>
      <c r="P5" s="322"/>
      <c r="Q5" s="46"/>
      <c r="R5" s="46"/>
      <c r="S5" s="84" t="e">
        <f t="shared" ref="S5:S50" si="0">SUM(J5:R5)/COUNT(J5:R5)/C7</f>
        <v>#DIV/0!</v>
      </c>
      <c r="T5" s="64" t="e">
        <f>S5/G7-1</f>
        <v>#DIV/0!</v>
      </c>
    </row>
    <row r="6" spans="1:20" ht="16" customHeight="1" x14ac:dyDescent="0.2">
      <c r="A6" s="344" t="s">
        <v>401</v>
      </c>
      <c r="B6" s="315" t="s">
        <v>390</v>
      </c>
      <c r="C6" s="25">
        <v>1</v>
      </c>
      <c r="D6" s="26">
        <v>1300</v>
      </c>
      <c r="E6" s="320" t="s">
        <v>114</v>
      </c>
      <c r="F6" s="326" t="s">
        <v>114</v>
      </c>
      <c r="G6" s="63"/>
      <c r="H6" s="24" t="s">
        <v>103</v>
      </c>
      <c r="I6" s="10" t="s">
        <v>88</v>
      </c>
      <c r="J6" s="322"/>
      <c r="K6" s="47"/>
      <c r="L6" s="46"/>
      <c r="M6" s="46"/>
      <c r="N6" s="46"/>
      <c r="O6" s="46"/>
      <c r="P6" s="46"/>
      <c r="Q6" s="322"/>
      <c r="R6" s="46"/>
      <c r="S6" s="84" t="e">
        <f t="shared" si="0"/>
        <v>#DIV/0!</v>
      </c>
      <c r="T6" s="64" t="e">
        <f>S6/G8-1</f>
        <v>#DIV/0!</v>
      </c>
    </row>
    <row r="7" spans="1:20" x14ac:dyDescent="0.2">
      <c r="A7" s="344"/>
      <c r="B7" s="315" t="s">
        <v>391</v>
      </c>
      <c r="C7" s="25">
        <v>1</v>
      </c>
      <c r="D7" s="26">
        <v>1400</v>
      </c>
      <c r="E7" s="320" t="s">
        <v>114</v>
      </c>
      <c r="F7" s="326" t="s">
        <v>114</v>
      </c>
      <c r="G7" s="63"/>
      <c r="H7" s="24"/>
      <c r="I7" s="10"/>
      <c r="J7" s="322"/>
      <c r="K7" s="47"/>
      <c r="L7" s="322"/>
      <c r="M7" s="46"/>
      <c r="N7" s="46"/>
      <c r="O7" s="322"/>
      <c r="P7" s="46"/>
      <c r="Q7" s="322"/>
      <c r="R7" s="46"/>
      <c r="S7" s="84" t="e">
        <f t="shared" si="0"/>
        <v>#DIV/0!</v>
      </c>
      <c r="T7" s="64"/>
    </row>
    <row r="8" spans="1:20" x14ac:dyDescent="0.2">
      <c r="A8" s="344"/>
      <c r="B8" s="315" t="s">
        <v>392</v>
      </c>
      <c r="C8" s="25">
        <v>1.5</v>
      </c>
      <c r="D8" s="26">
        <v>2000</v>
      </c>
      <c r="E8" s="320" t="s">
        <v>114</v>
      </c>
      <c r="F8" s="326" t="s">
        <v>114</v>
      </c>
      <c r="G8" s="63"/>
      <c r="H8" s="24"/>
      <c r="I8" s="10"/>
      <c r="J8" s="322"/>
      <c r="K8" s="47"/>
      <c r="L8" s="322"/>
      <c r="M8" s="322"/>
      <c r="N8" s="46"/>
      <c r="O8" s="322"/>
      <c r="P8" s="46"/>
      <c r="Q8" s="322"/>
      <c r="R8" s="46"/>
      <c r="S8" s="84" t="e">
        <f t="shared" si="0"/>
        <v>#DIV/0!</v>
      </c>
      <c r="T8" s="64"/>
    </row>
    <row r="9" spans="1:20" x14ac:dyDescent="0.2">
      <c r="A9" s="340" t="s">
        <v>403</v>
      </c>
      <c r="B9" s="315" t="s">
        <v>439</v>
      </c>
      <c r="C9" s="25">
        <v>1</v>
      </c>
      <c r="D9" s="320" t="s">
        <v>114</v>
      </c>
      <c r="E9" s="26">
        <v>1500</v>
      </c>
      <c r="F9" s="325">
        <v>2000</v>
      </c>
      <c r="G9" s="63"/>
      <c r="H9" s="315" t="s">
        <v>439</v>
      </c>
      <c r="I9" s="10" t="s">
        <v>88</v>
      </c>
      <c r="J9" s="46"/>
      <c r="K9" s="47"/>
      <c r="L9" s="46"/>
      <c r="M9" s="46"/>
      <c r="N9" s="46"/>
      <c r="O9" s="322"/>
      <c r="P9" s="46"/>
      <c r="Q9" s="46"/>
      <c r="R9" s="46"/>
      <c r="S9" s="84" t="e">
        <f t="shared" si="0"/>
        <v>#DIV/0!</v>
      </c>
      <c r="T9" s="64" t="e">
        <f>S9/G11-1</f>
        <v>#DIV/0!</v>
      </c>
    </row>
    <row r="10" spans="1:20" x14ac:dyDescent="0.2">
      <c r="A10" s="341"/>
      <c r="B10" s="315" t="s">
        <v>423</v>
      </c>
      <c r="C10" s="25">
        <v>1.5</v>
      </c>
      <c r="D10" s="320" t="s">
        <v>114</v>
      </c>
      <c r="E10" s="26">
        <v>2000</v>
      </c>
      <c r="F10" s="325">
        <v>2300</v>
      </c>
      <c r="G10" s="63"/>
      <c r="H10" s="315" t="s">
        <v>423</v>
      </c>
      <c r="I10" s="10"/>
      <c r="J10" s="46"/>
      <c r="K10" s="47"/>
      <c r="L10" s="46"/>
      <c r="M10" s="46"/>
      <c r="N10" s="46"/>
      <c r="O10" s="322"/>
      <c r="P10" s="46"/>
      <c r="Q10" s="46"/>
      <c r="R10" s="46"/>
      <c r="S10" s="84" t="e">
        <f t="shared" si="0"/>
        <v>#DIV/0!</v>
      </c>
      <c r="T10" s="64"/>
    </row>
    <row r="11" spans="1:20" ht="15" customHeight="1" x14ac:dyDescent="0.2">
      <c r="A11" s="341"/>
      <c r="B11" s="315" t="s">
        <v>393</v>
      </c>
      <c r="C11" s="25">
        <v>2</v>
      </c>
      <c r="D11" s="320">
        <v>2200</v>
      </c>
      <c r="E11" s="26">
        <v>2500</v>
      </c>
      <c r="F11" s="325">
        <v>2500</v>
      </c>
      <c r="G11" s="63"/>
      <c r="H11" s="315" t="s">
        <v>393</v>
      </c>
      <c r="I11" s="10"/>
      <c r="J11" s="46"/>
      <c r="K11" s="47"/>
      <c r="L11" s="46"/>
      <c r="M11" s="46"/>
      <c r="N11" s="46"/>
      <c r="O11" s="46"/>
      <c r="P11" s="46"/>
      <c r="Q11" s="46"/>
      <c r="R11" s="46"/>
      <c r="S11" s="84" t="e">
        <f t="shared" si="0"/>
        <v>#DIV/0!</v>
      </c>
      <c r="T11" s="64" t="e">
        <f>S11/G13-1</f>
        <v>#DIV/0!</v>
      </c>
    </row>
    <row r="12" spans="1:20" x14ac:dyDescent="0.2">
      <c r="A12" s="341"/>
      <c r="B12" s="315" t="s">
        <v>394</v>
      </c>
      <c r="C12" s="25">
        <v>2.5</v>
      </c>
      <c r="D12" s="320">
        <v>2700</v>
      </c>
      <c r="E12" s="26">
        <v>3000</v>
      </c>
      <c r="F12" s="325">
        <v>3500</v>
      </c>
      <c r="G12" s="63"/>
      <c r="H12" s="315" t="s">
        <v>394</v>
      </c>
      <c r="I12" s="10"/>
      <c r="J12" s="46"/>
      <c r="K12" s="47"/>
      <c r="L12" s="46"/>
      <c r="M12" s="46"/>
      <c r="N12" s="46"/>
      <c r="O12" s="46"/>
      <c r="P12" s="46"/>
      <c r="Q12" s="322"/>
      <c r="R12" s="46"/>
      <c r="S12" s="84" t="e">
        <f t="shared" si="0"/>
        <v>#DIV/0!</v>
      </c>
      <c r="T12" s="64" t="e">
        <f>S12/G14-1</f>
        <v>#DIV/0!</v>
      </c>
    </row>
    <row r="13" spans="1:20" x14ac:dyDescent="0.2">
      <c r="A13" s="341"/>
      <c r="B13" s="315" t="s">
        <v>395</v>
      </c>
      <c r="C13" s="25">
        <v>3</v>
      </c>
      <c r="D13" s="320">
        <v>3000</v>
      </c>
      <c r="E13" s="26">
        <v>3500</v>
      </c>
      <c r="F13" s="326">
        <v>4200</v>
      </c>
      <c r="G13" s="63"/>
      <c r="H13" s="315" t="s">
        <v>395</v>
      </c>
      <c r="I13" s="10"/>
      <c r="J13" s="46"/>
      <c r="K13" s="47"/>
      <c r="L13" s="46"/>
      <c r="M13" s="46"/>
      <c r="N13" s="46"/>
      <c r="O13" s="46"/>
      <c r="P13" s="46"/>
      <c r="Q13" s="46"/>
      <c r="R13" s="46"/>
      <c r="S13" s="84" t="e">
        <f t="shared" si="0"/>
        <v>#DIV/0!</v>
      </c>
      <c r="T13" s="64"/>
    </row>
    <row r="14" spans="1:20" x14ac:dyDescent="0.2">
      <c r="A14" s="341"/>
      <c r="B14" s="315" t="s">
        <v>396</v>
      </c>
      <c r="C14" s="25">
        <v>3.5</v>
      </c>
      <c r="D14" s="320">
        <v>3500</v>
      </c>
      <c r="E14" s="26">
        <v>4000</v>
      </c>
      <c r="F14" s="325">
        <v>4500</v>
      </c>
      <c r="G14" s="63"/>
      <c r="H14" s="315" t="s">
        <v>396</v>
      </c>
      <c r="I14" s="10"/>
      <c r="J14" s="46"/>
      <c r="K14" s="47"/>
      <c r="L14" s="46"/>
      <c r="M14" s="46"/>
      <c r="N14" s="46"/>
      <c r="O14" s="46"/>
      <c r="P14" s="46"/>
      <c r="Q14" s="322"/>
      <c r="R14" s="46"/>
      <c r="S14" s="84" t="e">
        <f t="shared" si="0"/>
        <v>#DIV/0!</v>
      </c>
      <c r="T14" s="64" t="e">
        <f>S14/G16-1</f>
        <v>#DIV/0!</v>
      </c>
    </row>
    <row r="15" spans="1:20" x14ac:dyDescent="0.2">
      <c r="A15" s="341"/>
      <c r="B15" s="315" t="s">
        <v>440</v>
      </c>
      <c r="C15" s="25">
        <v>4</v>
      </c>
      <c r="D15" s="320" t="s">
        <v>114</v>
      </c>
      <c r="E15" s="26">
        <v>4500</v>
      </c>
      <c r="F15" s="325">
        <v>5000</v>
      </c>
      <c r="G15" s="63"/>
      <c r="H15" s="315" t="s">
        <v>440</v>
      </c>
      <c r="I15" s="10"/>
      <c r="J15" s="46"/>
      <c r="K15" s="47"/>
      <c r="L15" s="46"/>
      <c r="M15" s="46"/>
      <c r="N15" s="46"/>
      <c r="O15" s="46"/>
      <c r="P15" s="46"/>
      <c r="Q15" s="322"/>
      <c r="R15" s="46"/>
      <c r="S15" s="84" t="e">
        <f t="shared" si="0"/>
        <v>#DIV/0!</v>
      </c>
      <c r="T15" s="64" t="e">
        <f>S15/G17-1</f>
        <v>#DIV/0!</v>
      </c>
    </row>
    <row r="16" spans="1:20" x14ac:dyDescent="0.2">
      <c r="A16" s="341"/>
      <c r="B16" s="315" t="s">
        <v>397</v>
      </c>
      <c r="C16" s="25">
        <v>4.5</v>
      </c>
      <c r="D16" s="320">
        <v>4500</v>
      </c>
      <c r="E16" s="26">
        <v>4800</v>
      </c>
      <c r="F16" s="326" t="s">
        <v>114</v>
      </c>
      <c r="G16" s="63"/>
      <c r="H16" s="315" t="s">
        <v>397</v>
      </c>
      <c r="I16" s="10"/>
      <c r="J16" s="46"/>
      <c r="K16" s="47"/>
      <c r="L16" s="46"/>
      <c r="M16" s="46"/>
      <c r="N16" s="46"/>
      <c r="O16" s="46"/>
      <c r="P16" s="46"/>
      <c r="Q16" s="322"/>
      <c r="R16" s="46"/>
      <c r="S16" s="84" t="e">
        <f t="shared" si="0"/>
        <v>#DIV/0!</v>
      </c>
      <c r="T16" s="64"/>
    </row>
    <row r="17" spans="1:20" x14ac:dyDescent="0.2">
      <c r="A17" s="341"/>
      <c r="B17" s="315" t="s">
        <v>398</v>
      </c>
      <c r="C17" s="25">
        <v>5</v>
      </c>
      <c r="D17" s="320">
        <v>5000</v>
      </c>
      <c r="E17" s="26">
        <v>5000</v>
      </c>
      <c r="F17" s="326" t="s">
        <v>114</v>
      </c>
      <c r="G17" s="63"/>
      <c r="H17" s="315" t="s">
        <v>451</v>
      </c>
      <c r="I17" s="10"/>
      <c r="J17" s="46"/>
      <c r="K17" s="47"/>
      <c r="L17" s="322"/>
      <c r="M17" s="46"/>
      <c r="N17" s="46"/>
      <c r="O17" s="46"/>
      <c r="P17" s="46"/>
      <c r="Q17" s="46"/>
      <c r="R17" s="46"/>
      <c r="S17" s="84" t="e">
        <f t="shared" si="0"/>
        <v>#DIV/0!</v>
      </c>
      <c r="T17" s="64" t="e">
        <f>S17/G19-1</f>
        <v>#DIV/0!</v>
      </c>
    </row>
    <row r="18" spans="1:20" x14ac:dyDescent="0.2">
      <c r="A18" s="341"/>
      <c r="B18" s="315" t="s">
        <v>424</v>
      </c>
      <c r="C18" s="25">
        <v>5.5</v>
      </c>
      <c r="D18" s="320" t="s">
        <v>114</v>
      </c>
      <c r="E18" s="26">
        <v>5500</v>
      </c>
      <c r="F18" s="326" t="s">
        <v>114</v>
      </c>
      <c r="G18" s="63"/>
      <c r="H18" s="315" t="s">
        <v>452</v>
      </c>
      <c r="I18" s="10"/>
      <c r="J18" s="322"/>
      <c r="K18" s="47"/>
      <c r="L18" s="46"/>
      <c r="M18" s="46"/>
      <c r="N18" s="46"/>
      <c r="O18" s="322"/>
      <c r="P18" s="46"/>
      <c r="Q18" s="46"/>
      <c r="R18" s="46"/>
      <c r="S18" s="84" t="e">
        <f t="shared" si="0"/>
        <v>#DIV/0!</v>
      </c>
      <c r="T18" s="64"/>
    </row>
    <row r="19" spans="1:20" x14ac:dyDescent="0.2">
      <c r="A19" s="341"/>
      <c r="B19" s="315" t="s">
        <v>399</v>
      </c>
      <c r="C19" s="25">
        <v>6</v>
      </c>
      <c r="D19" s="320">
        <v>6000</v>
      </c>
      <c r="E19" s="26">
        <v>6000</v>
      </c>
      <c r="F19" s="325">
        <v>6500</v>
      </c>
      <c r="G19" s="63"/>
      <c r="H19" s="315" t="s">
        <v>453</v>
      </c>
      <c r="I19" s="10"/>
      <c r="J19" s="46"/>
      <c r="K19" s="47"/>
      <c r="L19" s="322"/>
      <c r="M19" s="46"/>
      <c r="N19" s="46"/>
      <c r="O19" s="46"/>
      <c r="P19" s="46"/>
      <c r="Q19" s="322"/>
      <c r="R19" s="46"/>
      <c r="S19" s="84" t="e">
        <f t="shared" si="0"/>
        <v>#DIV/0!</v>
      </c>
      <c r="T19" s="64" t="e">
        <f>S19/G21-1</f>
        <v>#DIV/0!</v>
      </c>
    </row>
    <row r="20" spans="1:20" x14ac:dyDescent="0.2">
      <c r="A20" s="341"/>
      <c r="B20" s="315" t="s">
        <v>425</v>
      </c>
      <c r="C20" s="25">
        <v>6.5</v>
      </c>
      <c r="D20" s="320" t="s">
        <v>114</v>
      </c>
      <c r="E20" s="26">
        <v>6250</v>
      </c>
      <c r="F20" s="326">
        <v>7000</v>
      </c>
      <c r="G20" s="63"/>
      <c r="H20" s="315" t="s">
        <v>454</v>
      </c>
      <c r="I20" s="10"/>
      <c r="J20" s="322"/>
      <c r="K20" s="47"/>
      <c r="L20" s="46"/>
      <c r="M20" s="46"/>
      <c r="N20" s="46"/>
      <c r="O20" s="322"/>
      <c r="P20" s="46"/>
      <c r="Q20" s="322"/>
      <c r="R20" s="46"/>
      <c r="S20" s="84" t="e">
        <f t="shared" si="0"/>
        <v>#DIV/0!</v>
      </c>
      <c r="T20" s="64"/>
    </row>
    <row r="21" spans="1:20" x14ac:dyDescent="0.2">
      <c r="A21" s="342"/>
      <c r="B21" s="315" t="s">
        <v>400</v>
      </c>
      <c r="C21" s="25">
        <v>7</v>
      </c>
      <c r="D21" s="26">
        <v>6800</v>
      </c>
      <c r="E21" s="26">
        <v>7000</v>
      </c>
      <c r="F21" s="326" t="s">
        <v>114</v>
      </c>
      <c r="G21" s="63"/>
      <c r="H21" s="315" t="s">
        <v>455</v>
      </c>
      <c r="I21" s="10"/>
      <c r="J21" s="322"/>
      <c r="K21" s="47"/>
      <c r="L21" s="46"/>
      <c r="M21" s="46"/>
      <c r="N21" s="46"/>
      <c r="O21" s="46"/>
      <c r="P21" s="46"/>
      <c r="Q21" s="46"/>
      <c r="R21" s="46"/>
      <c r="S21" s="84" t="e">
        <f t="shared" si="0"/>
        <v>#DIV/0!</v>
      </c>
      <c r="T21" s="64"/>
    </row>
    <row r="22" spans="1:20" x14ac:dyDescent="0.2">
      <c r="A22" s="344" t="s">
        <v>420</v>
      </c>
      <c r="B22" s="315" t="s">
        <v>404</v>
      </c>
      <c r="C22" s="25">
        <v>7.5</v>
      </c>
      <c r="D22" s="26">
        <v>7500</v>
      </c>
      <c r="E22" s="321">
        <v>7500</v>
      </c>
      <c r="F22" s="326" t="s">
        <v>114</v>
      </c>
      <c r="G22" s="63"/>
      <c r="H22" s="315" t="s">
        <v>404</v>
      </c>
      <c r="I22" s="10"/>
      <c r="J22" s="46"/>
      <c r="K22" s="47"/>
      <c r="L22" s="322"/>
      <c r="M22" s="46"/>
      <c r="N22" s="46"/>
      <c r="O22" s="46"/>
      <c r="P22" s="46"/>
      <c r="Q22" s="322"/>
      <c r="R22" s="46"/>
      <c r="S22" s="84" t="e">
        <f t="shared" si="0"/>
        <v>#DIV/0!</v>
      </c>
      <c r="T22" s="64"/>
    </row>
    <row r="23" spans="1:20" x14ac:dyDescent="0.2">
      <c r="A23" s="344"/>
      <c r="B23" s="315" t="s">
        <v>429</v>
      </c>
      <c r="C23" s="25">
        <v>8</v>
      </c>
      <c r="D23" s="320" t="s">
        <v>114</v>
      </c>
      <c r="E23" s="321">
        <v>8000</v>
      </c>
      <c r="F23" s="327">
        <v>8000</v>
      </c>
      <c r="G23" s="63"/>
      <c r="H23" s="315" t="s">
        <v>429</v>
      </c>
      <c r="I23" s="10"/>
      <c r="J23" s="46"/>
      <c r="K23" s="47"/>
      <c r="L23" s="322"/>
      <c r="M23" s="46"/>
      <c r="N23" s="46"/>
      <c r="O23" s="46"/>
      <c r="P23" s="46"/>
      <c r="Q23" s="322"/>
      <c r="R23" s="46"/>
      <c r="S23" s="84" t="e">
        <f t="shared" si="0"/>
        <v>#DIV/0!</v>
      </c>
      <c r="T23" s="64"/>
    </row>
    <row r="24" spans="1:20" x14ac:dyDescent="0.2">
      <c r="A24" s="344"/>
      <c r="B24" s="315" t="s">
        <v>430</v>
      </c>
      <c r="C24" s="25">
        <v>8.5</v>
      </c>
      <c r="D24" s="320" t="s">
        <v>114</v>
      </c>
      <c r="E24" s="321">
        <v>8500</v>
      </c>
      <c r="F24" s="327">
        <v>9000</v>
      </c>
      <c r="G24" s="63"/>
      <c r="H24" s="315" t="s">
        <v>430</v>
      </c>
      <c r="I24" s="10"/>
      <c r="J24" s="46"/>
      <c r="K24" s="46"/>
      <c r="L24" s="46"/>
      <c r="M24" s="46"/>
      <c r="N24" s="46"/>
      <c r="O24" s="322"/>
      <c r="P24" s="46"/>
      <c r="Q24" s="322"/>
      <c r="R24" s="46"/>
      <c r="S24" s="84" t="e">
        <f>SUM(J24:R24)/COUNT(J24:R24)/C26</f>
        <v>#DIV/0!</v>
      </c>
      <c r="T24" s="64" t="e">
        <f>S24/G26-1</f>
        <v>#DIV/0!</v>
      </c>
    </row>
    <row r="25" spans="1:20" x14ac:dyDescent="0.2">
      <c r="A25" s="345"/>
      <c r="B25" s="315" t="s">
        <v>405</v>
      </c>
      <c r="C25" s="25">
        <v>9</v>
      </c>
      <c r="D25" s="26">
        <v>9000</v>
      </c>
      <c r="E25" s="26">
        <v>9000</v>
      </c>
      <c r="F25" s="326" t="s">
        <v>114</v>
      </c>
      <c r="G25" s="63"/>
      <c r="H25" s="315" t="s">
        <v>405</v>
      </c>
      <c r="I25" s="10"/>
      <c r="J25" s="46"/>
      <c r="K25" s="46"/>
      <c r="L25" s="46"/>
      <c r="M25" s="46"/>
      <c r="N25" s="46"/>
      <c r="O25" s="46"/>
      <c r="P25" s="46"/>
      <c r="Q25" s="322"/>
      <c r="R25" s="46"/>
      <c r="S25" s="84" t="e">
        <f t="shared" si="0"/>
        <v>#DIV/0!</v>
      </c>
      <c r="T25" s="64" t="e">
        <f>S25/G27-1</f>
        <v>#DIV/0!</v>
      </c>
    </row>
    <row r="26" spans="1:20" x14ac:dyDescent="0.2">
      <c r="A26" s="345"/>
      <c r="B26" s="315" t="s">
        <v>406</v>
      </c>
      <c r="C26" s="25">
        <v>9.5</v>
      </c>
      <c r="D26" s="26">
        <v>9500</v>
      </c>
      <c r="E26" s="26">
        <v>9500</v>
      </c>
      <c r="F26" s="328">
        <v>9500</v>
      </c>
      <c r="G26" s="63"/>
      <c r="H26" s="315" t="s">
        <v>406</v>
      </c>
      <c r="J26" s="46"/>
      <c r="K26" s="47"/>
      <c r="L26" s="46"/>
      <c r="M26" s="46"/>
      <c r="N26" s="46"/>
      <c r="O26" s="46"/>
      <c r="P26" s="46"/>
      <c r="Q26" s="46"/>
      <c r="R26" s="46"/>
      <c r="S26" s="84" t="e">
        <f t="shared" si="0"/>
        <v>#DIV/0!</v>
      </c>
    </row>
    <row r="27" spans="1:20" x14ac:dyDescent="0.2">
      <c r="A27" s="345"/>
      <c r="B27" s="315" t="s">
        <v>407</v>
      </c>
      <c r="C27" s="25">
        <v>10</v>
      </c>
      <c r="D27" s="26">
        <v>10000</v>
      </c>
      <c r="E27" s="26">
        <v>10000</v>
      </c>
      <c r="F27" s="328">
        <v>9500</v>
      </c>
      <c r="G27" s="63"/>
      <c r="H27" s="315" t="s">
        <v>407</v>
      </c>
      <c r="J27" s="322"/>
      <c r="K27" s="47"/>
      <c r="L27" s="46"/>
      <c r="M27" s="46"/>
      <c r="N27" s="46"/>
      <c r="O27" s="46"/>
      <c r="P27" s="46"/>
      <c r="Q27" s="46"/>
      <c r="R27" s="46"/>
      <c r="S27" s="84" t="e">
        <f t="shared" si="0"/>
        <v>#DIV/0!</v>
      </c>
    </row>
    <row r="28" spans="1:20" x14ac:dyDescent="0.2">
      <c r="A28" s="345"/>
      <c r="B28" s="315" t="s">
        <v>408</v>
      </c>
      <c r="C28" s="25">
        <v>10.5</v>
      </c>
      <c r="D28" s="26">
        <v>10500</v>
      </c>
      <c r="E28" s="320" t="s">
        <v>114</v>
      </c>
      <c r="F28" s="328"/>
      <c r="G28" s="63"/>
      <c r="H28" s="315" t="s">
        <v>408</v>
      </c>
      <c r="I28"/>
      <c r="J28" s="322"/>
      <c r="K28" s="47"/>
      <c r="L28" s="46"/>
      <c r="M28" s="46"/>
      <c r="N28" s="46"/>
      <c r="O28" s="322"/>
      <c r="P28" s="46"/>
      <c r="Q28" s="322"/>
      <c r="R28" s="46"/>
      <c r="S28" s="84" t="e">
        <f t="shared" si="0"/>
        <v>#DIV/0!</v>
      </c>
      <c r="T28" s="64"/>
    </row>
    <row r="29" spans="1:20" x14ac:dyDescent="0.2">
      <c r="A29" s="345"/>
      <c r="B29" s="315" t="s">
        <v>409</v>
      </c>
      <c r="C29" s="25">
        <v>11.5</v>
      </c>
      <c r="D29" s="26">
        <v>11500</v>
      </c>
      <c r="E29" s="320" t="s">
        <v>114</v>
      </c>
      <c r="F29" s="328"/>
      <c r="G29" s="63"/>
      <c r="H29" s="315" t="s">
        <v>409</v>
      </c>
      <c r="I29"/>
      <c r="J29" s="46"/>
      <c r="K29" s="47"/>
      <c r="L29" s="46"/>
      <c r="M29" s="46"/>
      <c r="N29" s="46"/>
      <c r="O29" s="322"/>
      <c r="P29" s="46"/>
      <c r="Q29" s="322"/>
      <c r="R29" s="46"/>
      <c r="S29" s="84" t="e">
        <f t="shared" si="0"/>
        <v>#DIV/0!</v>
      </c>
      <c r="T29" s="64"/>
    </row>
    <row r="30" spans="1:20" x14ac:dyDescent="0.2">
      <c r="A30" s="345"/>
      <c r="B30" s="315" t="s">
        <v>410</v>
      </c>
      <c r="C30" s="25">
        <v>12</v>
      </c>
      <c r="D30" s="26">
        <v>12000</v>
      </c>
      <c r="E30" s="26">
        <v>12000</v>
      </c>
      <c r="F30" s="328">
        <v>12000</v>
      </c>
      <c r="G30" s="63"/>
      <c r="H30" s="315" t="s">
        <v>410</v>
      </c>
      <c r="I30"/>
      <c r="J30" s="322"/>
      <c r="K30" s="47"/>
      <c r="L30" s="322"/>
      <c r="M30" s="46"/>
      <c r="N30" s="46"/>
      <c r="O30" s="46"/>
      <c r="P30" s="46"/>
      <c r="Q30" s="322"/>
      <c r="R30" s="46"/>
      <c r="S30" s="84" t="e">
        <f t="shared" si="0"/>
        <v>#DIV/0!</v>
      </c>
      <c r="T30" s="64"/>
    </row>
    <row r="31" spans="1:20" x14ac:dyDescent="0.2">
      <c r="A31" s="345"/>
      <c r="B31" s="315" t="s">
        <v>411</v>
      </c>
      <c r="C31" s="25">
        <v>12.5</v>
      </c>
      <c r="D31" s="26">
        <v>12500</v>
      </c>
      <c r="E31" s="26">
        <v>12500</v>
      </c>
      <c r="F31" s="328"/>
      <c r="G31" s="63"/>
      <c r="H31" s="315" t="s">
        <v>411</v>
      </c>
      <c r="I31"/>
      <c r="J31" s="322"/>
      <c r="K31" s="47"/>
      <c r="L31" s="322"/>
      <c r="M31" s="46"/>
      <c r="N31" s="46"/>
      <c r="O31" s="46"/>
      <c r="P31" s="46"/>
      <c r="Q31" s="322"/>
      <c r="R31" s="46"/>
      <c r="S31" s="84" t="e">
        <f t="shared" si="0"/>
        <v>#DIV/0!</v>
      </c>
      <c r="T31" s="64"/>
    </row>
    <row r="32" spans="1:20" x14ac:dyDescent="0.2">
      <c r="A32" s="345"/>
      <c r="B32" s="315" t="s">
        <v>412</v>
      </c>
      <c r="C32" s="25">
        <v>13</v>
      </c>
      <c r="D32" s="26">
        <v>13500</v>
      </c>
      <c r="E32" s="320" t="s">
        <v>114</v>
      </c>
      <c r="F32" s="328">
        <v>14000</v>
      </c>
      <c r="G32" s="63"/>
      <c r="H32" s="315" t="s">
        <v>412</v>
      </c>
      <c r="I32"/>
      <c r="J32" s="46"/>
      <c r="K32" s="47"/>
      <c r="L32" s="322"/>
      <c r="M32" s="46"/>
      <c r="N32" s="46"/>
      <c r="O32" s="322"/>
      <c r="P32" s="46"/>
      <c r="Q32" s="322"/>
      <c r="R32" s="46"/>
      <c r="S32" s="84" t="e">
        <f t="shared" si="0"/>
        <v>#DIV/0!</v>
      </c>
      <c r="T32" s="64"/>
    </row>
    <row r="33" spans="1:20" x14ac:dyDescent="0.2">
      <c r="A33" s="345"/>
      <c r="B33" s="315" t="s">
        <v>432</v>
      </c>
      <c r="C33" s="25">
        <v>14</v>
      </c>
      <c r="D33" s="320" t="s">
        <v>114</v>
      </c>
      <c r="E33" s="26">
        <v>12500</v>
      </c>
      <c r="F33" s="328">
        <v>14500</v>
      </c>
      <c r="G33" s="63"/>
      <c r="H33" s="315" t="s">
        <v>432</v>
      </c>
      <c r="I33"/>
      <c r="J33" s="46"/>
      <c r="K33" s="47"/>
      <c r="L33" s="46"/>
      <c r="M33" s="46"/>
      <c r="N33" s="46"/>
      <c r="O33" s="46"/>
      <c r="P33" s="46"/>
      <c r="Q33" s="46"/>
      <c r="R33" s="46"/>
      <c r="S33" s="84" t="e">
        <f t="shared" si="0"/>
        <v>#DIV/0!</v>
      </c>
      <c r="T33" s="64"/>
    </row>
    <row r="34" spans="1:20" x14ac:dyDescent="0.2">
      <c r="A34" s="345"/>
      <c r="B34" s="315" t="s">
        <v>413</v>
      </c>
      <c r="C34" s="25">
        <v>15</v>
      </c>
      <c r="D34" s="26">
        <v>15000</v>
      </c>
      <c r="E34" s="320">
        <v>13500</v>
      </c>
      <c r="F34" s="328">
        <v>14500</v>
      </c>
      <c r="G34" s="63"/>
      <c r="H34" s="315" t="s">
        <v>413</v>
      </c>
      <c r="I34"/>
      <c r="J34" s="46"/>
      <c r="K34" s="47"/>
      <c r="L34" s="46"/>
      <c r="M34" s="46"/>
      <c r="N34" s="46"/>
      <c r="O34" s="46"/>
      <c r="P34" s="46"/>
      <c r="Q34" s="46"/>
      <c r="R34" s="46"/>
      <c r="S34" s="84" t="e">
        <f>SUM(J34:R34)/COUNT(J34:R34)/C36</f>
        <v>#DIV/0!</v>
      </c>
      <c r="T34" s="64"/>
    </row>
    <row r="35" spans="1:20" x14ac:dyDescent="0.2">
      <c r="A35" s="345"/>
      <c r="B35" s="315" t="s">
        <v>441</v>
      </c>
      <c r="C35" s="25">
        <v>16</v>
      </c>
      <c r="D35" s="320" t="s">
        <v>114</v>
      </c>
      <c r="E35" s="320">
        <v>14000</v>
      </c>
      <c r="F35" s="328">
        <v>16000</v>
      </c>
      <c r="G35" s="63"/>
      <c r="H35" s="315" t="s">
        <v>441</v>
      </c>
      <c r="I35"/>
      <c r="J35" s="46"/>
      <c r="K35" s="47"/>
      <c r="L35" s="322"/>
      <c r="M35" s="46"/>
      <c r="N35" s="46"/>
      <c r="O35" s="322"/>
      <c r="P35" s="46"/>
      <c r="Q35" s="322"/>
      <c r="R35" s="46"/>
      <c r="S35" s="84" t="e">
        <f t="shared" si="0"/>
        <v>#DIV/0!</v>
      </c>
      <c r="T35" s="64"/>
    </row>
    <row r="36" spans="1:20" x14ac:dyDescent="0.2">
      <c r="A36" s="345"/>
      <c r="B36" s="315" t="s">
        <v>450</v>
      </c>
      <c r="C36" s="25">
        <v>17</v>
      </c>
      <c r="D36" s="320" t="s">
        <v>114</v>
      </c>
      <c r="E36" s="320" t="s">
        <v>114</v>
      </c>
      <c r="F36" s="328">
        <v>18000</v>
      </c>
      <c r="G36" s="63"/>
      <c r="H36" s="315" t="s">
        <v>450</v>
      </c>
      <c r="I36"/>
      <c r="J36" s="322"/>
      <c r="K36" s="47"/>
      <c r="L36" s="46"/>
      <c r="M36" s="46"/>
      <c r="N36" s="46"/>
      <c r="O36" s="322"/>
      <c r="P36" s="46"/>
      <c r="Q36" s="46"/>
      <c r="R36" s="46"/>
      <c r="S36" s="84" t="e">
        <f t="shared" si="0"/>
        <v>#DIV/0!</v>
      </c>
      <c r="T36" s="64"/>
    </row>
    <row r="37" spans="1:20" x14ac:dyDescent="0.2">
      <c r="A37" s="345"/>
      <c r="B37" s="315" t="s">
        <v>414</v>
      </c>
      <c r="C37" s="25">
        <v>21.5</v>
      </c>
      <c r="D37" s="26">
        <v>22000</v>
      </c>
      <c r="E37" s="320" t="s">
        <v>114</v>
      </c>
      <c r="F37" s="326" t="s">
        <v>114</v>
      </c>
      <c r="G37" s="63"/>
      <c r="H37" s="315" t="s">
        <v>414</v>
      </c>
      <c r="I37"/>
      <c r="J37" s="46"/>
      <c r="K37" s="47"/>
      <c r="L37" s="46"/>
      <c r="M37" s="46"/>
      <c r="N37" s="46"/>
      <c r="O37" s="46"/>
      <c r="P37" s="46"/>
      <c r="Q37" s="322"/>
      <c r="R37" s="46"/>
      <c r="S37" s="84" t="e">
        <f t="shared" si="0"/>
        <v>#DIV/0!</v>
      </c>
      <c r="T37" s="64"/>
    </row>
    <row r="38" spans="1:20" x14ac:dyDescent="0.2">
      <c r="A38" s="345"/>
      <c r="B38" s="315" t="s">
        <v>415</v>
      </c>
      <c r="C38" s="25">
        <v>22</v>
      </c>
      <c r="D38" s="26">
        <v>23000</v>
      </c>
      <c r="E38" s="26">
        <v>18500</v>
      </c>
      <c r="F38" s="326" t="s">
        <v>114</v>
      </c>
      <c r="G38" s="63"/>
      <c r="H38" s="315" t="s">
        <v>415</v>
      </c>
      <c r="I38"/>
      <c r="J38" s="46"/>
      <c r="K38" s="47"/>
      <c r="L38" s="322"/>
      <c r="M38" s="46"/>
      <c r="N38" s="46"/>
      <c r="O38" s="322"/>
      <c r="P38" s="46"/>
      <c r="Q38" s="322"/>
      <c r="R38" s="46"/>
      <c r="S38" s="84" t="e">
        <f t="shared" si="0"/>
        <v>#DIV/0!</v>
      </c>
      <c r="T38" s="64"/>
    </row>
    <row r="39" spans="1:20" x14ac:dyDescent="0.2">
      <c r="A39" s="345"/>
      <c r="B39" s="315" t="s">
        <v>442</v>
      </c>
      <c r="C39" s="25">
        <v>24</v>
      </c>
      <c r="D39" s="320" t="s">
        <v>114</v>
      </c>
      <c r="E39" s="26">
        <v>20000</v>
      </c>
      <c r="F39" s="26">
        <v>20000</v>
      </c>
      <c r="G39" s="63"/>
      <c r="H39" s="315" t="s">
        <v>442</v>
      </c>
      <c r="I39"/>
      <c r="J39" s="46"/>
      <c r="K39" s="47"/>
      <c r="L39" s="322"/>
      <c r="M39" s="46"/>
      <c r="N39" s="46"/>
      <c r="O39" s="322"/>
      <c r="P39" s="46"/>
      <c r="Q39" s="322"/>
      <c r="R39" s="46"/>
      <c r="S39" s="84" t="e">
        <f t="shared" si="0"/>
        <v>#DIV/0!</v>
      </c>
      <c r="T39" s="64"/>
    </row>
    <row r="40" spans="1:20" x14ac:dyDescent="0.2">
      <c r="A40" s="345"/>
      <c r="B40" s="315" t="s">
        <v>416</v>
      </c>
      <c r="C40" s="25">
        <v>24.5</v>
      </c>
      <c r="D40" s="26">
        <v>25000</v>
      </c>
      <c r="E40" s="26">
        <v>20500</v>
      </c>
      <c r="F40" s="26">
        <v>24000</v>
      </c>
      <c r="G40" s="63"/>
      <c r="H40" s="315" t="s">
        <v>416</v>
      </c>
      <c r="I40"/>
      <c r="J40" s="46"/>
      <c r="K40" s="47"/>
      <c r="L40" s="322"/>
      <c r="M40" s="46"/>
      <c r="N40" s="46"/>
      <c r="O40" s="322"/>
      <c r="P40" s="46"/>
      <c r="Q40" s="322"/>
      <c r="R40" s="46"/>
      <c r="S40" s="84" t="e">
        <f t="shared" si="0"/>
        <v>#DIV/0!</v>
      </c>
      <c r="T40" s="64"/>
    </row>
    <row r="41" spans="1:20" x14ac:dyDescent="0.2">
      <c r="A41" s="345"/>
      <c r="B41" s="315" t="s">
        <v>443</v>
      </c>
      <c r="C41" s="25">
        <v>25</v>
      </c>
      <c r="D41" s="320" t="s">
        <v>114</v>
      </c>
      <c r="E41" s="26">
        <v>21000</v>
      </c>
      <c r="F41" s="320" t="s">
        <v>114</v>
      </c>
      <c r="G41" s="63"/>
      <c r="H41" s="315" t="s">
        <v>443</v>
      </c>
      <c r="I41"/>
      <c r="J41" s="46"/>
      <c r="K41" s="47"/>
      <c r="L41" s="322"/>
      <c r="M41" s="46"/>
      <c r="N41" s="46"/>
      <c r="O41" s="46"/>
      <c r="P41" s="46"/>
      <c r="Q41" s="322"/>
      <c r="R41" s="46"/>
      <c r="S41" s="84" t="e">
        <f t="shared" si="0"/>
        <v>#DIV/0!</v>
      </c>
      <c r="T41" s="64"/>
    </row>
    <row r="42" spans="1:20" x14ac:dyDescent="0.2">
      <c r="A42" s="345"/>
      <c r="B42" s="315" t="s">
        <v>435</v>
      </c>
      <c r="C42" s="25">
        <v>25.5</v>
      </c>
      <c r="D42" s="320" t="s">
        <v>114</v>
      </c>
      <c r="E42" s="26">
        <v>22000</v>
      </c>
      <c r="F42" s="320" t="s">
        <v>114</v>
      </c>
      <c r="G42" s="63"/>
      <c r="H42" s="315" t="s">
        <v>435</v>
      </c>
      <c r="I42"/>
      <c r="J42" s="46"/>
      <c r="K42" s="47"/>
      <c r="L42" s="322"/>
      <c r="M42" s="46"/>
      <c r="N42" s="46"/>
      <c r="O42" s="322"/>
      <c r="P42" s="46"/>
      <c r="Q42" s="322"/>
      <c r="R42" s="46"/>
      <c r="S42" s="84" t="e">
        <f t="shared" si="0"/>
        <v>#DIV/0!</v>
      </c>
      <c r="T42" s="64"/>
    </row>
    <row r="43" spans="1:20" x14ac:dyDescent="0.2">
      <c r="A43" s="345"/>
      <c r="B43" s="315" t="s">
        <v>444</v>
      </c>
      <c r="C43" s="25">
        <v>26</v>
      </c>
      <c r="D43" s="320" t="s">
        <v>114</v>
      </c>
      <c r="E43" s="26">
        <v>22500</v>
      </c>
      <c r="F43" s="26">
        <v>25000</v>
      </c>
      <c r="G43" s="63"/>
      <c r="H43" s="315" t="s">
        <v>444</v>
      </c>
      <c r="I43"/>
      <c r="J43" s="46"/>
      <c r="K43" s="47"/>
      <c r="L43" s="322"/>
      <c r="M43" s="46"/>
      <c r="N43" s="46"/>
      <c r="O43" s="322"/>
      <c r="P43" s="46"/>
      <c r="Q43" s="46"/>
      <c r="R43" s="46"/>
      <c r="S43" s="84" t="e">
        <f t="shared" si="0"/>
        <v>#DIV/0!</v>
      </c>
      <c r="T43" s="64"/>
    </row>
    <row r="44" spans="1:20" x14ac:dyDescent="0.2">
      <c r="A44" s="345"/>
      <c r="B44" s="315" t="s">
        <v>417</v>
      </c>
      <c r="C44" s="25">
        <v>26.5</v>
      </c>
      <c r="D44" s="26">
        <v>26500</v>
      </c>
      <c r="E44" s="320" t="s">
        <v>114</v>
      </c>
      <c r="F44" s="26">
        <v>26000</v>
      </c>
      <c r="G44" s="63"/>
      <c r="H44" s="315" t="s">
        <v>417</v>
      </c>
      <c r="I44"/>
      <c r="J44" s="320"/>
      <c r="K44" s="47"/>
      <c r="L44" s="322"/>
      <c r="M44" s="46"/>
      <c r="N44" s="46"/>
      <c r="O44" s="322"/>
      <c r="P44" s="46"/>
      <c r="Q44" s="46"/>
      <c r="R44" s="46"/>
      <c r="S44" s="84" t="e">
        <f t="shared" si="0"/>
        <v>#DIV/0!</v>
      </c>
      <c r="T44" s="64"/>
    </row>
    <row r="45" spans="1:20" x14ac:dyDescent="0.2">
      <c r="A45" s="345"/>
      <c r="B45" s="315" t="s">
        <v>445</v>
      </c>
      <c r="C45" s="25">
        <v>27.5</v>
      </c>
      <c r="D45" s="320" t="s">
        <v>114</v>
      </c>
      <c r="E45" s="26">
        <v>23000</v>
      </c>
      <c r="F45" s="320" t="s">
        <v>114</v>
      </c>
      <c r="G45" s="63"/>
      <c r="H45" s="315" t="s">
        <v>445</v>
      </c>
      <c r="I45"/>
      <c r="J45" s="320"/>
      <c r="K45" s="47"/>
      <c r="L45" s="322"/>
      <c r="M45" s="46"/>
      <c r="N45" s="46"/>
      <c r="O45" s="322"/>
      <c r="P45" s="46"/>
      <c r="Q45" s="322"/>
      <c r="R45" s="46"/>
      <c r="S45" s="84" t="e">
        <f t="shared" si="0"/>
        <v>#DIV/0!</v>
      </c>
      <c r="T45" s="64"/>
    </row>
    <row r="46" spans="1:20" x14ac:dyDescent="0.2">
      <c r="A46" s="345"/>
      <c r="B46" s="315" t="s">
        <v>447</v>
      </c>
      <c r="C46" s="25">
        <v>28</v>
      </c>
      <c r="D46" s="320" t="s">
        <v>114</v>
      </c>
      <c r="E46" s="26">
        <v>23500</v>
      </c>
      <c r="F46" s="26">
        <v>28000</v>
      </c>
      <c r="G46" s="63"/>
      <c r="H46" s="315" t="s">
        <v>447</v>
      </c>
      <c r="I46"/>
      <c r="J46" s="320"/>
      <c r="K46" s="47"/>
      <c r="L46" s="46"/>
      <c r="M46" s="46"/>
      <c r="N46" s="46"/>
      <c r="O46" s="322"/>
      <c r="P46" s="46"/>
      <c r="Q46" s="322"/>
      <c r="R46" s="46"/>
      <c r="S46" s="84" t="e">
        <f t="shared" si="0"/>
        <v>#DIV/0!</v>
      </c>
      <c r="T46" s="64"/>
    </row>
    <row r="47" spans="1:20" x14ac:dyDescent="0.2">
      <c r="A47" s="345"/>
      <c r="B47" s="315" t="s">
        <v>418</v>
      </c>
      <c r="C47" s="25">
        <v>29</v>
      </c>
      <c r="D47" s="26">
        <v>30000</v>
      </c>
      <c r="E47" s="26"/>
      <c r="F47" s="26">
        <v>30000</v>
      </c>
      <c r="G47" s="63"/>
      <c r="H47" s="315" t="s">
        <v>418</v>
      </c>
      <c r="I47"/>
      <c r="J47" s="320"/>
      <c r="K47" s="47"/>
      <c r="L47" s="322"/>
      <c r="M47" s="46"/>
      <c r="N47" s="46"/>
      <c r="O47" s="322"/>
      <c r="P47" s="46"/>
      <c r="Q47" s="322"/>
      <c r="R47" s="46"/>
      <c r="S47" s="84" t="e">
        <f t="shared" si="0"/>
        <v>#DIV/0!</v>
      </c>
      <c r="T47" s="64"/>
    </row>
    <row r="48" spans="1:20" x14ac:dyDescent="0.2">
      <c r="A48" s="345"/>
      <c r="B48" s="315" t="s">
        <v>446</v>
      </c>
      <c r="C48" s="25">
        <v>29.5</v>
      </c>
      <c r="D48" s="320" t="s">
        <v>114</v>
      </c>
      <c r="E48" s="26">
        <v>24500</v>
      </c>
      <c r="F48" s="320" t="s">
        <v>114</v>
      </c>
      <c r="G48" s="63"/>
      <c r="H48" s="315" t="s">
        <v>446</v>
      </c>
      <c r="I48"/>
      <c r="J48" s="320"/>
      <c r="K48" s="47"/>
      <c r="L48" s="322"/>
      <c r="M48" s="46"/>
      <c r="N48" s="46"/>
      <c r="O48" s="322"/>
      <c r="P48" s="46"/>
      <c r="Q48" s="322"/>
      <c r="R48" s="46"/>
      <c r="S48" s="84" t="e">
        <f t="shared" si="0"/>
        <v>#DIV/0!</v>
      </c>
      <c r="T48" s="64"/>
    </row>
    <row r="49" spans="1:20" x14ac:dyDescent="0.2">
      <c r="A49" s="345"/>
      <c r="B49" s="315" t="s">
        <v>419</v>
      </c>
      <c r="C49" s="25">
        <v>30</v>
      </c>
      <c r="D49" s="26">
        <v>31000</v>
      </c>
      <c r="E49" s="26">
        <v>25000</v>
      </c>
      <c r="F49" s="320" t="s">
        <v>114</v>
      </c>
      <c r="G49" s="63"/>
      <c r="H49" s="315" t="s">
        <v>419</v>
      </c>
      <c r="I49"/>
      <c r="J49" s="320"/>
      <c r="K49" s="47"/>
      <c r="L49" s="322"/>
      <c r="M49" s="46"/>
      <c r="N49" s="46"/>
      <c r="O49" s="322"/>
      <c r="P49" s="46"/>
      <c r="Q49" s="46"/>
      <c r="R49" s="46"/>
      <c r="S49" s="84" t="e">
        <f>SUM(J49:R49)/COUNT(J49:R49)/C51</f>
        <v>#DIV/0!</v>
      </c>
      <c r="T49" s="64"/>
    </row>
    <row r="50" spans="1:20" x14ac:dyDescent="0.2">
      <c r="A50" s="345"/>
      <c r="B50" s="315" t="s">
        <v>448</v>
      </c>
      <c r="C50" s="25">
        <v>30</v>
      </c>
      <c r="D50" s="320" t="s">
        <v>114</v>
      </c>
      <c r="E50" s="26">
        <v>26000</v>
      </c>
      <c r="F50" s="320" t="s">
        <v>114</v>
      </c>
      <c r="G50" s="63"/>
      <c r="H50" s="315" t="s">
        <v>448</v>
      </c>
      <c r="I50"/>
      <c r="J50" s="320"/>
      <c r="K50" s="47"/>
      <c r="L50" s="322"/>
      <c r="M50" s="46"/>
      <c r="N50" s="46"/>
      <c r="O50" s="322"/>
      <c r="P50" s="46"/>
      <c r="Q50" s="322"/>
      <c r="R50" s="46"/>
      <c r="S50" s="84" t="e">
        <f t="shared" si="0"/>
        <v>#DIV/0!</v>
      </c>
      <c r="T50" s="64"/>
    </row>
    <row r="51" spans="1:20" ht="22" x14ac:dyDescent="0.2">
      <c r="B51" s="316"/>
      <c r="C51" s="317"/>
      <c r="D51" s="318"/>
      <c r="E51" s="318"/>
      <c r="F51" s="319"/>
      <c r="G51" s="63"/>
      <c r="H51" s="15"/>
      <c r="I51"/>
      <c r="J51" s="2"/>
      <c r="K51" s="2"/>
      <c r="L51" s="2"/>
      <c r="M51" s="2"/>
      <c r="N51" s="2"/>
      <c r="O51" s="2"/>
      <c r="P51" s="2"/>
      <c r="Q51" s="2"/>
      <c r="R51" s="2"/>
      <c r="S51" s="84"/>
      <c r="T51" s="64"/>
    </row>
    <row r="52" spans="1:20" s="16" customFormat="1" x14ac:dyDescent="0.2">
      <c r="B52" s="27" t="s">
        <v>76</v>
      </c>
      <c r="C52" s="28"/>
      <c r="D52" s="29"/>
      <c r="E52" s="29"/>
      <c r="F52" s="29"/>
      <c r="G52" s="19"/>
      <c r="H52" s="27" t="s">
        <v>76</v>
      </c>
      <c r="I52" s="12"/>
      <c r="J52" s="13"/>
      <c r="K52" s="13"/>
      <c r="L52" s="13"/>
      <c r="M52" s="13"/>
      <c r="N52" s="13"/>
      <c r="O52" s="13"/>
      <c r="P52" s="13"/>
      <c r="Q52" s="14"/>
      <c r="R52" s="14"/>
      <c r="S52" s="82"/>
    </row>
    <row r="53" spans="1:20" s="30" customFormat="1" x14ac:dyDescent="0.2">
      <c r="C53" s="31"/>
      <c r="D53" s="18" t="s">
        <v>387</v>
      </c>
      <c r="E53" s="18" t="s">
        <v>388</v>
      </c>
      <c r="F53" s="18" t="s">
        <v>389</v>
      </c>
      <c r="G53" s="18"/>
      <c r="H53" s="16"/>
      <c r="I53" s="17"/>
      <c r="J53" s="18" t="s">
        <v>51</v>
      </c>
      <c r="K53" s="59" t="s">
        <v>80</v>
      </c>
      <c r="L53" s="60" t="s">
        <v>81</v>
      </c>
      <c r="M53" s="60" t="s">
        <v>82</v>
      </c>
      <c r="N53" s="60" t="s">
        <v>83</v>
      </c>
      <c r="O53" s="18" t="s">
        <v>84</v>
      </c>
      <c r="P53" s="60" t="s">
        <v>86</v>
      </c>
      <c r="Q53" s="61" t="s">
        <v>85</v>
      </c>
      <c r="R53" s="61" t="s">
        <v>87</v>
      </c>
      <c r="S53" s="85"/>
    </row>
    <row r="54" spans="1:20" s="30" customFormat="1" x14ac:dyDescent="0.2">
      <c r="A54" s="32" t="s">
        <v>402</v>
      </c>
      <c r="B54" s="32" t="s">
        <v>58</v>
      </c>
      <c r="C54" s="33" t="s">
        <v>59</v>
      </c>
      <c r="D54" s="34" t="s">
        <v>75</v>
      </c>
      <c r="E54" s="34" t="s">
        <v>75</v>
      </c>
      <c r="F54" s="34" t="s">
        <v>75</v>
      </c>
      <c r="G54" s="18" t="s">
        <v>112</v>
      </c>
      <c r="H54" s="40" t="s">
        <v>58</v>
      </c>
      <c r="I54" s="41" t="s">
        <v>59</v>
      </c>
      <c r="J54" s="42" t="s">
        <v>75</v>
      </c>
      <c r="K54" s="42" t="s">
        <v>75</v>
      </c>
      <c r="L54" s="42" t="s">
        <v>75</v>
      </c>
      <c r="M54" s="42" t="s">
        <v>75</v>
      </c>
      <c r="N54" s="42" t="s">
        <v>75</v>
      </c>
      <c r="O54" s="42" t="s">
        <v>75</v>
      </c>
      <c r="P54" s="42" t="s">
        <v>75</v>
      </c>
      <c r="Q54" s="42" t="s">
        <v>75</v>
      </c>
      <c r="R54" s="42" t="s">
        <v>75</v>
      </c>
      <c r="S54" s="85" t="s">
        <v>112</v>
      </c>
    </row>
    <row r="55" spans="1:20" x14ac:dyDescent="0.2">
      <c r="A55" s="346" t="s">
        <v>427</v>
      </c>
      <c r="B55" s="24" t="s">
        <v>421</v>
      </c>
      <c r="C55" s="25">
        <v>1</v>
      </c>
      <c r="D55" s="26">
        <v>1400</v>
      </c>
      <c r="E55" s="26"/>
      <c r="F55" s="57"/>
      <c r="G55" s="63">
        <f>F55/C55</f>
        <v>0</v>
      </c>
      <c r="H55" s="24" t="s">
        <v>105</v>
      </c>
      <c r="I55" s="10"/>
      <c r="J55" s="47"/>
      <c r="K55" s="46"/>
      <c r="L55" s="47"/>
      <c r="M55" s="47"/>
      <c r="N55" s="47"/>
      <c r="O55" s="47"/>
      <c r="P55" s="47"/>
      <c r="Q55" s="47"/>
      <c r="R55" s="47"/>
      <c r="S55" s="84" t="e">
        <f>SUM(J55:R55)/COUNT(J55:R55)/C55</f>
        <v>#DIV/0!</v>
      </c>
      <c r="T55" s="64" t="e">
        <f t="shared" ref="T55:T66" si="1">S55/G55-1</f>
        <v>#DIV/0!</v>
      </c>
    </row>
    <row r="56" spans="1:20" x14ac:dyDescent="0.2">
      <c r="A56" s="347"/>
      <c r="B56" s="24" t="s">
        <v>422</v>
      </c>
      <c r="C56" s="25">
        <v>1.5</v>
      </c>
      <c r="D56" s="26">
        <v>1600</v>
      </c>
      <c r="E56" s="26"/>
      <c r="F56" s="57"/>
      <c r="G56" s="63">
        <f>F56/C56</f>
        <v>0</v>
      </c>
      <c r="H56" s="24" t="s">
        <v>106</v>
      </c>
      <c r="I56" s="10"/>
      <c r="J56" s="47"/>
      <c r="K56" s="46"/>
      <c r="L56" s="47"/>
      <c r="M56" s="47"/>
      <c r="N56" s="47"/>
      <c r="O56" s="47"/>
      <c r="P56" s="47"/>
      <c r="Q56" s="47"/>
      <c r="R56" s="47"/>
      <c r="S56" s="84" t="e">
        <f>SUM(J56:R56)/COUNT(J56:R56)/C56</f>
        <v>#DIV/0!</v>
      </c>
      <c r="T56" s="64" t="e">
        <f t="shared" si="1"/>
        <v>#DIV/0!</v>
      </c>
    </row>
    <row r="57" spans="1:20" x14ac:dyDescent="0.2">
      <c r="A57" s="347"/>
      <c r="B57" s="24"/>
      <c r="C57" s="25"/>
      <c r="D57" s="26"/>
      <c r="E57" s="26"/>
      <c r="F57" s="26"/>
      <c r="G57" s="63">
        <f>F59/C59</f>
        <v>0</v>
      </c>
      <c r="H57" s="24" t="s">
        <v>103</v>
      </c>
      <c r="I57" s="10" t="s">
        <v>88</v>
      </c>
      <c r="J57" s="47"/>
      <c r="K57" s="46"/>
      <c r="L57" s="47"/>
      <c r="M57" s="47"/>
      <c r="N57" s="47"/>
      <c r="O57" s="47"/>
      <c r="P57" s="47"/>
      <c r="Q57" s="47"/>
      <c r="R57" s="47"/>
      <c r="S57" s="84" t="e">
        <f>SUM(J57:R57)/COUNT(J57:R57)/C59</f>
        <v>#DIV/0!</v>
      </c>
      <c r="T57" s="64" t="e">
        <f t="shared" si="1"/>
        <v>#DIV/0!</v>
      </c>
    </row>
    <row r="58" spans="1:20" x14ac:dyDescent="0.2">
      <c r="A58" s="347"/>
      <c r="B58" s="24"/>
      <c r="C58" s="25"/>
      <c r="D58" s="26"/>
      <c r="E58" s="26"/>
      <c r="F58" s="26"/>
      <c r="G58" s="63">
        <f>F60/C60</f>
        <v>0</v>
      </c>
      <c r="H58" s="24" t="s">
        <v>104</v>
      </c>
      <c r="I58" s="10" t="s">
        <v>88</v>
      </c>
      <c r="J58" s="47"/>
      <c r="K58" s="46"/>
      <c r="L58" s="47"/>
      <c r="M58" s="47"/>
      <c r="N58" s="47"/>
      <c r="O58" s="47"/>
      <c r="P58" s="48"/>
      <c r="Q58" s="47"/>
      <c r="R58" s="47"/>
      <c r="S58" s="84" t="e">
        <f>SUM(J58:R58)/COUNT(J58:R58)/C60</f>
        <v>#DIV/0!</v>
      </c>
      <c r="T58" s="64" t="e">
        <f t="shared" si="1"/>
        <v>#DIV/0!</v>
      </c>
    </row>
    <row r="59" spans="1:20" x14ac:dyDescent="0.2">
      <c r="A59" s="347"/>
      <c r="B59" s="24" t="s">
        <v>423</v>
      </c>
      <c r="C59" s="25">
        <v>1.5</v>
      </c>
      <c r="D59" s="26">
        <v>2500</v>
      </c>
      <c r="E59" s="26"/>
      <c r="F59" s="57"/>
      <c r="G59" s="63"/>
      <c r="H59" s="24" t="s">
        <v>423</v>
      </c>
      <c r="I59" s="10"/>
      <c r="J59" s="47"/>
      <c r="K59" s="46"/>
      <c r="L59" s="47"/>
      <c r="M59" s="47"/>
      <c r="N59" s="47"/>
      <c r="O59" s="47"/>
      <c r="P59" s="48"/>
      <c r="Q59" s="47"/>
      <c r="R59" s="47"/>
      <c r="S59" s="84"/>
      <c r="T59" s="64"/>
    </row>
    <row r="60" spans="1:20" x14ac:dyDescent="0.2">
      <c r="A60" s="347"/>
      <c r="B60" s="24" t="s">
        <v>393</v>
      </c>
      <c r="C60" s="25">
        <v>2</v>
      </c>
      <c r="D60" s="26">
        <v>3500</v>
      </c>
      <c r="E60" s="26"/>
      <c r="F60" s="57"/>
      <c r="G60" s="63">
        <f t="shared" ref="G60:G74" si="2">F62/C62</f>
        <v>0</v>
      </c>
      <c r="H60" s="24" t="s">
        <v>393</v>
      </c>
      <c r="I60" s="10" t="s">
        <v>89</v>
      </c>
      <c r="J60" s="47"/>
      <c r="K60" s="46"/>
      <c r="L60" s="47"/>
      <c r="M60" s="47"/>
      <c r="N60" s="47"/>
      <c r="O60" s="47"/>
      <c r="P60" s="47"/>
      <c r="Q60" s="47"/>
      <c r="R60" s="47"/>
      <c r="S60" s="84" t="e">
        <f t="shared" ref="S60:S66" si="3">SUM(J60:R60)/COUNT(J60:R60)/C62</f>
        <v>#DIV/0!</v>
      </c>
      <c r="T60" s="64" t="e">
        <f t="shared" si="1"/>
        <v>#DIV/0!</v>
      </c>
    </row>
    <row r="61" spans="1:20" x14ac:dyDescent="0.2">
      <c r="A61" s="347"/>
      <c r="B61" s="24" t="s">
        <v>394</v>
      </c>
      <c r="C61" s="25">
        <v>2.5</v>
      </c>
      <c r="D61" s="26">
        <v>3800</v>
      </c>
      <c r="E61" s="26"/>
      <c r="F61" s="57"/>
      <c r="G61" s="63">
        <f t="shared" si="2"/>
        <v>0</v>
      </c>
      <c r="H61" s="24" t="s">
        <v>394</v>
      </c>
      <c r="I61" s="10" t="s">
        <v>90</v>
      </c>
      <c r="J61" s="47"/>
      <c r="K61" s="24"/>
      <c r="L61" s="24"/>
      <c r="M61" s="24"/>
      <c r="N61" s="24"/>
      <c r="O61" s="24"/>
      <c r="P61" s="24"/>
      <c r="Q61" s="24"/>
      <c r="R61" s="24"/>
      <c r="S61" s="84" t="e">
        <f t="shared" si="3"/>
        <v>#DIV/0!</v>
      </c>
      <c r="T61" s="64" t="e">
        <f t="shared" si="1"/>
        <v>#DIV/0!</v>
      </c>
    </row>
    <row r="62" spans="1:20" x14ac:dyDescent="0.2">
      <c r="A62" s="347"/>
      <c r="B62" s="24" t="s">
        <v>395</v>
      </c>
      <c r="C62" s="25">
        <v>3</v>
      </c>
      <c r="D62" s="26">
        <v>4300</v>
      </c>
      <c r="E62" s="26"/>
      <c r="F62" s="57"/>
      <c r="G62" s="63">
        <f t="shared" si="2"/>
        <v>0</v>
      </c>
      <c r="H62" s="24" t="s">
        <v>395</v>
      </c>
      <c r="I62" s="10" t="s">
        <v>91</v>
      </c>
      <c r="J62" s="47"/>
      <c r="K62" s="46"/>
      <c r="L62" s="47"/>
      <c r="M62" s="47"/>
      <c r="N62" s="47"/>
      <c r="O62" s="47"/>
      <c r="P62" s="47"/>
      <c r="Q62" s="47"/>
      <c r="R62" s="47"/>
      <c r="S62" s="84" t="e">
        <f t="shared" si="3"/>
        <v>#DIV/0!</v>
      </c>
      <c r="T62" s="64" t="e">
        <f t="shared" si="1"/>
        <v>#DIV/0!</v>
      </c>
    </row>
    <row r="63" spans="1:20" x14ac:dyDescent="0.2">
      <c r="A63" s="347"/>
      <c r="B63" s="24" t="s">
        <v>397</v>
      </c>
      <c r="C63" s="25">
        <v>4.5</v>
      </c>
      <c r="D63" s="26">
        <v>6700</v>
      </c>
      <c r="E63" s="26"/>
      <c r="F63" s="57"/>
      <c r="G63" s="63">
        <f t="shared" si="2"/>
        <v>0</v>
      </c>
      <c r="H63" s="24" t="s">
        <v>397</v>
      </c>
      <c r="I63" s="10" t="s">
        <v>92</v>
      </c>
      <c r="J63" s="47"/>
      <c r="K63" s="46"/>
      <c r="L63" s="47"/>
      <c r="M63" s="47"/>
      <c r="N63" s="47"/>
      <c r="O63" s="47"/>
      <c r="P63" s="47"/>
      <c r="Q63" s="47"/>
      <c r="R63" s="47"/>
      <c r="S63" s="84" t="e">
        <f t="shared" si="3"/>
        <v>#DIV/0!</v>
      </c>
      <c r="T63" s="64" t="e">
        <f t="shared" si="1"/>
        <v>#DIV/0!</v>
      </c>
    </row>
    <row r="64" spans="1:20" x14ac:dyDescent="0.2">
      <c r="A64" s="347"/>
      <c r="B64" s="24" t="s">
        <v>398</v>
      </c>
      <c r="C64" s="25">
        <v>5</v>
      </c>
      <c r="D64" s="26">
        <v>7500</v>
      </c>
      <c r="E64" s="26"/>
      <c r="F64" s="57"/>
      <c r="G64" s="63">
        <f t="shared" si="2"/>
        <v>0</v>
      </c>
      <c r="H64" s="24" t="s">
        <v>398</v>
      </c>
      <c r="I64" s="10" t="s">
        <v>93</v>
      </c>
      <c r="J64" s="47"/>
      <c r="K64" s="24"/>
      <c r="L64" s="24"/>
      <c r="M64" s="24"/>
      <c r="N64" s="24"/>
      <c r="O64" s="24"/>
      <c r="P64" s="24"/>
      <c r="Q64" s="24"/>
      <c r="R64" s="24"/>
      <c r="S64" s="84" t="e">
        <f t="shared" si="3"/>
        <v>#DIV/0!</v>
      </c>
      <c r="T64" s="64" t="e">
        <f t="shared" si="1"/>
        <v>#DIV/0!</v>
      </c>
    </row>
    <row r="65" spans="1:20" ht="15.75" customHeight="1" x14ac:dyDescent="0.2">
      <c r="A65" s="347"/>
      <c r="B65" s="24" t="s">
        <v>424</v>
      </c>
      <c r="C65" s="25">
        <v>5.5</v>
      </c>
      <c r="D65" s="26">
        <v>8000</v>
      </c>
      <c r="E65" s="26"/>
      <c r="F65" s="57"/>
      <c r="G65" s="63">
        <f t="shared" si="2"/>
        <v>0</v>
      </c>
      <c r="H65" s="24" t="s">
        <v>424</v>
      </c>
      <c r="I65" s="10" t="s">
        <v>94</v>
      </c>
      <c r="J65" s="47"/>
      <c r="K65" s="24"/>
      <c r="L65" s="24"/>
      <c r="M65" s="24"/>
      <c r="N65" s="24"/>
      <c r="O65" s="24"/>
      <c r="P65" s="24"/>
      <c r="Q65" s="24"/>
      <c r="R65" s="24"/>
      <c r="S65" s="84" t="e">
        <f t="shared" si="3"/>
        <v>#DIV/0!</v>
      </c>
      <c r="T65" s="64" t="e">
        <f t="shared" si="1"/>
        <v>#DIV/0!</v>
      </c>
    </row>
    <row r="66" spans="1:20" ht="15.75" customHeight="1" x14ac:dyDescent="0.2">
      <c r="A66" s="344" t="s">
        <v>428</v>
      </c>
      <c r="B66" s="24" t="s">
        <v>425</v>
      </c>
      <c r="C66" s="25">
        <v>6.5</v>
      </c>
      <c r="D66" s="26">
        <v>9500</v>
      </c>
      <c r="E66" s="26"/>
      <c r="F66" s="57"/>
      <c r="G66" s="63">
        <f t="shared" si="2"/>
        <v>0</v>
      </c>
      <c r="H66" s="24" t="s">
        <v>425</v>
      </c>
      <c r="I66" s="10"/>
      <c r="J66" s="47"/>
      <c r="K66" s="46"/>
      <c r="L66" s="47"/>
      <c r="M66" s="47"/>
      <c r="N66" s="47"/>
      <c r="O66" s="47"/>
      <c r="P66" s="47"/>
      <c r="Q66" s="47"/>
      <c r="R66" s="47"/>
      <c r="S66" s="84" t="e">
        <f t="shared" si="3"/>
        <v>#DIV/0!</v>
      </c>
      <c r="T66" s="64" t="e">
        <f t="shared" si="1"/>
        <v>#DIV/0!</v>
      </c>
    </row>
    <row r="67" spans="1:20" x14ac:dyDescent="0.2">
      <c r="A67" s="344"/>
      <c r="B67" s="24" t="s">
        <v>426</v>
      </c>
      <c r="C67" s="25">
        <v>7.5</v>
      </c>
      <c r="D67" s="26">
        <v>11500</v>
      </c>
      <c r="E67" s="26"/>
      <c r="F67" s="57"/>
      <c r="G67" s="63">
        <f t="shared" si="2"/>
        <v>0</v>
      </c>
      <c r="H67" s="24" t="s">
        <v>426</v>
      </c>
      <c r="I67" s="10"/>
      <c r="J67" s="47"/>
      <c r="K67" s="24"/>
      <c r="L67" s="24"/>
      <c r="M67" s="24"/>
      <c r="N67" s="24"/>
      <c r="O67" s="24"/>
      <c r="P67" s="24"/>
      <c r="Q67" s="24"/>
      <c r="R67" s="24"/>
    </row>
    <row r="68" spans="1:20" x14ac:dyDescent="0.2">
      <c r="A68" s="344"/>
      <c r="B68" s="24" t="s">
        <v>429</v>
      </c>
      <c r="C68" s="25">
        <v>8</v>
      </c>
      <c r="D68" s="26">
        <v>12200</v>
      </c>
      <c r="E68" s="26"/>
      <c r="F68" s="57"/>
      <c r="G68" s="63">
        <f t="shared" si="2"/>
        <v>0</v>
      </c>
      <c r="H68" s="24" t="s">
        <v>429</v>
      </c>
      <c r="I68"/>
      <c r="J68" s="47"/>
      <c r="K68" s="24"/>
      <c r="L68" s="24"/>
      <c r="M68" s="24"/>
      <c r="N68" s="24"/>
      <c r="O68" s="24"/>
      <c r="P68" s="24"/>
      <c r="Q68" s="24"/>
      <c r="R68" s="24"/>
    </row>
    <row r="69" spans="1:20" x14ac:dyDescent="0.2">
      <c r="A69" s="344"/>
      <c r="B69" s="24" t="s">
        <v>430</v>
      </c>
      <c r="C69" s="25">
        <v>8.5</v>
      </c>
      <c r="D69" s="26">
        <v>12500</v>
      </c>
      <c r="E69" s="26"/>
      <c r="F69" s="57"/>
      <c r="G69" s="63">
        <f t="shared" si="2"/>
        <v>0</v>
      </c>
      <c r="H69" s="24" t="s">
        <v>430</v>
      </c>
      <c r="I69"/>
      <c r="J69" s="47"/>
      <c r="K69" s="24"/>
      <c r="L69" s="24"/>
      <c r="M69" s="24"/>
      <c r="N69" s="24"/>
      <c r="O69" s="24"/>
      <c r="P69" s="24"/>
      <c r="Q69" s="24"/>
      <c r="R69" s="24"/>
    </row>
    <row r="70" spans="1:20" x14ac:dyDescent="0.2">
      <c r="A70" s="344"/>
      <c r="B70" s="24" t="s">
        <v>407</v>
      </c>
      <c r="C70" s="25">
        <v>10</v>
      </c>
      <c r="D70" s="26">
        <v>15000</v>
      </c>
      <c r="E70" s="26"/>
      <c r="F70" s="57"/>
      <c r="G70" s="63">
        <f t="shared" si="2"/>
        <v>0</v>
      </c>
      <c r="H70" s="24" t="s">
        <v>407</v>
      </c>
      <c r="I70"/>
      <c r="J70" s="47"/>
      <c r="K70" s="46"/>
      <c r="L70" s="47"/>
      <c r="M70" s="47"/>
      <c r="N70" s="47"/>
      <c r="O70" s="47"/>
      <c r="P70" s="47"/>
      <c r="Q70" s="47"/>
      <c r="R70" s="47"/>
    </row>
    <row r="71" spans="1:20" x14ac:dyDescent="0.2">
      <c r="A71" s="344"/>
      <c r="B71" s="24" t="s">
        <v>431</v>
      </c>
      <c r="C71" s="25">
        <v>13.5</v>
      </c>
      <c r="D71" s="26">
        <v>20500</v>
      </c>
      <c r="E71" s="26"/>
      <c r="F71" s="57"/>
      <c r="G71" s="63">
        <f t="shared" si="2"/>
        <v>0</v>
      </c>
      <c r="H71" s="24" t="s">
        <v>431</v>
      </c>
      <c r="I71"/>
      <c r="J71" s="47"/>
      <c r="K71" s="46"/>
      <c r="L71" s="47"/>
      <c r="M71" s="47"/>
      <c r="N71" s="47"/>
      <c r="O71" s="47"/>
      <c r="P71" s="47"/>
      <c r="Q71" s="47"/>
      <c r="R71" s="47"/>
    </row>
    <row r="72" spans="1:20" x14ac:dyDescent="0.2">
      <c r="A72" s="344"/>
      <c r="B72" s="24" t="s">
        <v>432</v>
      </c>
      <c r="C72" s="25">
        <v>14</v>
      </c>
      <c r="D72" s="26">
        <v>21000</v>
      </c>
      <c r="E72" s="26"/>
      <c r="F72" s="57"/>
      <c r="G72" s="63">
        <f t="shared" si="2"/>
        <v>0</v>
      </c>
      <c r="H72" s="24" t="s">
        <v>432</v>
      </c>
      <c r="I72"/>
      <c r="J72" s="47"/>
      <c r="K72" s="47"/>
      <c r="L72" s="47"/>
      <c r="M72" s="47"/>
      <c r="N72" s="47"/>
      <c r="O72" s="47"/>
      <c r="P72" s="47"/>
      <c r="Q72" s="47"/>
      <c r="R72" s="47"/>
    </row>
    <row r="73" spans="1:20" x14ac:dyDescent="0.2">
      <c r="A73" s="344"/>
      <c r="B73" s="24" t="s">
        <v>433</v>
      </c>
      <c r="C73" s="25">
        <v>19</v>
      </c>
      <c r="D73" s="26">
        <v>28000</v>
      </c>
      <c r="E73" s="26"/>
      <c r="F73" s="57"/>
      <c r="G73" s="63">
        <f t="shared" si="2"/>
        <v>0</v>
      </c>
      <c r="H73" s="24" t="s">
        <v>433</v>
      </c>
      <c r="I73"/>
      <c r="J73" s="47"/>
      <c r="K73" s="47"/>
      <c r="L73" s="47"/>
      <c r="M73" s="47"/>
      <c r="N73" s="47"/>
      <c r="O73" s="47"/>
      <c r="P73" s="47"/>
      <c r="Q73" s="47"/>
      <c r="R73" s="47"/>
    </row>
    <row r="74" spans="1:20" x14ac:dyDescent="0.2">
      <c r="A74" s="344"/>
      <c r="B74" s="24" t="s">
        <v>434</v>
      </c>
      <c r="C74" s="25">
        <v>22.5</v>
      </c>
      <c r="D74" s="26">
        <v>34000</v>
      </c>
      <c r="E74" s="26"/>
      <c r="F74" s="57"/>
      <c r="G74" s="63">
        <f t="shared" si="2"/>
        <v>0</v>
      </c>
      <c r="H74" s="24" t="s">
        <v>434</v>
      </c>
      <c r="I74"/>
      <c r="J74" s="47"/>
      <c r="K74" s="47"/>
      <c r="L74" s="47"/>
      <c r="M74" s="47"/>
      <c r="N74" s="47"/>
      <c r="O74" s="47"/>
      <c r="P74" s="47"/>
      <c r="Q74" s="47"/>
      <c r="R74" s="47"/>
    </row>
    <row r="75" spans="1:20" x14ac:dyDescent="0.2">
      <c r="A75" s="344"/>
      <c r="B75" s="24" t="s">
        <v>435</v>
      </c>
      <c r="C75" s="25">
        <v>25.5</v>
      </c>
      <c r="D75" s="26">
        <v>32000</v>
      </c>
      <c r="E75" s="26"/>
      <c r="F75" s="57"/>
      <c r="G75" s="63"/>
      <c r="H75" s="24" t="s">
        <v>435</v>
      </c>
      <c r="I75"/>
      <c r="J75" s="47"/>
      <c r="K75" s="47"/>
      <c r="L75" s="47"/>
      <c r="M75" s="47"/>
      <c r="N75" s="47"/>
      <c r="O75" s="47"/>
      <c r="P75" s="47"/>
      <c r="Q75" s="47"/>
      <c r="R75" s="47"/>
    </row>
    <row r="76" spans="1:20" x14ac:dyDescent="0.2">
      <c r="A76" s="344"/>
      <c r="B76" s="24" t="s">
        <v>436</v>
      </c>
      <c r="C76" s="25">
        <v>42</v>
      </c>
      <c r="D76" s="26">
        <v>50000</v>
      </c>
      <c r="E76" s="26"/>
      <c r="F76" s="57"/>
      <c r="G76" s="63"/>
      <c r="H76" s="24" t="s">
        <v>436</v>
      </c>
      <c r="I76"/>
      <c r="J76" s="47"/>
      <c r="K76" s="47"/>
      <c r="L76" s="47"/>
      <c r="M76" s="47"/>
      <c r="N76" s="47"/>
      <c r="O76" s="47"/>
      <c r="P76" s="47"/>
      <c r="Q76" s="47"/>
      <c r="R76" s="47"/>
    </row>
    <row r="77" spans="1:20" x14ac:dyDescent="0.2">
      <c r="C77" s="317"/>
      <c r="D77" s="318"/>
      <c r="E77" s="318"/>
      <c r="F77" s="319"/>
      <c r="G77" s="63"/>
      <c r="H77" s="15"/>
      <c r="I77"/>
      <c r="J77" s="81"/>
      <c r="K77" s="81"/>
      <c r="L77" s="81"/>
      <c r="M77" s="81"/>
      <c r="N77" s="81"/>
      <c r="O77" s="81"/>
      <c r="P77" s="81"/>
      <c r="Q77" s="81"/>
      <c r="R77" s="81"/>
    </row>
    <row r="78" spans="1:20" x14ac:dyDescent="0.2">
      <c r="C78" s="317"/>
      <c r="D78" s="318"/>
      <c r="E78" s="318"/>
      <c r="F78" s="319"/>
      <c r="G78" s="63"/>
      <c r="H78" s="15"/>
      <c r="I78"/>
      <c r="J78" s="81"/>
      <c r="K78" s="81"/>
      <c r="L78" s="81"/>
      <c r="M78" s="81"/>
      <c r="N78" s="81"/>
      <c r="O78" s="81"/>
      <c r="P78" s="81"/>
      <c r="Q78" s="81"/>
      <c r="R78" s="81"/>
    </row>
    <row r="79" spans="1:20" x14ac:dyDescent="0.2">
      <c r="C79" s="317"/>
      <c r="D79" s="318"/>
      <c r="E79" s="318"/>
      <c r="F79" s="319"/>
      <c r="G79" s="63"/>
      <c r="H79" s="15"/>
      <c r="I79"/>
      <c r="J79" s="81"/>
      <c r="K79" s="81"/>
      <c r="L79" s="81"/>
      <c r="M79" s="81"/>
      <c r="N79" s="81"/>
      <c r="O79" s="81"/>
      <c r="P79" s="81"/>
      <c r="Q79" s="81"/>
      <c r="R79" s="81"/>
    </row>
    <row r="80" spans="1:20" x14ac:dyDescent="0.2">
      <c r="C80" s="317"/>
      <c r="D80" s="318"/>
      <c r="E80" s="318"/>
      <c r="F80" s="319"/>
      <c r="G80" s="63"/>
      <c r="H80" s="15"/>
      <c r="I80"/>
      <c r="J80" s="81"/>
      <c r="K80" s="81"/>
      <c r="L80" s="81"/>
      <c r="M80" s="81"/>
      <c r="N80" s="81"/>
      <c r="O80" s="81"/>
      <c r="P80" s="81"/>
      <c r="Q80" s="81"/>
      <c r="R80" s="81"/>
    </row>
    <row r="81" spans="2:19" x14ac:dyDescent="0.2">
      <c r="C81" s="317"/>
      <c r="D81" s="318"/>
      <c r="E81" s="318"/>
      <c r="F81" s="319"/>
      <c r="G81" s="63"/>
      <c r="H81" s="15"/>
      <c r="I81"/>
      <c r="J81" s="81"/>
      <c r="K81" s="81"/>
      <c r="L81" s="81"/>
      <c r="M81" s="81"/>
      <c r="N81" s="81"/>
      <c r="O81" s="81"/>
      <c r="P81" s="81"/>
      <c r="Q81" s="81"/>
      <c r="R81" s="81"/>
    </row>
    <row r="82" spans="2:19" x14ac:dyDescent="0.2">
      <c r="C82" s="317"/>
      <c r="D82" s="318"/>
      <c r="E82" s="318"/>
      <c r="F82" s="319"/>
      <c r="G82" s="63"/>
      <c r="H82" s="15"/>
      <c r="I82"/>
      <c r="J82" s="81"/>
      <c r="K82" s="81"/>
      <c r="L82" s="81"/>
      <c r="M82" s="81"/>
      <c r="N82" s="81"/>
      <c r="O82" s="81"/>
      <c r="P82" s="81"/>
      <c r="Q82" s="81"/>
      <c r="R82" s="81"/>
    </row>
    <row r="84" spans="2:19" s="16" customFormat="1" x14ac:dyDescent="0.2">
      <c r="B84" s="35" t="s">
        <v>77</v>
      </c>
      <c r="C84" s="28"/>
      <c r="D84" s="29"/>
      <c r="E84" s="29"/>
      <c r="F84" s="29"/>
      <c r="G84" s="19"/>
      <c r="H84" s="51" t="s">
        <v>77</v>
      </c>
      <c r="I84" s="28"/>
      <c r="J84" s="29"/>
      <c r="K84" s="29"/>
      <c r="L84" s="29"/>
      <c r="M84" s="29"/>
      <c r="N84" s="29"/>
      <c r="O84" s="29"/>
      <c r="P84" s="29"/>
      <c r="S84" s="82"/>
    </row>
    <row r="85" spans="2:19" s="30" customFormat="1" x14ac:dyDescent="0.2">
      <c r="C85" s="31"/>
      <c r="D85" s="18" t="s">
        <v>387</v>
      </c>
      <c r="E85" s="18" t="s">
        <v>388</v>
      </c>
      <c r="F85" s="18" t="s">
        <v>389</v>
      </c>
      <c r="G85" s="18"/>
      <c r="I85" s="31"/>
      <c r="J85" s="18" t="s">
        <v>80</v>
      </c>
      <c r="K85" s="18"/>
      <c r="L85" s="18"/>
      <c r="M85" s="18"/>
      <c r="N85" s="18"/>
      <c r="O85" s="18"/>
      <c r="P85" s="18"/>
      <c r="S85" s="85"/>
    </row>
    <row r="86" spans="2:19" s="30" customFormat="1" x14ac:dyDescent="0.2">
      <c r="B86" s="36" t="s">
        <v>58</v>
      </c>
      <c r="C86" s="37" t="s">
        <v>59</v>
      </c>
      <c r="D86" s="38" t="s">
        <v>75</v>
      </c>
      <c r="E86" s="38" t="s">
        <v>75</v>
      </c>
      <c r="F86" s="38" t="s">
        <v>75</v>
      </c>
      <c r="G86" s="18"/>
      <c r="H86" s="40" t="s">
        <v>58</v>
      </c>
      <c r="I86" s="41" t="s">
        <v>59</v>
      </c>
      <c r="J86" s="42" t="s">
        <v>75</v>
      </c>
      <c r="K86" s="343" t="s">
        <v>59</v>
      </c>
      <c r="L86" s="343"/>
      <c r="M86" s="42" t="s">
        <v>75</v>
      </c>
      <c r="O86" s="49"/>
      <c r="P86" s="49"/>
      <c r="S86" s="85"/>
    </row>
    <row r="87" spans="2:19" x14ac:dyDescent="0.2">
      <c r="B87" s="323" t="s">
        <v>456</v>
      </c>
      <c r="C87" s="323">
        <v>0.42</v>
      </c>
      <c r="D87" s="26">
        <v>0</v>
      </c>
      <c r="E87" s="26">
        <v>2000</v>
      </c>
      <c r="F87" s="26">
        <v>0</v>
      </c>
      <c r="H87" s="44" t="s">
        <v>107</v>
      </c>
      <c r="I87" s="53" t="s">
        <v>110</v>
      </c>
      <c r="J87" s="52">
        <v>5500</v>
      </c>
      <c r="K87" s="53" t="s">
        <v>111</v>
      </c>
      <c r="L87" s="24"/>
      <c r="M87" s="52">
        <v>6300</v>
      </c>
      <c r="O87" s="50"/>
      <c r="P87" s="50"/>
    </row>
    <row r="88" spans="2:19" x14ac:dyDescent="0.2">
      <c r="B88" s="323" t="s">
        <v>457</v>
      </c>
      <c r="C88" s="323">
        <v>0.46</v>
      </c>
      <c r="D88" s="26">
        <v>0</v>
      </c>
      <c r="E88" s="26">
        <v>2500</v>
      </c>
      <c r="F88" s="26">
        <v>0</v>
      </c>
      <c r="H88" s="44" t="s">
        <v>108</v>
      </c>
      <c r="I88" s="53" t="s">
        <v>109</v>
      </c>
      <c r="J88" s="52">
        <v>6900</v>
      </c>
      <c r="K88" s="54"/>
      <c r="L88" s="55"/>
      <c r="M88" s="56"/>
      <c r="O88" s="50"/>
      <c r="P88" s="50"/>
    </row>
    <row r="89" spans="2:19" x14ac:dyDescent="0.2">
      <c r="B89" s="323" t="s">
        <v>458</v>
      </c>
      <c r="C89" s="323">
        <v>0.5</v>
      </c>
      <c r="D89" s="26">
        <v>0</v>
      </c>
      <c r="E89" s="26">
        <v>3000</v>
      </c>
      <c r="F89" s="26">
        <v>0</v>
      </c>
    </row>
    <row r="90" spans="2:19" x14ac:dyDescent="0.2">
      <c r="B90" s="323" t="s">
        <v>459</v>
      </c>
      <c r="C90" s="323">
        <v>1</v>
      </c>
      <c r="D90" s="26">
        <v>0</v>
      </c>
      <c r="E90" s="26">
        <v>6500</v>
      </c>
      <c r="F90" s="26">
        <v>0</v>
      </c>
    </row>
    <row r="91" spans="2:19" x14ac:dyDescent="0.2">
      <c r="B91" s="323" t="s">
        <v>460</v>
      </c>
      <c r="C91" s="323">
        <v>1.5</v>
      </c>
      <c r="D91" s="26">
        <v>0</v>
      </c>
      <c r="E91" s="26">
        <v>7500</v>
      </c>
      <c r="F91" s="26">
        <v>0</v>
      </c>
    </row>
  </sheetData>
  <mergeCells count="7">
    <mergeCell ref="A4:A5"/>
    <mergeCell ref="A9:A21"/>
    <mergeCell ref="K86:L86"/>
    <mergeCell ref="A6:A8"/>
    <mergeCell ref="A22:A50"/>
    <mergeCell ref="A55:A65"/>
    <mergeCell ref="A66:A76"/>
  </mergeCells>
  <conditionalFormatting sqref="K4:K19 R4:R19 K26 R57:R60">
    <cfRule type="expression" dxfId="39" priority="37">
      <formula>AND(ISNUMBER(K4), K4 &lt; $F6)</formula>
    </cfRule>
    <cfRule type="expression" dxfId="38" priority="36">
      <formula>AND(ISNUMBER(K4), K4 &gt; $F6)</formula>
    </cfRule>
  </conditionalFormatting>
  <conditionalFormatting sqref="K20:K23 R20:R23 K27:K50">
    <cfRule type="expression" dxfId="37" priority="20">
      <formula>AND(ISNUMBER(K20), K20 &gt; #REF!)</formula>
    </cfRule>
    <cfRule type="expression" dxfId="36" priority="21">
      <formula>AND(ISNUMBER(K20), K20 &lt; #REF!)</formula>
    </cfRule>
  </conditionalFormatting>
  <conditionalFormatting sqref="K24 R24">
    <cfRule type="expression" dxfId="35" priority="28">
      <formula>AND(ISNUMBER(K24), K24 &gt; $F22)</formula>
    </cfRule>
    <cfRule type="expression" dxfId="34" priority="29">
      <formula>AND(ISNUMBER(K24), K24 &lt; $F22)</formula>
    </cfRule>
  </conditionalFormatting>
  <conditionalFormatting sqref="K25">
    <cfRule type="expression" dxfId="33" priority="26">
      <formula>AND(ISNUMBER(K25), K25 &gt; $F25)</formula>
    </cfRule>
    <cfRule type="expression" dxfId="32" priority="27">
      <formula>AND(ISNUMBER(K25), K25 &lt; $F25)</formula>
    </cfRule>
  </conditionalFormatting>
  <conditionalFormatting sqref="K55:K60 K62:K63 K66 K70:K71">
    <cfRule type="expression" dxfId="31" priority="8">
      <formula>AND(ISNUMBER(K55), K55 &lt; #REF!)</formula>
    </cfRule>
    <cfRule type="expression" dxfId="30" priority="9">
      <formula>AND(ISNUMBER(K55), K55 &gt; #REF!)</formula>
    </cfRule>
  </conditionalFormatting>
  <conditionalFormatting sqref="R25:R51 K51 R55:R56">
    <cfRule type="expression" dxfId="29" priority="10">
      <formula>AND(ISNUMBER(K25), K25 &gt; $F25)</formula>
    </cfRule>
    <cfRule type="expression" dxfId="28" priority="11">
      <formula>AND(ISNUMBER(K25), K25 &lt; $F25)</formula>
    </cfRule>
  </conditionalFormatting>
  <conditionalFormatting sqref="R62:R63">
    <cfRule type="expression" dxfId="27" priority="49">
      <formula>AND(ISNUMBER(R62), R62 &lt; $F63)</formula>
    </cfRule>
    <cfRule type="expression" dxfId="26" priority="48">
      <formula>AND(ISNUMBER(R62), R62 &gt; $F63)</formula>
    </cfRule>
  </conditionalFormatting>
  <conditionalFormatting sqref="R66">
    <cfRule type="expression" dxfId="25" priority="59">
      <formula>AND(ISNUMBER(R66), R66 &lt; $F65)</formula>
    </cfRule>
    <cfRule type="expression" dxfId="24" priority="58">
      <formula>AND(ISNUMBER(R66), R66 &gt; $F65)</formula>
    </cfRule>
  </conditionalFormatting>
  <conditionalFormatting sqref="R70:R72">
    <cfRule type="expression" dxfId="23" priority="67">
      <formula>AND(ISNUMBER(R70), R70 &lt; $F66)</formula>
    </cfRule>
    <cfRule type="expression" dxfId="22" priority="66">
      <formula>AND(ISNUMBER(R70), R70 &gt; $F66)</formula>
    </cfRule>
  </conditionalFormatting>
  <conditionalFormatting sqref="S4:S50">
    <cfRule type="cellIs" dxfId="21" priority="39" operator="greaterThan">
      <formula>$G6</formula>
    </cfRule>
  </conditionalFormatting>
  <conditionalFormatting sqref="S51">
    <cfRule type="cellIs" dxfId="20" priority="1" operator="greaterThan">
      <formula>$G51</formula>
    </cfRule>
  </conditionalFormatting>
  <conditionalFormatting sqref="S55:S66">
    <cfRule type="cellIs" dxfId="19" priority="5" operator="greaterThan">
      <formula>$G55</formula>
    </cfRule>
    <cfRule type="cellIs" dxfId="18" priority="4" operator="lessThan">
      <formula>$G55</formula>
    </cfRule>
  </conditionalFormatting>
  <conditionalFormatting sqref="T4:T25 T28:T66">
    <cfRule type="cellIs" dxfId="17" priority="3" operator="lessThan">
      <formula>0</formula>
    </cfRule>
    <cfRule type="cellIs" dxfId="16" priority="2" operator="greaterThan">
      <formula>0</formula>
    </cfRule>
  </conditionalFormatting>
  <hyperlinks>
    <hyperlink ref="F2" r:id="rId1" display="javascript:;" xr:uid="{3A65E39C-E709-44A7-84C3-CEC3AD0685D5}"/>
    <hyperlink ref="F53" r:id="rId2" display="javascript:;" xr:uid="{2566B57C-0876-4CF5-B346-1CE2369EE1BB}"/>
    <hyperlink ref="F85" r:id="rId3" display="javascript:;" xr:uid="{1A67E512-9CBA-4365-9730-3D53F110B42D}"/>
  </hyperlinks>
  <pageMargins left="0.7" right="0.7" top="0.75" bottom="0.75" header="0.3" footer="0.3"/>
  <pageSetup paperSize="9" orientation="landscape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15B3-A902-4D1F-94C1-DB2766B20397}">
  <dimension ref="A1:D64"/>
  <sheetViews>
    <sheetView workbookViewId="0">
      <pane ySplit="3" topLeftCell="A4" activePane="bottomLeft" state="frozen"/>
      <selection pane="bottomLeft" activeCell="A49" sqref="A49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5</v>
      </c>
      <c r="B4" s="2">
        <v>660.93</v>
      </c>
      <c r="C4" s="2">
        <v>1101.55</v>
      </c>
      <c r="D4" s="2">
        <v>707.19510000000002</v>
      </c>
    </row>
    <row r="5" spans="1:4" x14ac:dyDescent="0.2">
      <c r="A5" s="5">
        <v>0.6</v>
      </c>
      <c r="B5" s="2">
        <v>660.93</v>
      </c>
      <c r="C5" s="2">
        <v>1101.55</v>
      </c>
      <c r="D5" s="2">
        <v>707.19510000000002</v>
      </c>
    </row>
    <row r="6" spans="1:4" x14ac:dyDescent="0.2">
      <c r="A6" s="4" t="s">
        <v>6</v>
      </c>
      <c r="B6" s="2">
        <v>567.48</v>
      </c>
      <c r="C6" s="2">
        <v>945.8</v>
      </c>
      <c r="D6" s="2">
        <v>607.20360000000005</v>
      </c>
    </row>
    <row r="7" spans="1:4" x14ac:dyDescent="0.2">
      <c r="A7" s="5">
        <v>0.6</v>
      </c>
      <c r="B7" s="2">
        <v>567.48</v>
      </c>
      <c r="C7" s="2">
        <v>945.8</v>
      </c>
      <c r="D7" s="2">
        <v>607.20360000000005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8</v>
      </c>
      <c r="B10" s="2">
        <v>13725</v>
      </c>
      <c r="C10" s="2">
        <v>934.80183749999992</v>
      </c>
      <c r="D10" s="2">
        <v>14685.75</v>
      </c>
    </row>
    <row r="11" spans="1:4" x14ac:dyDescent="0.2">
      <c r="A11" s="5">
        <v>11.25</v>
      </c>
      <c r="B11" s="2">
        <v>10500</v>
      </c>
      <c r="C11" s="2">
        <v>933.33330000000001</v>
      </c>
      <c r="D11" s="2">
        <v>11235</v>
      </c>
    </row>
    <row r="12" spans="1:4" x14ac:dyDescent="0.2">
      <c r="A12" s="5">
        <v>13.5</v>
      </c>
      <c r="B12" s="2">
        <v>12500</v>
      </c>
      <c r="C12" s="2">
        <v>925.92589999999996</v>
      </c>
      <c r="D12" s="2">
        <v>13375</v>
      </c>
    </row>
    <row r="13" spans="1:4" x14ac:dyDescent="0.2">
      <c r="A13" s="5">
        <v>14.4</v>
      </c>
      <c r="B13" s="2">
        <v>13400</v>
      </c>
      <c r="C13" s="2">
        <v>930.55550000000005</v>
      </c>
      <c r="D13" s="2">
        <v>14338</v>
      </c>
    </row>
    <row r="14" spans="1:4" x14ac:dyDescent="0.2">
      <c r="A14" s="5">
        <v>15.6</v>
      </c>
      <c r="B14" s="2">
        <v>14800</v>
      </c>
      <c r="C14" s="2">
        <v>948.71789999999999</v>
      </c>
      <c r="D14" s="2">
        <v>15836</v>
      </c>
    </row>
    <row r="15" spans="1:4" x14ac:dyDescent="0.2">
      <c r="A15" s="5">
        <v>15.75</v>
      </c>
      <c r="B15" s="2">
        <v>14800</v>
      </c>
      <c r="C15" s="2">
        <v>939.6825</v>
      </c>
      <c r="D15" s="2">
        <v>15836</v>
      </c>
    </row>
    <row r="16" spans="1:4" x14ac:dyDescent="0.2">
      <c r="A16" s="5">
        <v>16.2</v>
      </c>
      <c r="B16" s="2">
        <v>15200</v>
      </c>
      <c r="C16" s="2">
        <v>938.27160000000003</v>
      </c>
      <c r="D16" s="2">
        <v>16264</v>
      </c>
    </row>
    <row r="17" spans="1:4" x14ac:dyDescent="0.2">
      <c r="A17" s="5">
        <v>16.32</v>
      </c>
      <c r="B17" s="2">
        <v>15200</v>
      </c>
      <c r="C17" s="2">
        <v>931.37249999999995</v>
      </c>
      <c r="D17" s="2">
        <v>16264</v>
      </c>
    </row>
    <row r="18" spans="1:4" x14ac:dyDescent="0.2">
      <c r="A18" s="4" t="s">
        <v>9</v>
      </c>
      <c r="B18" s="2">
        <v>7275</v>
      </c>
      <c r="C18" s="2">
        <v>1022.0408416666666</v>
      </c>
      <c r="D18" s="2">
        <v>7784.25</v>
      </c>
    </row>
    <row r="19" spans="1:4" x14ac:dyDescent="0.2">
      <c r="A19" s="5">
        <v>5</v>
      </c>
      <c r="B19" s="2">
        <v>5200</v>
      </c>
      <c r="C19" s="2">
        <v>1040</v>
      </c>
      <c r="D19" s="2">
        <v>5564</v>
      </c>
    </row>
    <row r="20" spans="1:4" x14ac:dyDescent="0.2">
      <c r="A20" s="5">
        <v>5.04</v>
      </c>
      <c r="B20" s="2">
        <v>5200</v>
      </c>
      <c r="C20" s="2">
        <v>1031.7460000000001</v>
      </c>
      <c r="D20" s="2">
        <v>5564</v>
      </c>
    </row>
    <row r="21" spans="1:4" x14ac:dyDescent="0.2">
      <c r="A21" s="5">
        <v>5.0599999999999996</v>
      </c>
      <c r="B21" s="2">
        <v>5200</v>
      </c>
      <c r="C21" s="2">
        <v>1027.6678999999999</v>
      </c>
      <c r="D21" s="2">
        <v>5564</v>
      </c>
    </row>
    <row r="22" spans="1:4" x14ac:dyDescent="0.2">
      <c r="A22" s="5">
        <v>5.98</v>
      </c>
      <c r="B22" s="2">
        <v>6200</v>
      </c>
      <c r="C22" s="2">
        <v>1036.7891999999999</v>
      </c>
      <c r="D22" s="2">
        <v>6634</v>
      </c>
    </row>
    <row r="23" spans="1:4" x14ac:dyDescent="0.2">
      <c r="A23" s="5">
        <v>6.9</v>
      </c>
      <c r="B23" s="2">
        <v>7100</v>
      </c>
      <c r="C23" s="2">
        <v>1028.9855</v>
      </c>
      <c r="D23" s="2">
        <v>7597</v>
      </c>
    </row>
    <row r="24" spans="1:4" x14ac:dyDescent="0.2">
      <c r="A24" s="5">
        <v>7.44</v>
      </c>
      <c r="B24" s="2">
        <v>7800</v>
      </c>
      <c r="C24" s="2">
        <v>1048.3869999999999</v>
      </c>
      <c r="D24" s="2">
        <v>8346</v>
      </c>
    </row>
    <row r="25" spans="1:4" x14ac:dyDescent="0.2">
      <c r="A25" s="5">
        <v>7.75</v>
      </c>
      <c r="B25" s="2">
        <v>8000</v>
      </c>
      <c r="C25" s="2">
        <v>1032.258</v>
      </c>
      <c r="D25" s="2">
        <v>8560</v>
      </c>
    </row>
    <row r="26" spans="1:4" x14ac:dyDescent="0.2">
      <c r="A26" s="5">
        <v>7.92</v>
      </c>
      <c r="B26" s="2">
        <v>8000</v>
      </c>
      <c r="C26" s="2">
        <v>1010.101</v>
      </c>
      <c r="D26" s="2">
        <v>8560</v>
      </c>
    </row>
    <row r="27" spans="1:4" x14ac:dyDescent="0.2">
      <c r="A27" s="5">
        <v>8.06</v>
      </c>
      <c r="B27" s="2">
        <v>8200</v>
      </c>
      <c r="C27" s="2">
        <v>1017.3697</v>
      </c>
      <c r="D27" s="2">
        <v>8774</v>
      </c>
    </row>
    <row r="28" spans="1:4" x14ac:dyDescent="0.2">
      <c r="A28" s="5">
        <v>8.32</v>
      </c>
      <c r="B28" s="2">
        <v>8300</v>
      </c>
      <c r="C28" s="2">
        <v>997.59609999999998</v>
      </c>
      <c r="D28" s="2">
        <v>8881</v>
      </c>
    </row>
    <row r="29" spans="1:4" x14ac:dyDescent="0.2">
      <c r="A29" s="5">
        <v>8.8000000000000007</v>
      </c>
      <c r="B29" s="2">
        <v>8800</v>
      </c>
      <c r="C29" s="2">
        <v>1000</v>
      </c>
      <c r="D29" s="2">
        <v>9416</v>
      </c>
    </row>
    <row r="30" spans="1:4" x14ac:dyDescent="0.2">
      <c r="A30" s="5">
        <v>9.36</v>
      </c>
      <c r="B30" s="2">
        <v>9300</v>
      </c>
      <c r="C30" s="2">
        <v>993.58969999999999</v>
      </c>
      <c r="D30" s="2">
        <v>9951</v>
      </c>
    </row>
    <row r="31" spans="1:4" x14ac:dyDescent="0.2">
      <c r="A31" s="4" t="s">
        <v>10</v>
      </c>
      <c r="B31" s="2">
        <v>4200</v>
      </c>
      <c r="C31" s="2">
        <v>1089.8851750000001</v>
      </c>
      <c r="D31" s="2">
        <v>4494</v>
      </c>
    </row>
    <row r="32" spans="1:4" x14ac:dyDescent="0.2">
      <c r="A32" s="5">
        <v>2.99</v>
      </c>
      <c r="B32" s="2">
        <v>3600</v>
      </c>
      <c r="C32" s="2">
        <v>1204.0133000000001</v>
      </c>
      <c r="D32" s="2">
        <v>3852</v>
      </c>
    </row>
    <row r="33" spans="1:4" x14ac:dyDescent="0.2">
      <c r="A33" s="5">
        <v>3</v>
      </c>
      <c r="B33" s="2">
        <v>3600</v>
      </c>
      <c r="C33" s="2">
        <v>1200</v>
      </c>
      <c r="D33" s="2">
        <v>3852</v>
      </c>
    </row>
    <row r="34" spans="1:4" x14ac:dyDescent="0.2">
      <c r="A34" s="5">
        <v>3.75</v>
      </c>
      <c r="B34" s="2">
        <v>4000</v>
      </c>
      <c r="C34" s="2">
        <v>1066.6666</v>
      </c>
      <c r="D34" s="2">
        <v>4280</v>
      </c>
    </row>
    <row r="35" spans="1:4" x14ac:dyDescent="0.2">
      <c r="A35" s="5">
        <v>3.91</v>
      </c>
      <c r="B35" s="2">
        <v>4000</v>
      </c>
      <c r="C35" s="2">
        <v>1023.0179000000001</v>
      </c>
      <c r="D35" s="2">
        <v>4280</v>
      </c>
    </row>
    <row r="36" spans="1:4" x14ac:dyDescent="0.2">
      <c r="A36" s="5">
        <v>4</v>
      </c>
      <c r="B36" s="2">
        <v>4500</v>
      </c>
      <c r="C36" s="2">
        <v>1125</v>
      </c>
      <c r="D36" s="2">
        <v>4815</v>
      </c>
    </row>
    <row r="37" spans="1:4" x14ac:dyDescent="0.2">
      <c r="A37" s="5">
        <v>4.2</v>
      </c>
      <c r="B37" s="2">
        <v>4500</v>
      </c>
      <c r="C37" s="2">
        <v>1071.4285</v>
      </c>
      <c r="D37" s="2">
        <v>4815</v>
      </c>
    </row>
    <row r="38" spans="1:4" x14ac:dyDescent="0.2">
      <c r="A38" s="5">
        <v>4.25</v>
      </c>
      <c r="B38" s="2">
        <v>4500</v>
      </c>
      <c r="C38" s="2">
        <v>1058.8235</v>
      </c>
      <c r="D38" s="2">
        <v>4815</v>
      </c>
    </row>
    <row r="39" spans="1:4" x14ac:dyDescent="0.2">
      <c r="A39" s="5">
        <v>4.4000000000000004</v>
      </c>
      <c r="B39" s="2">
        <v>4700</v>
      </c>
      <c r="C39" s="2">
        <v>1068.1818000000001</v>
      </c>
      <c r="D39" s="2">
        <v>5029</v>
      </c>
    </row>
    <row r="40" spans="1:4" x14ac:dyDescent="0.2">
      <c r="A40" s="5">
        <v>4.5999999999999996</v>
      </c>
      <c r="B40" s="2">
        <v>4700</v>
      </c>
      <c r="C40" s="2">
        <v>1021.7391</v>
      </c>
      <c r="D40" s="2">
        <v>5029</v>
      </c>
    </row>
    <row r="41" spans="1:4" x14ac:dyDescent="0.2">
      <c r="A41" s="5">
        <v>4.83</v>
      </c>
      <c r="B41" s="2">
        <v>4700</v>
      </c>
      <c r="C41" s="2">
        <v>973.08479999999997</v>
      </c>
      <c r="D41" s="2">
        <v>5029</v>
      </c>
    </row>
    <row r="42" spans="1:4" x14ac:dyDescent="0.2">
      <c r="A42" s="4" t="s">
        <v>11</v>
      </c>
      <c r="B42" s="2">
        <v>22666.666666666668</v>
      </c>
      <c r="C42" s="2">
        <v>922.95011666666676</v>
      </c>
      <c r="D42" s="2">
        <v>24253.333333333332</v>
      </c>
    </row>
    <row r="43" spans="1:4" x14ac:dyDescent="0.2">
      <c r="A43" s="5">
        <v>21.56</v>
      </c>
      <c r="B43" s="2">
        <v>20100</v>
      </c>
      <c r="C43" s="2">
        <v>932.28200000000004</v>
      </c>
      <c r="D43" s="2">
        <v>21507</v>
      </c>
    </row>
    <row r="44" spans="1:4" x14ac:dyDescent="0.2">
      <c r="A44" s="5">
        <v>24</v>
      </c>
      <c r="B44" s="2">
        <v>22000</v>
      </c>
      <c r="C44" s="2">
        <v>916.66660000000002</v>
      </c>
      <c r="D44" s="2">
        <v>23540</v>
      </c>
    </row>
    <row r="45" spans="1:4" x14ac:dyDescent="0.2">
      <c r="A45" s="5">
        <v>24.51</v>
      </c>
      <c r="B45" s="2">
        <v>22000</v>
      </c>
      <c r="C45" s="2">
        <v>897.59280000000001</v>
      </c>
      <c r="D45" s="2">
        <v>23540</v>
      </c>
    </row>
    <row r="46" spans="1:4" x14ac:dyDescent="0.2">
      <c r="A46" s="5">
        <v>24.96</v>
      </c>
      <c r="B46" s="2">
        <v>23200</v>
      </c>
      <c r="C46" s="2">
        <v>929.48710000000005</v>
      </c>
      <c r="D46" s="2">
        <v>24824</v>
      </c>
    </row>
    <row r="47" spans="1:4" x14ac:dyDescent="0.2">
      <c r="A47" s="5">
        <v>25.92</v>
      </c>
      <c r="B47" s="2">
        <v>24200</v>
      </c>
      <c r="C47" s="2">
        <v>933.64189999999996</v>
      </c>
      <c r="D47" s="2">
        <v>25894</v>
      </c>
    </row>
    <row r="48" spans="1:4" x14ac:dyDescent="0.2">
      <c r="A48" s="5">
        <v>26.4</v>
      </c>
      <c r="B48" s="2">
        <v>24500</v>
      </c>
      <c r="C48" s="2">
        <v>928.03030000000001</v>
      </c>
      <c r="D48" s="2">
        <v>26215</v>
      </c>
    </row>
    <row r="49" spans="1:4" x14ac:dyDescent="0.2">
      <c r="A49" s="4" t="s">
        <v>12</v>
      </c>
      <c r="B49" s="2">
        <v>2071.4285714285716</v>
      </c>
      <c r="C49" s="2">
        <v>1042.2086857142858</v>
      </c>
      <c r="D49" s="2">
        <v>2216.4285714285716</v>
      </c>
    </row>
    <row r="50" spans="1:4" x14ac:dyDescent="0.2">
      <c r="A50" s="5">
        <v>1.54</v>
      </c>
      <c r="B50" s="2">
        <v>1500</v>
      </c>
      <c r="C50" s="2">
        <v>974.02589999999998</v>
      </c>
      <c r="D50" s="2">
        <v>1605</v>
      </c>
    </row>
    <row r="51" spans="1:4" x14ac:dyDescent="0.2">
      <c r="A51" s="5">
        <v>1.8</v>
      </c>
      <c r="B51" s="2">
        <v>1800</v>
      </c>
      <c r="C51" s="2">
        <v>1000</v>
      </c>
      <c r="D51" s="2">
        <v>1926</v>
      </c>
    </row>
    <row r="52" spans="1:4" x14ac:dyDescent="0.2">
      <c r="A52" s="5">
        <v>1.98</v>
      </c>
      <c r="B52" s="2">
        <v>2200</v>
      </c>
      <c r="C52" s="2">
        <v>1111.1111000000001</v>
      </c>
      <c r="D52" s="2">
        <v>2354</v>
      </c>
    </row>
    <row r="53" spans="1:4" x14ac:dyDescent="0.2">
      <c r="A53" s="5">
        <v>2</v>
      </c>
      <c r="B53" s="2">
        <v>2200</v>
      </c>
      <c r="C53" s="2">
        <v>1100</v>
      </c>
      <c r="D53" s="2">
        <v>2354</v>
      </c>
    </row>
    <row r="54" spans="1:4" x14ac:dyDescent="0.2">
      <c r="A54" s="5">
        <v>2.08</v>
      </c>
      <c r="B54" s="2">
        <v>2200</v>
      </c>
      <c r="C54" s="2">
        <v>1057.6922999999999</v>
      </c>
      <c r="D54" s="2">
        <v>2354</v>
      </c>
    </row>
    <row r="55" spans="1:4" x14ac:dyDescent="0.2">
      <c r="A55" s="5">
        <v>2.09</v>
      </c>
      <c r="B55" s="2">
        <v>2200</v>
      </c>
      <c r="C55" s="2">
        <v>1052.6315</v>
      </c>
      <c r="D55" s="2">
        <v>2354</v>
      </c>
    </row>
    <row r="56" spans="1:4" x14ac:dyDescent="0.2">
      <c r="A56" s="5">
        <v>2.4</v>
      </c>
      <c r="B56" s="2">
        <v>2400</v>
      </c>
      <c r="C56" s="2">
        <v>1000</v>
      </c>
      <c r="D56" s="2">
        <v>2568</v>
      </c>
    </row>
    <row r="57" spans="1:4" x14ac:dyDescent="0.2">
      <c r="A57" s="4" t="s">
        <v>13</v>
      </c>
      <c r="B57" s="2">
        <v>31800</v>
      </c>
      <c r="C57" s="2">
        <v>858.29949999999997</v>
      </c>
      <c r="D57" s="2">
        <v>34026</v>
      </c>
    </row>
    <row r="58" spans="1:4" x14ac:dyDescent="0.2">
      <c r="A58" s="5">
        <v>37.049999999999997</v>
      </c>
      <c r="B58" s="2">
        <v>31800</v>
      </c>
      <c r="C58" s="2">
        <v>858.29949999999997</v>
      </c>
      <c r="D58" s="2">
        <v>34026</v>
      </c>
    </row>
    <row r="59" spans="1:4" x14ac:dyDescent="0.2">
      <c r="A59" s="4" t="s">
        <v>14</v>
      </c>
      <c r="B59" s="2">
        <v>1340</v>
      </c>
      <c r="C59" s="2">
        <v>1390.64932</v>
      </c>
      <c r="D59" s="2">
        <v>1433.8</v>
      </c>
    </row>
    <row r="60" spans="1:4" x14ac:dyDescent="0.2">
      <c r="A60" s="5">
        <v>0.6</v>
      </c>
      <c r="B60" s="2">
        <v>1200</v>
      </c>
      <c r="C60" s="2">
        <v>2000</v>
      </c>
      <c r="D60" s="2">
        <v>1284</v>
      </c>
    </row>
    <row r="61" spans="1:4" x14ac:dyDescent="0.2">
      <c r="A61" s="5">
        <v>1</v>
      </c>
      <c r="B61" s="2">
        <v>1350</v>
      </c>
      <c r="C61" s="2">
        <v>1350</v>
      </c>
      <c r="D61" s="2">
        <v>1444.5</v>
      </c>
    </row>
    <row r="62" spans="1:4" x14ac:dyDescent="0.2">
      <c r="A62" s="5">
        <v>1.1000000000000001</v>
      </c>
      <c r="B62" s="2">
        <v>1300</v>
      </c>
      <c r="C62" s="2">
        <v>1181.8181</v>
      </c>
      <c r="D62" s="2">
        <v>1391</v>
      </c>
    </row>
    <row r="63" spans="1:4" x14ac:dyDescent="0.2">
      <c r="A63" s="5">
        <v>1.4</v>
      </c>
      <c r="B63" s="2">
        <v>1500</v>
      </c>
      <c r="C63" s="2">
        <v>1071.4285</v>
      </c>
      <c r="D63" s="2">
        <v>1605</v>
      </c>
    </row>
    <row r="64" spans="1:4" x14ac:dyDescent="0.2">
      <c r="A64" s="4" t="s">
        <v>15</v>
      </c>
      <c r="B64" s="2">
        <v>8106.0816666666669</v>
      </c>
      <c r="C64" s="2">
        <v>1028.0293425925925</v>
      </c>
      <c r="D64" s="2">
        <v>8673.5073833333336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996-91AE-4B9C-9ABD-449D365AD506}">
  <dimension ref="A1:D128"/>
  <sheetViews>
    <sheetView workbookViewId="0">
      <pane ySplit="3" topLeftCell="A19" activePane="bottomLeft" state="frozen"/>
      <selection pane="bottomLeft" activeCell="B26" sqref="B26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16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988.04</v>
      </c>
      <c r="C4" s="2">
        <v>988.04</v>
      </c>
      <c r="D4" s="2">
        <v>1057.2028</v>
      </c>
    </row>
    <row r="5" spans="1:4" x14ac:dyDescent="0.2">
      <c r="A5" s="5">
        <v>1</v>
      </c>
      <c r="B5" s="2">
        <v>988.04</v>
      </c>
      <c r="C5" s="2">
        <v>988.04</v>
      </c>
      <c r="D5" s="2">
        <v>1057.2028</v>
      </c>
    </row>
    <row r="6" spans="1:4" x14ac:dyDescent="0.2">
      <c r="A6" s="4" t="s">
        <v>18</v>
      </c>
      <c r="B6" s="2">
        <v>847.85</v>
      </c>
      <c r="C6" s="2">
        <v>847.85</v>
      </c>
      <c r="D6" s="2">
        <v>907.19949999999994</v>
      </c>
    </row>
    <row r="7" spans="1:4" x14ac:dyDescent="0.2">
      <c r="A7" s="5">
        <v>1</v>
      </c>
      <c r="B7" s="2">
        <v>847.85</v>
      </c>
      <c r="C7" s="2">
        <v>847.85</v>
      </c>
      <c r="D7" s="2">
        <v>907.19949999999994</v>
      </c>
    </row>
    <row r="8" spans="1:4" x14ac:dyDescent="0.2">
      <c r="A8" s="4" t="s">
        <v>19</v>
      </c>
      <c r="B8" s="2">
        <v>988.04</v>
      </c>
      <c r="C8" s="2">
        <v>1646.7333000000001</v>
      </c>
      <c r="D8" s="2">
        <v>1057.2028</v>
      </c>
    </row>
    <row r="9" spans="1:4" x14ac:dyDescent="0.2">
      <c r="A9" s="5">
        <v>0.6</v>
      </c>
      <c r="B9" s="2">
        <v>988.04</v>
      </c>
      <c r="C9" s="2">
        <v>1646.7333000000001</v>
      </c>
      <c r="D9" s="2">
        <v>1057.2028</v>
      </c>
    </row>
    <row r="10" spans="1:4" x14ac:dyDescent="0.2">
      <c r="A10" s="4" t="s">
        <v>20</v>
      </c>
      <c r="B10" s="2">
        <v>731.03</v>
      </c>
      <c r="C10" s="2">
        <v>1218.3833</v>
      </c>
      <c r="D10" s="2">
        <v>782.20209999999997</v>
      </c>
    </row>
    <row r="11" spans="1:4" x14ac:dyDescent="0.2">
      <c r="A11" s="5">
        <v>0.6</v>
      </c>
      <c r="B11" s="2">
        <v>731.03</v>
      </c>
      <c r="C11" s="2">
        <v>1218.3833</v>
      </c>
      <c r="D11" s="2">
        <v>782.20209999999997</v>
      </c>
    </row>
    <row r="12" spans="1:4" x14ac:dyDescent="0.2">
      <c r="A12" s="4" t="s">
        <v>21</v>
      </c>
      <c r="B12" s="2">
        <v>3300</v>
      </c>
      <c r="C12" s="2">
        <v>1113.3236666666664</v>
      </c>
      <c r="D12" s="2">
        <v>3531</v>
      </c>
    </row>
    <row r="13" spans="1:4" x14ac:dyDescent="0.2">
      <c r="A13" s="5">
        <v>2.75</v>
      </c>
      <c r="B13" s="2">
        <v>3100</v>
      </c>
      <c r="C13" s="2">
        <v>1127.2727</v>
      </c>
      <c r="D13" s="2">
        <v>3317</v>
      </c>
    </row>
    <row r="14" spans="1:4" x14ac:dyDescent="0.2">
      <c r="A14" s="5">
        <v>3</v>
      </c>
      <c r="B14" s="2">
        <v>3400</v>
      </c>
      <c r="C14" s="2">
        <v>1133.3333</v>
      </c>
      <c r="D14" s="2">
        <v>3638</v>
      </c>
    </row>
    <row r="15" spans="1:4" x14ac:dyDescent="0.2">
      <c r="A15" s="5">
        <v>3.15</v>
      </c>
      <c r="B15" s="2">
        <v>3400</v>
      </c>
      <c r="C15" s="2">
        <v>1079.365</v>
      </c>
      <c r="D15" s="2">
        <v>3638</v>
      </c>
    </row>
    <row r="16" spans="1:4" x14ac:dyDescent="0.2">
      <c r="A16" s="4" t="s">
        <v>22</v>
      </c>
      <c r="B16" s="2">
        <v>2182.3529411764707</v>
      </c>
      <c r="C16" s="2">
        <v>1186.4265411764704</v>
      </c>
      <c r="D16" s="2">
        <v>2335.1176470588234</v>
      </c>
    </row>
    <row r="17" spans="1:4" x14ac:dyDescent="0.2">
      <c r="A17" s="5">
        <v>1.5</v>
      </c>
      <c r="B17" s="2">
        <v>1800</v>
      </c>
      <c r="C17" s="2">
        <v>1200</v>
      </c>
      <c r="D17" s="2">
        <v>1926</v>
      </c>
    </row>
    <row r="18" spans="1:4" x14ac:dyDescent="0.2">
      <c r="A18" s="5">
        <v>1.54</v>
      </c>
      <c r="B18" s="2">
        <v>1800</v>
      </c>
      <c r="C18" s="2">
        <v>1168.8311000000001</v>
      </c>
      <c r="D18" s="2">
        <v>1926</v>
      </c>
    </row>
    <row r="19" spans="1:4" x14ac:dyDescent="0.2">
      <c r="A19" s="5">
        <v>1.6</v>
      </c>
      <c r="B19" s="2">
        <v>1900</v>
      </c>
      <c r="C19" s="2">
        <v>1187.5</v>
      </c>
      <c r="D19" s="2">
        <v>2033</v>
      </c>
    </row>
    <row r="20" spans="1:4" x14ac:dyDescent="0.2">
      <c r="A20" s="5">
        <v>1.65</v>
      </c>
      <c r="B20" s="2">
        <v>1950</v>
      </c>
      <c r="C20" s="2">
        <v>1181.8181</v>
      </c>
      <c r="D20" s="2">
        <v>2086.5</v>
      </c>
    </row>
    <row r="21" spans="1:4" x14ac:dyDescent="0.2">
      <c r="A21" s="5">
        <v>1.7</v>
      </c>
      <c r="B21" s="2">
        <v>1950</v>
      </c>
      <c r="C21" s="2">
        <v>1147.0588</v>
      </c>
      <c r="D21" s="2">
        <v>2086.5</v>
      </c>
    </row>
    <row r="22" spans="1:4" x14ac:dyDescent="0.2">
      <c r="A22" s="5">
        <v>1.76</v>
      </c>
      <c r="B22" s="2">
        <v>2000</v>
      </c>
      <c r="C22" s="2">
        <v>1136.3635999999999</v>
      </c>
      <c r="D22" s="2">
        <v>2140</v>
      </c>
    </row>
    <row r="23" spans="1:4" x14ac:dyDescent="0.2">
      <c r="A23" s="5">
        <v>1.8</v>
      </c>
      <c r="B23" s="2">
        <v>2100</v>
      </c>
      <c r="C23" s="2">
        <v>1166.6666333333335</v>
      </c>
      <c r="D23" s="2">
        <v>2247</v>
      </c>
    </row>
    <row r="24" spans="1:4" x14ac:dyDescent="0.2">
      <c r="A24" s="5">
        <v>1.9</v>
      </c>
      <c r="B24" s="2">
        <v>2000</v>
      </c>
      <c r="C24" s="2">
        <v>1052.6315</v>
      </c>
      <c r="D24" s="2">
        <v>2140</v>
      </c>
    </row>
    <row r="25" spans="1:4" x14ac:dyDescent="0.2">
      <c r="A25" s="5">
        <v>1.92</v>
      </c>
      <c r="B25" s="2">
        <v>2000</v>
      </c>
      <c r="C25" s="2">
        <v>1041.6666</v>
      </c>
      <c r="D25" s="2">
        <v>2140</v>
      </c>
    </row>
    <row r="26" spans="1:4" x14ac:dyDescent="0.2">
      <c r="A26" s="5">
        <v>2</v>
      </c>
      <c r="B26" s="2">
        <v>2400</v>
      </c>
      <c r="C26" s="2">
        <v>1200</v>
      </c>
      <c r="D26" s="2">
        <v>2568</v>
      </c>
    </row>
    <row r="27" spans="1:4" x14ac:dyDescent="0.2">
      <c r="A27" s="5">
        <v>2.0699999999999998</v>
      </c>
      <c r="B27" s="2">
        <v>2800</v>
      </c>
      <c r="C27" s="2">
        <v>1352.6569999999999</v>
      </c>
      <c r="D27" s="2">
        <v>2996</v>
      </c>
    </row>
    <row r="28" spans="1:4" x14ac:dyDescent="0.2">
      <c r="A28" s="5">
        <v>2.1</v>
      </c>
      <c r="B28" s="2">
        <v>2800</v>
      </c>
      <c r="C28" s="2">
        <v>1333.3333</v>
      </c>
      <c r="D28" s="2">
        <v>2996</v>
      </c>
    </row>
    <row r="29" spans="1:4" x14ac:dyDescent="0.2">
      <c r="A29" s="5">
        <v>2.2400000000000002</v>
      </c>
      <c r="B29" s="2">
        <v>2800</v>
      </c>
      <c r="C29" s="2">
        <v>1250</v>
      </c>
      <c r="D29" s="2">
        <v>2996</v>
      </c>
    </row>
    <row r="30" spans="1:4" x14ac:dyDescent="0.2">
      <c r="A30" s="5">
        <v>2.2999999999999998</v>
      </c>
      <c r="B30" s="2">
        <v>2800</v>
      </c>
      <c r="C30" s="2">
        <v>1217.3913</v>
      </c>
      <c r="D30" s="2">
        <v>2996</v>
      </c>
    </row>
    <row r="31" spans="1:4" x14ac:dyDescent="0.2">
      <c r="A31" s="4" t="s">
        <v>23</v>
      </c>
      <c r="B31" s="2">
        <v>1635</v>
      </c>
      <c r="C31" s="2">
        <v>1449.7149700000002</v>
      </c>
      <c r="D31" s="2">
        <v>1749.45</v>
      </c>
    </row>
    <row r="32" spans="1:4" x14ac:dyDescent="0.2">
      <c r="A32" s="5">
        <v>0.8</v>
      </c>
      <c r="B32" s="2">
        <v>1500</v>
      </c>
      <c r="C32" s="2">
        <v>1875</v>
      </c>
      <c r="D32" s="2">
        <v>1605</v>
      </c>
    </row>
    <row r="33" spans="1:4" x14ac:dyDescent="0.2">
      <c r="A33" s="5">
        <v>0.9</v>
      </c>
      <c r="B33" s="2">
        <v>1500</v>
      </c>
      <c r="C33" s="2">
        <v>1666.6666</v>
      </c>
      <c r="D33" s="2">
        <v>1605</v>
      </c>
    </row>
    <row r="34" spans="1:4" x14ac:dyDescent="0.2">
      <c r="A34" s="5">
        <v>1</v>
      </c>
      <c r="B34" s="2">
        <v>1550</v>
      </c>
      <c r="C34" s="2">
        <v>1550</v>
      </c>
      <c r="D34" s="2">
        <v>1658.5</v>
      </c>
    </row>
    <row r="35" spans="1:4" x14ac:dyDescent="0.2">
      <c r="A35" s="5">
        <v>1.1000000000000001</v>
      </c>
      <c r="B35" s="2">
        <v>1550</v>
      </c>
      <c r="C35" s="2">
        <v>1409.0908999999999</v>
      </c>
      <c r="D35" s="2">
        <v>1658.5</v>
      </c>
    </row>
    <row r="36" spans="1:4" x14ac:dyDescent="0.2">
      <c r="A36" s="5">
        <v>1.2</v>
      </c>
      <c r="B36" s="2">
        <v>1600</v>
      </c>
      <c r="C36" s="2">
        <v>1333.3333</v>
      </c>
      <c r="D36" s="2">
        <v>1712</v>
      </c>
    </row>
    <row r="37" spans="1:4" x14ac:dyDescent="0.2">
      <c r="A37" s="5">
        <v>1.26</v>
      </c>
      <c r="B37" s="2">
        <v>1700</v>
      </c>
      <c r="C37" s="2">
        <v>1349.2063000000001</v>
      </c>
      <c r="D37" s="2">
        <v>1819</v>
      </c>
    </row>
    <row r="38" spans="1:4" x14ac:dyDescent="0.2">
      <c r="A38" s="5">
        <v>1.35</v>
      </c>
      <c r="B38" s="2">
        <v>1800</v>
      </c>
      <c r="C38" s="2">
        <v>1333.3333</v>
      </c>
      <c r="D38" s="2">
        <v>1926</v>
      </c>
    </row>
    <row r="39" spans="1:4" x14ac:dyDescent="0.2">
      <c r="A39" s="5">
        <v>1.4</v>
      </c>
      <c r="B39" s="2">
        <v>1800</v>
      </c>
      <c r="C39" s="2">
        <v>1285.7141999999999</v>
      </c>
      <c r="D39" s="2">
        <v>1926</v>
      </c>
    </row>
    <row r="40" spans="1:4" x14ac:dyDescent="0.2">
      <c r="A40" s="4" t="s">
        <v>7</v>
      </c>
      <c r="B40" s="2">
        <v>0</v>
      </c>
      <c r="C40" s="2">
        <v>0</v>
      </c>
      <c r="D40" s="2">
        <v>0</v>
      </c>
    </row>
    <row r="41" spans="1:4" x14ac:dyDescent="0.2">
      <c r="A41" s="5">
        <v>0</v>
      </c>
      <c r="B41" s="2">
        <v>0</v>
      </c>
      <c r="C41" s="2">
        <v>0</v>
      </c>
      <c r="D41" s="2">
        <v>0</v>
      </c>
    </row>
    <row r="42" spans="1:4" x14ac:dyDescent="0.2">
      <c r="A42" s="4" t="s">
        <v>24</v>
      </c>
      <c r="B42" s="2">
        <v>0</v>
      </c>
      <c r="C42" s="2">
        <v>0</v>
      </c>
      <c r="D42" s="2">
        <v>0</v>
      </c>
    </row>
    <row r="43" spans="1:4" x14ac:dyDescent="0.2">
      <c r="A43" s="5">
        <v>0.01</v>
      </c>
      <c r="B43" s="2">
        <v>0</v>
      </c>
      <c r="C43" s="2">
        <v>0</v>
      </c>
      <c r="D43" s="2">
        <v>0</v>
      </c>
    </row>
    <row r="44" spans="1:4" x14ac:dyDescent="0.2">
      <c r="A44" s="4" t="s">
        <v>25</v>
      </c>
      <c r="B44" s="2">
        <v>17219.047619047618</v>
      </c>
      <c r="C44" s="2">
        <v>1212.1538714285714</v>
      </c>
      <c r="D44" s="2">
        <v>18424.380952380954</v>
      </c>
    </row>
    <row r="45" spans="1:4" x14ac:dyDescent="0.2">
      <c r="A45" s="5">
        <v>11.04</v>
      </c>
      <c r="B45" s="2">
        <v>13900</v>
      </c>
      <c r="C45" s="2">
        <v>1259.0579</v>
      </c>
      <c r="D45" s="2">
        <v>14873</v>
      </c>
    </row>
    <row r="46" spans="1:4" x14ac:dyDescent="0.2">
      <c r="A46" s="5">
        <v>11.22</v>
      </c>
      <c r="B46" s="2">
        <v>13900</v>
      </c>
      <c r="C46" s="2">
        <v>1238.8590999999999</v>
      </c>
      <c r="D46" s="2">
        <v>14873</v>
      </c>
    </row>
    <row r="47" spans="1:4" x14ac:dyDescent="0.2">
      <c r="A47" s="5">
        <v>11.4</v>
      </c>
      <c r="B47" s="2">
        <v>14200</v>
      </c>
      <c r="C47" s="2">
        <v>1245.614</v>
      </c>
      <c r="D47" s="2">
        <v>15194</v>
      </c>
    </row>
    <row r="48" spans="1:4" x14ac:dyDescent="0.2">
      <c r="A48" s="5">
        <v>11.48</v>
      </c>
      <c r="B48" s="2">
        <v>14200</v>
      </c>
      <c r="C48" s="2">
        <v>1236.9337</v>
      </c>
      <c r="D48" s="2">
        <v>15194</v>
      </c>
    </row>
    <row r="49" spans="1:4" x14ac:dyDescent="0.2">
      <c r="A49" s="5">
        <v>11.52</v>
      </c>
      <c r="B49" s="2">
        <v>14200</v>
      </c>
      <c r="C49" s="2">
        <v>1232.6387999999999</v>
      </c>
      <c r="D49" s="2">
        <v>15194</v>
      </c>
    </row>
    <row r="50" spans="1:4" x14ac:dyDescent="0.2">
      <c r="A50" s="5">
        <v>11.76</v>
      </c>
      <c r="B50" s="2">
        <v>14750</v>
      </c>
      <c r="C50" s="2">
        <v>1254.2516499999999</v>
      </c>
      <c r="D50" s="2">
        <v>15782.5</v>
      </c>
    </row>
    <row r="51" spans="1:4" x14ac:dyDescent="0.2">
      <c r="A51" s="5">
        <v>12.88</v>
      </c>
      <c r="B51" s="2">
        <v>17300</v>
      </c>
      <c r="C51" s="2">
        <v>1343.1677</v>
      </c>
      <c r="D51" s="2">
        <v>18511</v>
      </c>
    </row>
    <row r="52" spans="1:4" x14ac:dyDescent="0.2">
      <c r="A52" s="5">
        <v>12.9</v>
      </c>
      <c r="B52" s="2">
        <v>14900</v>
      </c>
      <c r="C52" s="2">
        <v>1155.0387000000001</v>
      </c>
      <c r="D52" s="2">
        <v>15943</v>
      </c>
    </row>
    <row r="53" spans="1:4" x14ac:dyDescent="0.2">
      <c r="A53" s="5">
        <v>13.16</v>
      </c>
      <c r="B53" s="2">
        <v>17700</v>
      </c>
      <c r="C53" s="2">
        <v>1344.9848</v>
      </c>
      <c r="D53" s="2">
        <v>18939</v>
      </c>
    </row>
    <row r="54" spans="1:4" x14ac:dyDescent="0.2">
      <c r="A54" s="5">
        <v>13.44</v>
      </c>
      <c r="B54" s="2">
        <v>16400</v>
      </c>
      <c r="C54" s="2">
        <v>1220.2380000000001</v>
      </c>
      <c r="D54" s="2">
        <v>17548</v>
      </c>
    </row>
    <row r="55" spans="1:4" x14ac:dyDescent="0.2">
      <c r="A55" s="5">
        <v>14</v>
      </c>
      <c r="B55" s="2">
        <v>17000</v>
      </c>
      <c r="C55" s="2">
        <v>1214.2856999999999</v>
      </c>
      <c r="D55" s="2">
        <v>18190</v>
      </c>
    </row>
    <row r="56" spans="1:4" x14ac:dyDescent="0.2">
      <c r="A56" s="5">
        <v>14.28</v>
      </c>
      <c r="B56" s="2">
        <v>17500</v>
      </c>
      <c r="C56" s="2">
        <v>1225.4901</v>
      </c>
      <c r="D56" s="2">
        <v>18725</v>
      </c>
    </row>
    <row r="57" spans="1:4" x14ac:dyDescent="0.2">
      <c r="A57" s="5">
        <v>14.4</v>
      </c>
      <c r="B57" s="2">
        <v>17500</v>
      </c>
      <c r="C57" s="2">
        <v>1215.2777000000001</v>
      </c>
      <c r="D57" s="2">
        <v>18725</v>
      </c>
    </row>
    <row r="58" spans="1:4" x14ac:dyDescent="0.2">
      <c r="A58" s="5">
        <v>15.3</v>
      </c>
      <c r="B58" s="2">
        <v>18500</v>
      </c>
      <c r="C58" s="2">
        <v>1209.1503</v>
      </c>
      <c r="D58" s="2">
        <v>19795</v>
      </c>
    </row>
    <row r="59" spans="1:4" x14ac:dyDescent="0.2">
      <c r="A59" s="5">
        <v>16.8</v>
      </c>
      <c r="B59" s="2">
        <v>20300</v>
      </c>
      <c r="C59" s="2">
        <v>1208.3333</v>
      </c>
      <c r="D59" s="2">
        <v>21721</v>
      </c>
    </row>
    <row r="60" spans="1:4" x14ac:dyDescent="0.2">
      <c r="A60" s="5">
        <v>18.29</v>
      </c>
      <c r="B60" s="2">
        <v>20900</v>
      </c>
      <c r="C60" s="2">
        <v>1142.7009</v>
      </c>
      <c r="D60" s="2">
        <v>22363</v>
      </c>
    </row>
    <row r="61" spans="1:4" x14ac:dyDescent="0.2">
      <c r="A61" s="5">
        <v>18.48</v>
      </c>
      <c r="B61" s="2">
        <v>20900</v>
      </c>
      <c r="C61" s="2">
        <v>1130.9522999999999</v>
      </c>
      <c r="D61" s="2">
        <v>22363</v>
      </c>
    </row>
    <row r="62" spans="1:4" x14ac:dyDescent="0.2">
      <c r="A62" s="5">
        <v>18.760000000000002</v>
      </c>
      <c r="B62" s="2">
        <v>20900</v>
      </c>
      <c r="C62" s="2">
        <v>1114.0724</v>
      </c>
      <c r="D62" s="2">
        <v>22363</v>
      </c>
    </row>
    <row r="63" spans="1:4" x14ac:dyDescent="0.2">
      <c r="A63" s="5">
        <v>18.88</v>
      </c>
      <c r="B63" s="2">
        <v>20900</v>
      </c>
      <c r="C63" s="2">
        <v>1106.9915000000001</v>
      </c>
      <c r="D63" s="2">
        <v>22363</v>
      </c>
    </row>
    <row r="64" spans="1:4" x14ac:dyDescent="0.2">
      <c r="A64" s="5">
        <v>19.04</v>
      </c>
      <c r="B64" s="2">
        <v>21000</v>
      </c>
      <c r="C64" s="2">
        <v>1102.9411</v>
      </c>
      <c r="D64" s="2">
        <v>22470</v>
      </c>
    </row>
    <row r="65" spans="1:4" x14ac:dyDescent="0.2">
      <c r="A65" s="4" t="s">
        <v>26</v>
      </c>
      <c r="B65" s="2">
        <v>8773.6842105263149</v>
      </c>
      <c r="C65" s="2">
        <v>1242.1085789473684</v>
      </c>
      <c r="D65" s="2">
        <v>9387.8421052631584</v>
      </c>
    </row>
    <row r="66" spans="1:4" x14ac:dyDescent="0.2">
      <c r="A66" s="5">
        <v>5.04</v>
      </c>
      <c r="B66" s="2">
        <v>6300</v>
      </c>
      <c r="C66" s="2">
        <v>1250</v>
      </c>
      <c r="D66" s="2">
        <v>6741</v>
      </c>
    </row>
    <row r="67" spans="1:4" x14ac:dyDescent="0.2">
      <c r="A67" s="5">
        <v>5.25</v>
      </c>
      <c r="B67" s="2">
        <v>6800</v>
      </c>
      <c r="C67" s="2">
        <v>1295.2380000000001</v>
      </c>
      <c r="D67" s="2">
        <v>7276</v>
      </c>
    </row>
    <row r="68" spans="1:4" x14ac:dyDescent="0.2">
      <c r="A68" s="5">
        <v>5.29</v>
      </c>
      <c r="B68" s="2">
        <v>6800</v>
      </c>
      <c r="C68" s="2">
        <v>1285.4441999999999</v>
      </c>
      <c r="D68" s="2">
        <v>7276</v>
      </c>
    </row>
    <row r="69" spans="1:4" x14ac:dyDescent="0.2">
      <c r="A69" s="5">
        <v>5.52</v>
      </c>
      <c r="B69" s="2">
        <v>6900</v>
      </c>
      <c r="C69" s="2">
        <v>1250</v>
      </c>
      <c r="D69" s="2">
        <v>7383</v>
      </c>
    </row>
    <row r="70" spans="1:4" x14ac:dyDescent="0.2">
      <c r="A70" s="5">
        <v>5.78</v>
      </c>
      <c r="B70" s="2">
        <v>6900</v>
      </c>
      <c r="C70" s="2">
        <v>1193.7716</v>
      </c>
      <c r="D70" s="2">
        <v>7383</v>
      </c>
    </row>
    <row r="71" spans="1:4" x14ac:dyDescent="0.2">
      <c r="A71" s="5">
        <v>6.12</v>
      </c>
      <c r="B71" s="2">
        <v>7200</v>
      </c>
      <c r="C71" s="2">
        <v>1176.4704999999999</v>
      </c>
      <c r="D71" s="2">
        <v>7704</v>
      </c>
    </row>
    <row r="72" spans="1:4" x14ac:dyDescent="0.2">
      <c r="A72" s="5">
        <v>6.21</v>
      </c>
      <c r="B72" s="2">
        <v>7200</v>
      </c>
      <c r="C72" s="2">
        <v>1159.4202</v>
      </c>
      <c r="D72" s="2">
        <v>7704</v>
      </c>
    </row>
    <row r="73" spans="1:4" x14ac:dyDescent="0.2">
      <c r="A73" s="5">
        <v>6.24</v>
      </c>
      <c r="B73" s="2">
        <v>7200</v>
      </c>
      <c r="C73" s="2">
        <v>1153.8461</v>
      </c>
      <c r="D73" s="2">
        <v>7704</v>
      </c>
    </row>
    <row r="74" spans="1:4" x14ac:dyDescent="0.2">
      <c r="A74" s="5">
        <v>6.4</v>
      </c>
      <c r="B74" s="2">
        <v>7800</v>
      </c>
      <c r="C74" s="2">
        <v>1218.75</v>
      </c>
      <c r="D74" s="2">
        <v>8346</v>
      </c>
    </row>
    <row r="75" spans="1:4" x14ac:dyDescent="0.2">
      <c r="A75" s="5">
        <v>6.5</v>
      </c>
      <c r="B75" s="2">
        <v>7800</v>
      </c>
      <c r="C75" s="2">
        <v>1200</v>
      </c>
      <c r="D75" s="2">
        <v>8346</v>
      </c>
    </row>
    <row r="76" spans="1:4" x14ac:dyDescent="0.2">
      <c r="A76" s="5">
        <v>6.51</v>
      </c>
      <c r="B76" s="2">
        <v>7800</v>
      </c>
      <c r="C76" s="2">
        <v>1198.1566</v>
      </c>
      <c r="D76" s="2">
        <v>8346</v>
      </c>
    </row>
    <row r="77" spans="1:4" x14ac:dyDescent="0.2">
      <c r="A77" s="5">
        <v>6.72</v>
      </c>
      <c r="B77" s="2">
        <v>8000</v>
      </c>
      <c r="C77" s="2">
        <v>1190.4761000000001</v>
      </c>
      <c r="D77" s="2">
        <v>8560</v>
      </c>
    </row>
    <row r="78" spans="1:4" x14ac:dyDescent="0.2">
      <c r="A78" s="5">
        <v>7.2</v>
      </c>
      <c r="B78" s="2">
        <v>8300</v>
      </c>
      <c r="C78" s="2">
        <v>1152.7777000000001</v>
      </c>
      <c r="D78" s="2">
        <v>8881</v>
      </c>
    </row>
    <row r="79" spans="1:4" x14ac:dyDescent="0.2">
      <c r="A79" s="5">
        <v>9.1999999999999993</v>
      </c>
      <c r="B79" s="2">
        <v>12000</v>
      </c>
      <c r="C79" s="2">
        <v>1304.3478</v>
      </c>
      <c r="D79" s="2">
        <v>12840</v>
      </c>
    </row>
    <row r="80" spans="1:4" x14ac:dyDescent="0.2">
      <c r="A80" s="5">
        <v>9.24</v>
      </c>
      <c r="B80" s="2">
        <v>12000</v>
      </c>
      <c r="C80" s="2">
        <v>1298.7012</v>
      </c>
      <c r="D80" s="2">
        <v>12840</v>
      </c>
    </row>
    <row r="81" spans="1:4" x14ac:dyDescent="0.2">
      <c r="A81" s="5">
        <v>9.68</v>
      </c>
      <c r="B81" s="2">
        <v>12700</v>
      </c>
      <c r="C81" s="2">
        <v>1311.9834000000001</v>
      </c>
      <c r="D81" s="2">
        <v>13589</v>
      </c>
    </row>
    <row r="82" spans="1:4" x14ac:dyDescent="0.2">
      <c r="A82" s="5">
        <v>10.4</v>
      </c>
      <c r="B82" s="2">
        <v>14600</v>
      </c>
      <c r="C82" s="2">
        <v>1403.8461</v>
      </c>
      <c r="D82" s="2">
        <v>15622</v>
      </c>
    </row>
    <row r="83" spans="1:4" x14ac:dyDescent="0.2">
      <c r="A83" s="5">
        <v>10.78</v>
      </c>
      <c r="B83" s="2">
        <v>13600</v>
      </c>
      <c r="C83" s="2">
        <v>1261.5954999999999</v>
      </c>
      <c r="D83" s="2">
        <v>14552</v>
      </c>
    </row>
    <row r="84" spans="1:4" x14ac:dyDescent="0.2">
      <c r="A84" s="4" t="s">
        <v>27</v>
      </c>
      <c r="B84" s="2">
        <v>4452.173913043478</v>
      </c>
      <c r="C84" s="2">
        <v>1256.9523391304347</v>
      </c>
      <c r="D84" s="2">
        <v>4763.826086956522</v>
      </c>
    </row>
    <row r="85" spans="1:4" x14ac:dyDescent="0.2">
      <c r="A85" s="5">
        <v>2.56</v>
      </c>
      <c r="B85" s="2">
        <v>3500</v>
      </c>
      <c r="C85" s="2">
        <v>1367.1875</v>
      </c>
      <c r="D85" s="2">
        <v>3745</v>
      </c>
    </row>
    <row r="86" spans="1:4" x14ac:dyDescent="0.2">
      <c r="A86" s="5">
        <v>2.72</v>
      </c>
      <c r="B86" s="2">
        <v>3500</v>
      </c>
      <c r="C86" s="2">
        <v>1286.7646999999999</v>
      </c>
      <c r="D86" s="2">
        <v>3745</v>
      </c>
    </row>
    <row r="87" spans="1:4" x14ac:dyDescent="0.2">
      <c r="A87" s="5">
        <v>2.73</v>
      </c>
      <c r="B87" s="2">
        <v>3500</v>
      </c>
      <c r="C87" s="2">
        <v>1282.0512000000001</v>
      </c>
      <c r="D87" s="2">
        <v>3745</v>
      </c>
    </row>
    <row r="88" spans="1:4" x14ac:dyDescent="0.2">
      <c r="A88" s="5">
        <v>2.76</v>
      </c>
      <c r="B88" s="2">
        <v>3500</v>
      </c>
      <c r="C88" s="2">
        <v>1268.1159</v>
      </c>
      <c r="D88" s="2">
        <v>3745</v>
      </c>
    </row>
    <row r="89" spans="1:4" x14ac:dyDescent="0.2">
      <c r="A89" s="5">
        <v>2.85</v>
      </c>
      <c r="B89" s="2">
        <v>3800</v>
      </c>
      <c r="C89" s="2">
        <v>1333.3333</v>
      </c>
      <c r="D89" s="2">
        <v>4066</v>
      </c>
    </row>
    <row r="90" spans="1:4" x14ac:dyDescent="0.2">
      <c r="A90" s="5">
        <v>2.88</v>
      </c>
      <c r="B90" s="2">
        <v>3800</v>
      </c>
      <c r="C90" s="2">
        <v>1319.4444000000001</v>
      </c>
      <c r="D90" s="2">
        <v>4066</v>
      </c>
    </row>
    <row r="91" spans="1:4" x14ac:dyDescent="0.2">
      <c r="A91" s="5">
        <v>3</v>
      </c>
      <c r="B91" s="2">
        <v>3800</v>
      </c>
      <c r="C91" s="2">
        <v>1266.6666</v>
      </c>
      <c r="D91" s="2">
        <v>4066</v>
      </c>
    </row>
    <row r="92" spans="1:4" x14ac:dyDescent="0.2">
      <c r="A92" s="5">
        <v>3.04</v>
      </c>
      <c r="B92" s="2">
        <v>3800</v>
      </c>
      <c r="C92" s="2">
        <v>1250</v>
      </c>
      <c r="D92" s="2">
        <v>4066</v>
      </c>
    </row>
    <row r="93" spans="1:4" x14ac:dyDescent="0.2">
      <c r="A93" s="5">
        <v>3.06</v>
      </c>
      <c r="B93" s="2">
        <v>3800</v>
      </c>
      <c r="C93" s="2">
        <v>1241.83</v>
      </c>
      <c r="D93" s="2">
        <v>4066</v>
      </c>
    </row>
    <row r="94" spans="1:4" x14ac:dyDescent="0.2">
      <c r="A94" s="5">
        <v>3.3</v>
      </c>
      <c r="B94" s="2">
        <v>3800</v>
      </c>
      <c r="C94" s="2">
        <v>1151.5151000000001</v>
      </c>
      <c r="D94" s="2">
        <v>4066</v>
      </c>
    </row>
    <row r="95" spans="1:4" x14ac:dyDescent="0.2">
      <c r="A95" s="5">
        <v>3.45</v>
      </c>
      <c r="B95" s="2">
        <v>4000</v>
      </c>
      <c r="C95" s="2">
        <v>1159.4202</v>
      </c>
      <c r="D95" s="2">
        <v>4280</v>
      </c>
    </row>
    <row r="96" spans="1:4" x14ac:dyDescent="0.2">
      <c r="A96" s="5">
        <v>3.5</v>
      </c>
      <c r="B96" s="2">
        <v>4000</v>
      </c>
      <c r="C96" s="2">
        <v>1142.8570999999999</v>
      </c>
      <c r="D96" s="2">
        <v>4280</v>
      </c>
    </row>
    <row r="97" spans="1:4" x14ac:dyDescent="0.2">
      <c r="A97" s="5">
        <v>3.51</v>
      </c>
      <c r="B97" s="2">
        <v>4000</v>
      </c>
      <c r="C97" s="2">
        <v>1139.6011000000001</v>
      </c>
      <c r="D97" s="2">
        <v>4280</v>
      </c>
    </row>
    <row r="98" spans="1:4" x14ac:dyDescent="0.2">
      <c r="A98" s="5">
        <v>3.52</v>
      </c>
      <c r="B98" s="2">
        <v>4000</v>
      </c>
      <c r="C98" s="2">
        <v>1136.3635999999999</v>
      </c>
      <c r="D98" s="2">
        <v>4280</v>
      </c>
    </row>
    <row r="99" spans="1:4" x14ac:dyDescent="0.2">
      <c r="A99" s="5">
        <v>3.57</v>
      </c>
      <c r="B99" s="2">
        <v>4000</v>
      </c>
      <c r="C99" s="2">
        <v>1120.4481000000001</v>
      </c>
      <c r="D99" s="2">
        <v>4280</v>
      </c>
    </row>
    <row r="100" spans="1:4" x14ac:dyDescent="0.2">
      <c r="A100" s="5">
        <v>3.74</v>
      </c>
      <c r="B100" s="2">
        <v>4500</v>
      </c>
      <c r="C100" s="2">
        <v>1203.2085</v>
      </c>
      <c r="D100" s="2">
        <v>4815</v>
      </c>
    </row>
    <row r="101" spans="1:4" x14ac:dyDescent="0.2">
      <c r="A101" s="5">
        <v>3.78</v>
      </c>
      <c r="B101" s="2">
        <v>4500</v>
      </c>
      <c r="C101" s="2">
        <v>1190.4761000000001</v>
      </c>
      <c r="D101" s="2">
        <v>4815</v>
      </c>
    </row>
    <row r="102" spans="1:4" x14ac:dyDescent="0.2">
      <c r="A102" s="5">
        <v>4.32</v>
      </c>
      <c r="B102" s="2">
        <v>6000</v>
      </c>
      <c r="C102" s="2">
        <v>1388.8887999999999</v>
      </c>
      <c r="D102" s="2">
        <v>6420</v>
      </c>
    </row>
    <row r="103" spans="1:4" x14ac:dyDescent="0.2">
      <c r="A103" s="5">
        <v>4.4000000000000004</v>
      </c>
      <c r="B103" s="2">
        <v>6000</v>
      </c>
      <c r="C103" s="2">
        <v>1363.6362999999999</v>
      </c>
      <c r="D103" s="2">
        <v>6420</v>
      </c>
    </row>
    <row r="104" spans="1:4" x14ac:dyDescent="0.2">
      <c r="A104" s="5">
        <v>4.5</v>
      </c>
      <c r="B104" s="2">
        <v>6100</v>
      </c>
      <c r="C104" s="2">
        <v>1355.5554999999999</v>
      </c>
      <c r="D104" s="2">
        <v>6527</v>
      </c>
    </row>
    <row r="105" spans="1:4" x14ac:dyDescent="0.2">
      <c r="A105" s="5">
        <v>4.5999999999999996</v>
      </c>
      <c r="B105" s="2">
        <v>6100</v>
      </c>
      <c r="C105" s="2">
        <v>1326.0869</v>
      </c>
      <c r="D105" s="2">
        <v>6527</v>
      </c>
    </row>
    <row r="106" spans="1:4" x14ac:dyDescent="0.2">
      <c r="A106" s="5">
        <v>4.68</v>
      </c>
      <c r="B106" s="2">
        <v>6200</v>
      </c>
      <c r="C106" s="2">
        <v>1324.7863</v>
      </c>
      <c r="D106" s="2">
        <v>6634</v>
      </c>
    </row>
    <row r="107" spans="1:4" x14ac:dyDescent="0.2">
      <c r="A107" s="5">
        <v>4.8</v>
      </c>
      <c r="B107" s="2">
        <v>6200</v>
      </c>
      <c r="C107" s="2">
        <v>1291.6666</v>
      </c>
      <c r="D107" s="2">
        <v>6634</v>
      </c>
    </row>
    <row r="108" spans="1:4" x14ac:dyDescent="0.2">
      <c r="A108" s="4" t="s">
        <v>28</v>
      </c>
      <c r="B108" s="2">
        <v>27700</v>
      </c>
      <c r="C108" s="2">
        <v>1145.3021749999998</v>
      </c>
      <c r="D108" s="2">
        <v>29639</v>
      </c>
    </row>
    <row r="109" spans="1:4" x14ac:dyDescent="0.2">
      <c r="A109" s="5">
        <v>20.68</v>
      </c>
      <c r="B109" s="2">
        <v>23700</v>
      </c>
      <c r="C109" s="2">
        <v>1146.0347999999999</v>
      </c>
      <c r="D109" s="2">
        <v>25359</v>
      </c>
    </row>
    <row r="110" spans="1:4" x14ac:dyDescent="0.2">
      <c r="A110" s="5">
        <v>22.4</v>
      </c>
      <c r="B110" s="2">
        <v>25600</v>
      </c>
      <c r="C110" s="2">
        <v>1142.8570999999999</v>
      </c>
      <c r="D110" s="2">
        <v>27392</v>
      </c>
    </row>
    <row r="111" spans="1:4" x14ac:dyDescent="0.2">
      <c r="A111" s="5">
        <v>24.85</v>
      </c>
      <c r="B111" s="2">
        <v>28500</v>
      </c>
      <c r="C111" s="2">
        <v>1146.8812</v>
      </c>
      <c r="D111" s="2">
        <v>30495</v>
      </c>
    </row>
    <row r="112" spans="1:4" x14ac:dyDescent="0.2">
      <c r="A112" s="5">
        <v>28.81</v>
      </c>
      <c r="B112" s="2">
        <v>33000</v>
      </c>
      <c r="C112" s="2">
        <v>1145.4356</v>
      </c>
      <c r="D112" s="2">
        <v>35310</v>
      </c>
    </row>
    <row r="113" spans="1:4" x14ac:dyDescent="0.2">
      <c r="A113" s="4" t="s">
        <v>29</v>
      </c>
      <c r="B113" s="2">
        <v>2566.6666666666665</v>
      </c>
      <c r="C113" s="2">
        <v>1308.481688888889</v>
      </c>
      <c r="D113" s="2">
        <v>2746.3333333333335</v>
      </c>
    </row>
    <row r="114" spans="1:4" x14ac:dyDescent="0.2">
      <c r="A114" s="5">
        <v>1.5</v>
      </c>
      <c r="B114" s="2">
        <v>2100</v>
      </c>
      <c r="C114" s="2">
        <v>1400</v>
      </c>
      <c r="D114" s="2">
        <v>2247</v>
      </c>
    </row>
    <row r="115" spans="1:4" x14ac:dyDescent="0.2">
      <c r="A115" s="5">
        <v>1.56</v>
      </c>
      <c r="B115" s="2">
        <v>2200</v>
      </c>
      <c r="C115" s="2">
        <v>1410.2564</v>
      </c>
      <c r="D115" s="2">
        <v>2354</v>
      </c>
    </row>
    <row r="116" spans="1:4" x14ac:dyDescent="0.2">
      <c r="A116" s="5">
        <v>1.6</v>
      </c>
      <c r="B116" s="2">
        <v>2200</v>
      </c>
      <c r="C116" s="2">
        <v>1375</v>
      </c>
      <c r="D116" s="2">
        <v>2354</v>
      </c>
    </row>
    <row r="117" spans="1:4" x14ac:dyDescent="0.2">
      <c r="A117" s="5">
        <v>1.8</v>
      </c>
      <c r="B117" s="2">
        <v>2300</v>
      </c>
      <c r="C117" s="2">
        <v>1277.7777000000001</v>
      </c>
      <c r="D117" s="2">
        <v>2461</v>
      </c>
    </row>
    <row r="118" spans="1:4" x14ac:dyDescent="0.2">
      <c r="A118" s="5">
        <v>1.92</v>
      </c>
      <c r="B118" s="2">
        <v>2300</v>
      </c>
      <c r="C118" s="2">
        <v>1197.9166</v>
      </c>
      <c r="D118" s="2">
        <v>2461</v>
      </c>
    </row>
    <row r="119" spans="1:4" x14ac:dyDescent="0.2">
      <c r="A119" s="5">
        <v>2.25</v>
      </c>
      <c r="B119" s="2">
        <v>3000</v>
      </c>
      <c r="C119" s="2">
        <v>1333.3333</v>
      </c>
      <c r="D119" s="2">
        <v>3210</v>
      </c>
    </row>
    <row r="120" spans="1:4" x14ac:dyDescent="0.2">
      <c r="A120" s="5">
        <v>2.34</v>
      </c>
      <c r="B120" s="2">
        <v>3000</v>
      </c>
      <c r="C120" s="2">
        <v>1282.0512000000001</v>
      </c>
      <c r="D120" s="2">
        <v>3210</v>
      </c>
    </row>
    <row r="121" spans="1:4" x14ac:dyDescent="0.2">
      <c r="A121" s="5">
        <v>2.4</v>
      </c>
      <c r="B121" s="2">
        <v>3000</v>
      </c>
      <c r="C121" s="2">
        <v>1250</v>
      </c>
      <c r="D121" s="2">
        <v>3210</v>
      </c>
    </row>
    <row r="122" spans="1:4" x14ac:dyDescent="0.2">
      <c r="A122" s="4" t="s">
        <v>30</v>
      </c>
      <c r="B122" s="2">
        <v>39333.333333333336</v>
      </c>
      <c r="C122" s="2">
        <v>1037.7382</v>
      </c>
      <c r="D122" s="2">
        <v>42086.666666666664</v>
      </c>
    </row>
    <row r="123" spans="1:4" x14ac:dyDescent="0.2">
      <c r="A123" s="5">
        <v>35.26</v>
      </c>
      <c r="B123" s="2">
        <v>36500</v>
      </c>
      <c r="C123" s="2">
        <v>1035.1673000000001</v>
      </c>
      <c r="D123" s="2">
        <v>39055</v>
      </c>
    </row>
    <row r="124" spans="1:4" x14ac:dyDescent="0.2">
      <c r="A124" s="5">
        <v>36.26</v>
      </c>
      <c r="B124" s="2">
        <v>36500</v>
      </c>
      <c r="C124" s="2">
        <v>1006.6188</v>
      </c>
      <c r="D124" s="2">
        <v>39055</v>
      </c>
    </row>
    <row r="125" spans="1:4" x14ac:dyDescent="0.2">
      <c r="A125" s="5">
        <v>42</v>
      </c>
      <c r="B125" s="2">
        <v>45000</v>
      </c>
      <c r="C125" s="2">
        <v>1071.4285</v>
      </c>
      <c r="D125" s="2">
        <v>48150</v>
      </c>
    </row>
    <row r="126" spans="1:4" x14ac:dyDescent="0.2">
      <c r="A126" s="4" t="s">
        <v>31</v>
      </c>
      <c r="B126" s="2">
        <v>2050</v>
      </c>
      <c r="C126" s="2">
        <v>1423.61105</v>
      </c>
      <c r="D126" s="2">
        <v>2193.5</v>
      </c>
    </row>
    <row r="127" spans="1:4" x14ac:dyDescent="0.2">
      <c r="A127" s="5">
        <v>1.44</v>
      </c>
      <c r="B127" s="2">
        <v>2050</v>
      </c>
      <c r="C127" s="2">
        <v>1423.61105</v>
      </c>
      <c r="D127" s="2">
        <v>2193.5</v>
      </c>
    </row>
    <row r="128" spans="1:4" x14ac:dyDescent="0.2">
      <c r="A128" s="4" t="s">
        <v>15</v>
      </c>
      <c r="B128" s="2">
        <v>8087.5931355932198</v>
      </c>
      <c r="C128" s="2">
        <v>1222.1096652542365</v>
      </c>
      <c r="D128" s="2">
        <v>8653.7246550847467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6FCB-1429-4D56-9564-207B3AD5FEEA}">
  <dimension ref="A1:D76"/>
  <sheetViews>
    <sheetView workbookViewId="0">
      <pane ySplit="3" topLeftCell="A31" activePane="bottomLeft" state="frozen"/>
      <selection pane="bottomLeft" activeCell="A39" sqref="A39"/>
    </sheetView>
  </sheetViews>
  <sheetFormatPr baseColWidth="10" defaultColWidth="8.83203125" defaultRowHeight="15" x14ac:dyDescent="0.2"/>
  <cols>
    <col min="1" max="1" width="21.83203125" style="7" bestFit="1" customWidth="1"/>
    <col min="2" max="2" width="22.6640625" style="2" bestFit="1" customWidth="1"/>
    <col min="3" max="3" width="22.83203125" style="2" bestFit="1" customWidth="1"/>
    <col min="4" max="4" width="27.33203125" style="2" bestFit="1" customWidth="1"/>
    <col min="5" max="5" width="23.83203125" bestFit="1" customWidth="1"/>
  </cols>
  <sheetData>
    <row r="1" spans="1:4" x14ac:dyDescent="0.2">
      <c r="A1" s="6" t="s">
        <v>32</v>
      </c>
    </row>
    <row r="3" spans="1:4" x14ac:dyDescent="0.2">
      <c r="A3" s="43" t="s">
        <v>1</v>
      </c>
      <c r="B3" s="2" t="s">
        <v>2</v>
      </c>
      <c r="C3" s="2" t="s">
        <v>4</v>
      </c>
      <c r="D3" s="2" t="s">
        <v>3</v>
      </c>
    </row>
    <row r="4" spans="1:4" x14ac:dyDescent="0.2">
      <c r="A4" s="8" t="s">
        <v>33</v>
      </c>
      <c r="B4" s="2">
        <v>567.48</v>
      </c>
      <c r="C4" s="2">
        <v>607.20360000000005</v>
      </c>
      <c r="D4" s="2">
        <v>630.53330000000005</v>
      </c>
    </row>
    <row r="5" spans="1:4" x14ac:dyDescent="0.2">
      <c r="A5" s="9">
        <v>0.9</v>
      </c>
      <c r="B5" s="2">
        <v>567.48</v>
      </c>
      <c r="C5" s="2">
        <v>607.20360000000005</v>
      </c>
      <c r="D5" s="2">
        <v>630.53330000000005</v>
      </c>
    </row>
    <row r="6" spans="1:4" x14ac:dyDescent="0.2">
      <c r="A6" s="8" t="s">
        <v>34</v>
      </c>
      <c r="B6" s="2">
        <v>474.02</v>
      </c>
      <c r="C6" s="2">
        <v>507.20139999999998</v>
      </c>
      <c r="D6" s="2">
        <v>526.68880000000001</v>
      </c>
    </row>
    <row r="7" spans="1:4" x14ac:dyDescent="0.2">
      <c r="A7" s="9">
        <v>0.9</v>
      </c>
      <c r="B7" s="2">
        <v>474.02</v>
      </c>
      <c r="C7" s="2">
        <v>507.20139999999998</v>
      </c>
      <c r="D7" s="2">
        <v>526.68880000000001</v>
      </c>
    </row>
    <row r="8" spans="1:4" x14ac:dyDescent="0.2">
      <c r="A8" s="8" t="s">
        <v>35</v>
      </c>
      <c r="B8" s="2">
        <v>0</v>
      </c>
      <c r="C8" s="2">
        <v>0</v>
      </c>
      <c r="D8" s="2">
        <v>0</v>
      </c>
    </row>
    <row r="9" spans="1:4" x14ac:dyDescent="0.2">
      <c r="A9" s="9">
        <v>0</v>
      </c>
      <c r="B9" s="2">
        <v>0</v>
      </c>
      <c r="C9" s="2">
        <v>0</v>
      </c>
      <c r="D9" s="2">
        <v>0</v>
      </c>
    </row>
    <row r="10" spans="1:4" x14ac:dyDescent="0.2">
      <c r="A10" s="8" t="s">
        <v>25</v>
      </c>
      <c r="B10" s="2">
        <v>16688.888888888891</v>
      </c>
      <c r="C10" s="2">
        <v>17857.111111111109</v>
      </c>
      <c r="D10" s="2">
        <v>1105.5971333333334</v>
      </c>
    </row>
    <row r="11" spans="1:4" x14ac:dyDescent="0.2">
      <c r="A11" s="9">
        <v>12.42</v>
      </c>
      <c r="B11" s="2">
        <v>14200</v>
      </c>
      <c r="C11" s="2">
        <v>15194</v>
      </c>
      <c r="D11" s="2">
        <v>1143.3172</v>
      </c>
    </row>
    <row r="12" spans="1:4" x14ac:dyDescent="0.2">
      <c r="A12" s="9">
        <v>12.54</v>
      </c>
      <c r="B12" s="2">
        <v>14200</v>
      </c>
      <c r="C12" s="2">
        <v>15194</v>
      </c>
      <c r="D12" s="2">
        <v>1132.3762999999999</v>
      </c>
    </row>
    <row r="13" spans="1:4" x14ac:dyDescent="0.2">
      <c r="A13" s="9">
        <v>12.69</v>
      </c>
      <c r="B13" s="2">
        <v>14200</v>
      </c>
      <c r="C13" s="2">
        <v>15194</v>
      </c>
      <c r="D13" s="2">
        <v>1118.9912999999999</v>
      </c>
    </row>
    <row r="14" spans="1:4" x14ac:dyDescent="0.2">
      <c r="A14" s="9">
        <v>13.34</v>
      </c>
      <c r="B14" s="2">
        <v>14800</v>
      </c>
      <c r="C14" s="2">
        <v>15836</v>
      </c>
      <c r="D14" s="2">
        <v>1109.4452000000001</v>
      </c>
    </row>
    <row r="15" spans="1:4" x14ac:dyDescent="0.2">
      <c r="A15" s="9">
        <v>14.79</v>
      </c>
      <c r="B15" s="2">
        <v>16000</v>
      </c>
      <c r="C15" s="2">
        <v>17120</v>
      </c>
      <c r="D15" s="2">
        <v>1081.8119999999999</v>
      </c>
    </row>
    <row r="16" spans="1:4" x14ac:dyDescent="0.2">
      <c r="A16" s="9">
        <v>16.100000000000001</v>
      </c>
      <c r="B16" s="2">
        <v>17800</v>
      </c>
      <c r="C16" s="2">
        <v>19046</v>
      </c>
      <c r="D16" s="2">
        <v>1105.5899999999999</v>
      </c>
    </row>
    <row r="17" spans="1:4" x14ac:dyDescent="0.2">
      <c r="A17" s="9">
        <v>16.2</v>
      </c>
      <c r="B17" s="2">
        <v>17800</v>
      </c>
      <c r="C17" s="2">
        <v>19046</v>
      </c>
      <c r="D17" s="2">
        <v>1098.7654</v>
      </c>
    </row>
    <row r="18" spans="1:4" x14ac:dyDescent="0.2">
      <c r="A18" s="9">
        <v>18.899999999999999</v>
      </c>
      <c r="B18" s="2">
        <v>20600</v>
      </c>
      <c r="C18" s="2">
        <v>22042</v>
      </c>
      <c r="D18" s="2">
        <v>1089.9469999999999</v>
      </c>
    </row>
    <row r="19" spans="1:4" x14ac:dyDescent="0.2">
      <c r="A19" s="9">
        <v>19.25</v>
      </c>
      <c r="B19" s="2">
        <v>20600</v>
      </c>
      <c r="C19" s="2">
        <v>22042</v>
      </c>
      <c r="D19" s="2">
        <v>1070.1297999999999</v>
      </c>
    </row>
    <row r="20" spans="1:4" x14ac:dyDescent="0.2">
      <c r="A20" s="8" t="s">
        <v>26</v>
      </c>
      <c r="B20" s="2">
        <v>7000</v>
      </c>
      <c r="C20" s="2">
        <v>7490</v>
      </c>
      <c r="D20" s="2">
        <v>1138.2112999999999</v>
      </c>
    </row>
    <row r="21" spans="1:4" x14ac:dyDescent="0.2">
      <c r="A21" s="9">
        <v>6.15</v>
      </c>
      <c r="B21" s="2">
        <v>7000</v>
      </c>
      <c r="C21" s="2">
        <v>7490</v>
      </c>
      <c r="D21" s="2">
        <v>1138.2112999999999</v>
      </c>
    </row>
    <row r="22" spans="1:4" x14ac:dyDescent="0.2">
      <c r="A22" s="8" t="s">
        <v>27</v>
      </c>
      <c r="B22" s="2">
        <v>3516.6666666666665</v>
      </c>
      <c r="C22" s="2">
        <v>3762.8333333333335</v>
      </c>
      <c r="D22" s="2">
        <v>1068.4008999999999</v>
      </c>
    </row>
    <row r="23" spans="1:4" x14ac:dyDescent="0.2">
      <c r="A23" s="9">
        <v>2.52</v>
      </c>
      <c r="B23" s="2">
        <v>2500</v>
      </c>
      <c r="C23" s="2">
        <v>2675</v>
      </c>
      <c r="D23" s="2">
        <v>992.0634</v>
      </c>
    </row>
    <row r="24" spans="1:4" x14ac:dyDescent="0.2">
      <c r="A24" s="9">
        <v>3</v>
      </c>
      <c r="B24" s="2">
        <v>3300</v>
      </c>
      <c r="C24" s="2">
        <v>3531</v>
      </c>
      <c r="D24" s="2">
        <v>1100</v>
      </c>
    </row>
    <row r="25" spans="1:4" x14ac:dyDescent="0.2">
      <c r="A25" s="9">
        <v>3.15</v>
      </c>
      <c r="B25" s="2">
        <v>3500</v>
      </c>
      <c r="C25" s="2">
        <v>3745</v>
      </c>
      <c r="D25" s="2">
        <v>1111.1111000000001</v>
      </c>
    </row>
    <row r="26" spans="1:4" x14ac:dyDescent="0.2">
      <c r="A26" s="9">
        <v>3.24</v>
      </c>
      <c r="B26" s="2">
        <v>3500</v>
      </c>
      <c r="C26" s="2">
        <v>3745</v>
      </c>
      <c r="D26" s="2">
        <v>1080.2469000000001</v>
      </c>
    </row>
    <row r="27" spans="1:4" x14ac:dyDescent="0.2">
      <c r="A27" s="9">
        <v>3.6</v>
      </c>
      <c r="B27" s="2">
        <v>3800</v>
      </c>
      <c r="C27" s="2">
        <v>4066</v>
      </c>
      <c r="D27" s="2">
        <v>1055.5554999999999</v>
      </c>
    </row>
    <row r="28" spans="1:4" x14ac:dyDescent="0.2">
      <c r="A28" s="9">
        <v>4.2</v>
      </c>
      <c r="B28" s="2">
        <v>4500</v>
      </c>
      <c r="C28" s="2">
        <v>4815</v>
      </c>
      <c r="D28" s="2">
        <v>1071.4285</v>
      </c>
    </row>
    <row r="29" spans="1:4" x14ac:dyDescent="0.2">
      <c r="A29" s="8" t="s">
        <v>29</v>
      </c>
      <c r="B29" s="2">
        <v>2050</v>
      </c>
      <c r="C29" s="2">
        <v>2193.5</v>
      </c>
      <c r="D29" s="2">
        <v>1098.0391500000001</v>
      </c>
    </row>
    <row r="30" spans="1:4" x14ac:dyDescent="0.2">
      <c r="A30" s="9">
        <v>1.7</v>
      </c>
      <c r="B30" s="2">
        <v>1900</v>
      </c>
      <c r="C30" s="2">
        <v>2033</v>
      </c>
      <c r="D30" s="2">
        <v>1117.6469999999999</v>
      </c>
    </row>
    <row r="31" spans="1:4" x14ac:dyDescent="0.2">
      <c r="A31" s="9">
        <v>2.04</v>
      </c>
      <c r="B31" s="2">
        <v>2200</v>
      </c>
      <c r="C31" s="2">
        <v>2354</v>
      </c>
      <c r="D31" s="2">
        <v>1078.4313</v>
      </c>
    </row>
    <row r="32" spans="1:4" x14ac:dyDescent="0.2">
      <c r="A32" s="8" t="s">
        <v>31</v>
      </c>
      <c r="B32" s="2">
        <v>1350</v>
      </c>
      <c r="C32" s="2">
        <v>1444.5</v>
      </c>
      <c r="D32" s="2">
        <v>1358.5858000000001</v>
      </c>
    </row>
    <row r="33" spans="1:4" x14ac:dyDescent="0.2">
      <c r="A33" s="9">
        <v>0.9</v>
      </c>
      <c r="B33" s="2">
        <v>1300</v>
      </c>
      <c r="C33" s="2">
        <v>1391</v>
      </c>
      <c r="D33" s="2">
        <v>1444.4444000000001</v>
      </c>
    </row>
    <row r="34" spans="1:4" x14ac:dyDescent="0.2">
      <c r="A34" s="9">
        <v>1.1000000000000001</v>
      </c>
      <c r="B34" s="2">
        <v>1400</v>
      </c>
      <c r="C34" s="2">
        <v>1498</v>
      </c>
      <c r="D34" s="2">
        <v>1272.7272</v>
      </c>
    </row>
    <row r="35" spans="1:4" x14ac:dyDescent="0.2">
      <c r="A35" s="8" t="s">
        <v>8</v>
      </c>
      <c r="B35" s="2">
        <v>13957.142857142857</v>
      </c>
      <c r="C35" s="2">
        <v>14934.142857142857</v>
      </c>
      <c r="D35" s="2">
        <v>912.18004285714289</v>
      </c>
    </row>
    <row r="36" spans="1:4" x14ac:dyDescent="0.2">
      <c r="A36" s="9">
        <v>11.44</v>
      </c>
      <c r="B36" s="2">
        <v>11000</v>
      </c>
      <c r="C36" s="2">
        <v>11770</v>
      </c>
      <c r="D36" s="2">
        <v>961.53840000000002</v>
      </c>
    </row>
    <row r="37" spans="1:4" x14ac:dyDescent="0.2">
      <c r="A37" s="9">
        <v>14.8</v>
      </c>
      <c r="B37" s="2">
        <v>13800</v>
      </c>
      <c r="C37" s="2">
        <v>14766</v>
      </c>
      <c r="D37" s="2">
        <v>932.43240000000003</v>
      </c>
    </row>
    <row r="38" spans="1:4" x14ac:dyDescent="0.2">
      <c r="A38" s="9">
        <v>15.12</v>
      </c>
      <c r="B38" s="2">
        <v>13800</v>
      </c>
      <c r="C38" s="2">
        <v>14766</v>
      </c>
      <c r="D38" s="2">
        <v>912.69839999999999</v>
      </c>
    </row>
    <row r="39" spans="1:4" x14ac:dyDescent="0.2">
      <c r="A39" s="9">
        <v>17.16</v>
      </c>
      <c r="B39" s="2">
        <v>15600</v>
      </c>
      <c r="C39" s="2">
        <v>16692</v>
      </c>
      <c r="D39" s="2">
        <v>909.09090000000003</v>
      </c>
    </row>
    <row r="40" spans="1:4" x14ac:dyDescent="0.2">
      <c r="A40" s="9">
        <v>18.36</v>
      </c>
      <c r="B40" s="2">
        <v>16800</v>
      </c>
      <c r="C40" s="2">
        <v>17976</v>
      </c>
      <c r="D40" s="2">
        <v>915.0326</v>
      </c>
    </row>
    <row r="41" spans="1:4" x14ac:dyDescent="0.2">
      <c r="A41" s="9">
        <v>19.8</v>
      </c>
      <c r="B41" s="2">
        <v>15700</v>
      </c>
      <c r="C41" s="2">
        <v>16799</v>
      </c>
      <c r="D41" s="2">
        <v>792.92920000000004</v>
      </c>
    </row>
    <row r="42" spans="1:4" x14ac:dyDescent="0.2">
      <c r="A42" s="8" t="s">
        <v>9</v>
      </c>
      <c r="B42" s="2">
        <v>8175</v>
      </c>
      <c r="C42" s="2">
        <v>8747.25</v>
      </c>
      <c r="D42" s="2">
        <v>925.13515000000007</v>
      </c>
    </row>
    <row r="43" spans="1:4" x14ac:dyDescent="0.2">
      <c r="A43" s="9">
        <v>5.72</v>
      </c>
      <c r="B43" s="2">
        <v>5000</v>
      </c>
      <c r="C43" s="2">
        <v>5350</v>
      </c>
      <c r="D43" s="2">
        <v>874.12580000000003</v>
      </c>
    </row>
    <row r="44" spans="1:4" x14ac:dyDescent="0.2">
      <c r="A44" s="9">
        <v>6.8</v>
      </c>
      <c r="B44" s="2">
        <v>6500</v>
      </c>
      <c r="C44" s="2">
        <v>6955</v>
      </c>
      <c r="D44" s="2">
        <v>955.88229999999999</v>
      </c>
    </row>
    <row r="45" spans="1:4" x14ac:dyDescent="0.2">
      <c r="A45" s="9">
        <v>8.4</v>
      </c>
      <c r="B45" s="2">
        <v>7200</v>
      </c>
      <c r="C45" s="2">
        <v>7704</v>
      </c>
      <c r="D45" s="2">
        <v>857.14279999999997</v>
      </c>
    </row>
    <row r="46" spans="1:4" x14ac:dyDescent="0.2">
      <c r="A46" s="9">
        <v>8.67</v>
      </c>
      <c r="B46" s="2">
        <v>7500</v>
      </c>
      <c r="C46" s="2">
        <v>8025</v>
      </c>
      <c r="D46" s="2">
        <v>865.05190000000005</v>
      </c>
    </row>
    <row r="47" spans="1:4" x14ac:dyDescent="0.2">
      <c r="A47" s="9">
        <v>9.66</v>
      </c>
      <c r="B47" s="2">
        <v>9600</v>
      </c>
      <c r="C47" s="2">
        <v>10272</v>
      </c>
      <c r="D47" s="2">
        <v>993.78880000000004</v>
      </c>
    </row>
    <row r="48" spans="1:4" x14ac:dyDescent="0.2">
      <c r="A48" s="9">
        <v>10.119999999999999</v>
      </c>
      <c r="B48" s="2">
        <v>9800</v>
      </c>
      <c r="C48" s="2">
        <v>10486</v>
      </c>
      <c r="D48" s="2">
        <v>968.37940000000003</v>
      </c>
    </row>
    <row r="49" spans="1:4" x14ac:dyDescent="0.2">
      <c r="A49" s="9">
        <v>10.199999999999999</v>
      </c>
      <c r="B49" s="2">
        <v>9800</v>
      </c>
      <c r="C49" s="2">
        <v>10486</v>
      </c>
      <c r="D49" s="2">
        <v>960.78430000000003</v>
      </c>
    </row>
    <row r="50" spans="1:4" x14ac:dyDescent="0.2">
      <c r="A50" s="9">
        <v>10.8</v>
      </c>
      <c r="B50" s="2">
        <v>10000</v>
      </c>
      <c r="C50" s="2">
        <v>10700</v>
      </c>
      <c r="D50" s="2">
        <v>925.92589999999996</v>
      </c>
    </row>
    <row r="51" spans="1:4" x14ac:dyDescent="0.2">
      <c r="A51" s="8" t="s">
        <v>10</v>
      </c>
      <c r="B51" s="2">
        <v>3511.1111111111113</v>
      </c>
      <c r="C51" s="2">
        <v>3756.8888888888887</v>
      </c>
      <c r="D51" s="2">
        <v>922.35662222222209</v>
      </c>
    </row>
    <row r="52" spans="1:4" x14ac:dyDescent="0.2">
      <c r="A52" s="9">
        <v>2.86</v>
      </c>
      <c r="B52" s="2">
        <v>2500</v>
      </c>
      <c r="C52" s="2">
        <v>2675</v>
      </c>
      <c r="D52" s="2">
        <v>874.12580000000003</v>
      </c>
    </row>
    <row r="53" spans="1:4" x14ac:dyDescent="0.2">
      <c r="A53" s="9">
        <v>3</v>
      </c>
      <c r="B53" s="2">
        <v>2600</v>
      </c>
      <c r="C53" s="2">
        <v>2782</v>
      </c>
      <c r="D53" s="2">
        <v>866.66660000000002</v>
      </c>
    </row>
    <row r="54" spans="1:4" x14ac:dyDescent="0.2">
      <c r="A54" s="9">
        <v>3.52</v>
      </c>
      <c r="B54" s="2">
        <v>3000</v>
      </c>
      <c r="C54" s="2">
        <v>3210</v>
      </c>
      <c r="D54" s="2">
        <v>852.27269999999999</v>
      </c>
    </row>
    <row r="55" spans="1:4" x14ac:dyDescent="0.2">
      <c r="A55" s="9">
        <v>4.2</v>
      </c>
      <c r="B55" s="2">
        <v>4200</v>
      </c>
      <c r="C55" s="2">
        <v>4494</v>
      </c>
      <c r="D55" s="2">
        <v>1000</v>
      </c>
    </row>
    <row r="56" spans="1:4" x14ac:dyDescent="0.2">
      <c r="A56" s="9">
        <v>4.29</v>
      </c>
      <c r="B56" s="2">
        <v>4200</v>
      </c>
      <c r="C56" s="2">
        <v>4494</v>
      </c>
      <c r="D56" s="2">
        <v>979.02089999999998</v>
      </c>
    </row>
    <row r="57" spans="1:4" x14ac:dyDescent="0.2">
      <c r="A57" s="9">
        <v>4.4000000000000004</v>
      </c>
      <c r="B57" s="2">
        <v>4200</v>
      </c>
      <c r="C57" s="2">
        <v>4494</v>
      </c>
      <c r="D57" s="2">
        <v>954.54539999999997</v>
      </c>
    </row>
    <row r="58" spans="1:4" x14ac:dyDescent="0.2">
      <c r="A58" s="9">
        <v>4.42</v>
      </c>
      <c r="B58" s="2">
        <v>4200</v>
      </c>
      <c r="C58" s="2">
        <v>4494</v>
      </c>
      <c r="D58" s="2">
        <v>950.22619999999995</v>
      </c>
    </row>
    <row r="59" spans="1:4" x14ac:dyDescent="0.2">
      <c r="A59" s="8" t="s">
        <v>11</v>
      </c>
      <c r="B59" s="2">
        <v>22900</v>
      </c>
      <c r="C59" s="2">
        <v>24503</v>
      </c>
      <c r="D59" s="2">
        <v>925.80435</v>
      </c>
    </row>
    <row r="60" spans="1:4" x14ac:dyDescent="0.2">
      <c r="A60" s="9">
        <v>20.7</v>
      </c>
      <c r="B60" s="2">
        <v>18800</v>
      </c>
      <c r="C60" s="2">
        <v>20116</v>
      </c>
      <c r="D60" s="2">
        <v>908.21249999999998</v>
      </c>
    </row>
    <row r="61" spans="1:4" x14ac:dyDescent="0.2">
      <c r="A61" s="9">
        <v>28.62</v>
      </c>
      <c r="B61" s="2">
        <v>27000</v>
      </c>
      <c r="C61" s="2">
        <v>28890</v>
      </c>
      <c r="D61" s="2">
        <v>943.39620000000002</v>
      </c>
    </row>
    <row r="62" spans="1:4" x14ac:dyDescent="0.2">
      <c r="A62" s="8" t="s">
        <v>12</v>
      </c>
      <c r="B62" s="2">
        <v>1837.5</v>
      </c>
      <c r="C62" s="2">
        <v>1966.125</v>
      </c>
      <c r="D62" s="2">
        <v>1007.0620625</v>
      </c>
    </row>
    <row r="63" spans="1:4" x14ac:dyDescent="0.2">
      <c r="A63" s="9">
        <v>1.5</v>
      </c>
      <c r="B63" s="2">
        <v>1600</v>
      </c>
      <c r="C63" s="2">
        <v>1712</v>
      </c>
      <c r="D63" s="2">
        <v>1066.6666</v>
      </c>
    </row>
    <row r="64" spans="1:4" x14ac:dyDescent="0.2">
      <c r="A64" s="9">
        <v>1.54</v>
      </c>
      <c r="B64" s="2">
        <v>1600</v>
      </c>
      <c r="C64" s="2">
        <v>1712</v>
      </c>
      <c r="D64" s="2">
        <v>1038.961</v>
      </c>
    </row>
    <row r="65" spans="1:4" x14ac:dyDescent="0.2">
      <c r="A65" s="9">
        <v>1.6</v>
      </c>
      <c r="B65" s="2">
        <v>1700</v>
      </c>
      <c r="C65" s="2">
        <v>1819</v>
      </c>
      <c r="D65" s="2">
        <v>1062.5</v>
      </c>
    </row>
    <row r="66" spans="1:4" x14ac:dyDescent="0.2">
      <c r="A66" s="9">
        <v>1.7</v>
      </c>
      <c r="B66" s="2">
        <v>1800</v>
      </c>
      <c r="C66" s="2">
        <v>1926</v>
      </c>
      <c r="D66" s="2">
        <v>1058.8235</v>
      </c>
    </row>
    <row r="67" spans="1:4" x14ac:dyDescent="0.2">
      <c r="A67" s="9">
        <v>1.8</v>
      </c>
      <c r="B67" s="2">
        <v>1800</v>
      </c>
      <c r="C67" s="2">
        <v>1926</v>
      </c>
      <c r="D67" s="2">
        <v>1000</v>
      </c>
    </row>
    <row r="68" spans="1:4" x14ac:dyDescent="0.2">
      <c r="A68" s="9">
        <v>2</v>
      </c>
      <c r="B68" s="2">
        <v>2000</v>
      </c>
      <c r="C68" s="2">
        <v>2140</v>
      </c>
      <c r="D68" s="2">
        <v>1000</v>
      </c>
    </row>
    <row r="69" spans="1:4" x14ac:dyDescent="0.2">
      <c r="A69" s="9">
        <v>2.2000000000000002</v>
      </c>
      <c r="B69" s="2">
        <v>2100</v>
      </c>
      <c r="C69" s="2">
        <v>2247</v>
      </c>
      <c r="D69" s="2">
        <v>954.54539999999997</v>
      </c>
    </row>
    <row r="70" spans="1:4" x14ac:dyDescent="0.2">
      <c r="A70" s="9">
        <v>2.4</v>
      </c>
      <c r="B70" s="2">
        <v>2100</v>
      </c>
      <c r="C70" s="2">
        <v>2247</v>
      </c>
      <c r="D70" s="2">
        <v>875</v>
      </c>
    </row>
    <row r="71" spans="1:4" x14ac:dyDescent="0.2">
      <c r="A71" s="8" t="s">
        <v>14</v>
      </c>
      <c r="B71" s="2">
        <v>1370</v>
      </c>
      <c r="C71" s="2">
        <v>1465.9</v>
      </c>
      <c r="D71" s="2">
        <v>1251.0714</v>
      </c>
    </row>
    <row r="72" spans="1:4" x14ac:dyDescent="0.2">
      <c r="A72" s="9">
        <v>0.8</v>
      </c>
      <c r="B72" s="2">
        <v>1250</v>
      </c>
      <c r="C72" s="2">
        <v>1337.5</v>
      </c>
      <c r="D72" s="2">
        <v>1562.5</v>
      </c>
    </row>
    <row r="73" spans="1:4" x14ac:dyDescent="0.2">
      <c r="A73" s="9">
        <v>1</v>
      </c>
      <c r="B73" s="2">
        <v>1300</v>
      </c>
      <c r="C73" s="2">
        <v>1391</v>
      </c>
      <c r="D73" s="2">
        <v>1300</v>
      </c>
    </row>
    <row r="74" spans="1:4" x14ac:dyDescent="0.2">
      <c r="A74" s="9">
        <v>1.04</v>
      </c>
      <c r="B74" s="2">
        <v>1300</v>
      </c>
      <c r="C74" s="2">
        <v>1391</v>
      </c>
      <c r="D74" s="2">
        <v>1250</v>
      </c>
    </row>
    <row r="75" spans="1:4" x14ac:dyDescent="0.2">
      <c r="A75" s="9">
        <v>1.4</v>
      </c>
      <c r="B75" s="2">
        <v>1500</v>
      </c>
      <c r="C75" s="2">
        <v>1605</v>
      </c>
      <c r="D75" s="2">
        <v>1071.4285</v>
      </c>
    </row>
    <row r="76" spans="1:4" x14ac:dyDescent="0.2">
      <c r="A76" s="8" t="s">
        <v>15</v>
      </c>
      <c r="B76" s="2">
        <v>7228.8951612903229</v>
      </c>
      <c r="C76" s="2">
        <v>7734.9178225806454</v>
      </c>
      <c r="D76" s="2">
        <v>997.10445483871001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BB0-989C-4B65-B728-3B61EC0935E9}">
  <dimension ref="A1:D78"/>
  <sheetViews>
    <sheetView workbookViewId="0">
      <pane ySplit="3" topLeftCell="A43" activePane="bottomLeft" state="frozen"/>
      <selection pane="bottomLeft" activeCell="A4" sqref="A4:B77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894.58</v>
      </c>
      <c r="C4" s="2">
        <v>894.58</v>
      </c>
      <c r="D4" s="2">
        <v>957.20060000000001</v>
      </c>
    </row>
    <row r="5" spans="1:4" x14ac:dyDescent="0.2">
      <c r="A5" s="5">
        <v>1</v>
      </c>
      <c r="B5" s="2">
        <v>894.58</v>
      </c>
      <c r="C5" s="2">
        <v>894.58</v>
      </c>
      <c r="D5" s="2">
        <v>957.20060000000001</v>
      </c>
    </row>
    <row r="6" spans="1:4" x14ac:dyDescent="0.2">
      <c r="A6" s="4" t="s">
        <v>18</v>
      </c>
      <c r="B6" s="2">
        <v>801.12</v>
      </c>
      <c r="C6" s="2">
        <v>801.12</v>
      </c>
      <c r="D6" s="2">
        <v>857.19839999999999</v>
      </c>
    </row>
    <row r="7" spans="1:4" x14ac:dyDescent="0.2">
      <c r="A7" s="5">
        <v>1</v>
      </c>
      <c r="B7" s="2">
        <v>801.12</v>
      </c>
      <c r="C7" s="2">
        <v>801.12</v>
      </c>
      <c r="D7" s="2">
        <v>857.19839999999999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25</v>
      </c>
      <c r="B10" s="2">
        <v>18100</v>
      </c>
      <c r="C10" s="2">
        <v>1246.7099142857139</v>
      </c>
      <c r="D10" s="2">
        <v>19367</v>
      </c>
    </row>
    <row r="11" spans="1:4" x14ac:dyDescent="0.2">
      <c r="A11" s="5">
        <v>11.4</v>
      </c>
      <c r="B11" s="2">
        <v>14500</v>
      </c>
      <c r="C11" s="2">
        <v>1271.9297999999999</v>
      </c>
      <c r="D11" s="2">
        <v>15515</v>
      </c>
    </row>
    <row r="12" spans="1:4" x14ac:dyDescent="0.2">
      <c r="A12" s="5">
        <v>12.35</v>
      </c>
      <c r="B12" s="2">
        <v>16400</v>
      </c>
      <c r="C12" s="2">
        <v>1327.9351999999999</v>
      </c>
      <c r="D12" s="2">
        <v>17548</v>
      </c>
    </row>
    <row r="13" spans="1:4" x14ac:dyDescent="0.2">
      <c r="A13" s="5">
        <v>12.69</v>
      </c>
      <c r="B13" s="2">
        <v>16400</v>
      </c>
      <c r="C13" s="2">
        <v>1292.3561</v>
      </c>
      <c r="D13" s="2">
        <v>17548</v>
      </c>
    </row>
    <row r="14" spans="1:4" x14ac:dyDescent="0.2">
      <c r="A14" s="5">
        <v>12.96</v>
      </c>
      <c r="B14" s="2">
        <v>16400</v>
      </c>
      <c r="C14" s="2">
        <v>1265.432</v>
      </c>
      <c r="D14" s="2">
        <v>17548</v>
      </c>
    </row>
    <row r="15" spans="1:4" x14ac:dyDescent="0.2">
      <c r="A15" s="5">
        <v>16.25</v>
      </c>
      <c r="B15" s="2">
        <v>18500</v>
      </c>
      <c r="C15" s="2">
        <v>1138.4614999999999</v>
      </c>
      <c r="D15" s="2">
        <v>19795</v>
      </c>
    </row>
    <row r="16" spans="1:4" x14ac:dyDescent="0.2">
      <c r="A16" s="5">
        <v>17.399999999999999</v>
      </c>
      <c r="B16" s="2">
        <v>21000</v>
      </c>
      <c r="C16" s="2">
        <v>1206.8965000000001</v>
      </c>
      <c r="D16" s="2">
        <v>22470</v>
      </c>
    </row>
    <row r="17" spans="1:4" x14ac:dyDescent="0.2">
      <c r="A17" s="5">
        <v>19.2</v>
      </c>
      <c r="B17" s="2">
        <v>23500</v>
      </c>
      <c r="C17" s="2">
        <v>1223.9583</v>
      </c>
      <c r="D17" s="2">
        <v>25145</v>
      </c>
    </row>
    <row r="18" spans="1:4" x14ac:dyDescent="0.2">
      <c r="A18" s="4" t="s">
        <v>26</v>
      </c>
      <c r="B18" s="2">
        <v>9335.7142857142862</v>
      </c>
      <c r="C18" s="2">
        <v>1215.704542857143</v>
      </c>
      <c r="D18" s="2">
        <v>9989.2142857142862</v>
      </c>
    </row>
    <row r="19" spans="1:4" x14ac:dyDescent="0.2">
      <c r="A19" s="5">
        <v>5.04</v>
      </c>
      <c r="B19" s="2">
        <v>6200</v>
      </c>
      <c r="C19" s="2">
        <v>1230.1587</v>
      </c>
      <c r="D19" s="2">
        <v>6634</v>
      </c>
    </row>
    <row r="20" spans="1:4" x14ac:dyDescent="0.2">
      <c r="A20" s="5">
        <v>5.51</v>
      </c>
      <c r="B20" s="2">
        <v>6500</v>
      </c>
      <c r="C20" s="2">
        <v>1179.6732999999999</v>
      </c>
      <c r="D20" s="2">
        <v>6955</v>
      </c>
    </row>
    <row r="21" spans="1:4" x14ac:dyDescent="0.2">
      <c r="A21" s="5">
        <v>6.12</v>
      </c>
      <c r="B21" s="2">
        <v>7200</v>
      </c>
      <c r="C21" s="2">
        <v>1176.4704999999999</v>
      </c>
      <c r="D21" s="2">
        <v>7704</v>
      </c>
    </row>
    <row r="22" spans="1:4" x14ac:dyDescent="0.2">
      <c r="A22" s="5">
        <v>6.58</v>
      </c>
      <c r="B22" s="2">
        <v>8000</v>
      </c>
      <c r="C22" s="2">
        <v>1215.8054</v>
      </c>
      <c r="D22" s="2">
        <v>8560</v>
      </c>
    </row>
    <row r="23" spans="1:4" x14ac:dyDescent="0.2">
      <c r="A23" s="5">
        <v>7.05</v>
      </c>
      <c r="B23" s="2">
        <v>8300</v>
      </c>
      <c r="C23" s="2">
        <v>1177.3049000000001</v>
      </c>
      <c r="D23" s="2">
        <v>8881</v>
      </c>
    </row>
    <row r="24" spans="1:4" x14ac:dyDescent="0.2">
      <c r="A24" s="5">
        <v>7.65</v>
      </c>
      <c r="B24" s="2">
        <v>9100</v>
      </c>
      <c r="C24" s="2">
        <v>1189.5424</v>
      </c>
      <c r="D24" s="2">
        <v>9737</v>
      </c>
    </row>
    <row r="25" spans="1:4" x14ac:dyDescent="0.2">
      <c r="A25" s="5">
        <v>7.83</v>
      </c>
      <c r="B25" s="2">
        <v>9400</v>
      </c>
      <c r="C25" s="2">
        <v>1200.5108</v>
      </c>
      <c r="D25" s="2">
        <v>10058</v>
      </c>
    </row>
    <row r="26" spans="1:4" x14ac:dyDescent="0.2">
      <c r="A26" s="5">
        <v>7.99</v>
      </c>
      <c r="B26" s="2">
        <v>9900</v>
      </c>
      <c r="C26" s="2">
        <v>1239.0488</v>
      </c>
      <c r="D26" s="2">
        <v>10593</v>
      </c>
    </row>
    <row r="27" spans="1:4" x14ac:dyDescent="0.2">
      <c r="A27" s="5">
        <v>8.0500000000000007</v>
      </c>
      <c r="B27" s="2">
        <v>9900</v>
      </c>
      <c r="C27" s="2">
        <v>1229.8136</v>
      </c>
      <c r="D27" s="2">
        <v>10593</v>
      </c>
    </row>
    <row r="28" spans="1:4" x14ac:dyDescent="0.2">
      <c r="A28" s="5">
        <v>8.4</v>
      </c>
      <c r="B28" s="2">
        <v>10100</v>
      </c>
      <c r="C28" s="2">
        <v>1202.3809000000001</v>
      </c>
      <c r="D28" s="2">
        <v>10807</v>
      </c>
    </row>
    <row r="29" spans="1:4" x14ac:dyDescent="0.2">
      <c r="A29" s="5">
        <v>8.6999999999999993</v>
      </c>
      <c r="B29" s="2">
        <v>10700</v>
      </c>
      <c r="C29" s="2">
        <v>1229.885</v>
      </c>
      <c r="D29" s="2">
        <v>11449</v>
      </c>
    </row>
    <row r="30" spans="1:4" x14ac:dyDescent="0.2">
      <c r="A30" s="5">
        <v>8.99</v>
      </c>
      <c r="B30" s="2">
        <v>11000</v>
      </c>
      <c r="C30" s="2">
        <v>1223.5817</v>
      </c>
      <c r="D30" s="2">
        <v>11770</v>
      </c>
    </row>
    <row r="31" spans="1:4" x14ac:dyDescent="0.2">
      <c r="A31" s="5">
        <v>9.4499999999999993</v>
      </c>
      <c r="B31" s="2">
        <v>11600</v>
      </c>
      <c r="C31" s="2">
        <v>1227.5132000000001</v>
      </c>
      <c r="D31" s="2">
        <v>12412</v>
      </c>
    </row>
    <row r="32" spans="1:4" x14ac:dyDescent="0.2">
      <c r="A32" s="5">
        <v>9.86</v>
      </c>
      <c r="B32" s="2">
        <v>12800</v>
      </c>
      <c r="C32" s="2">
        <v>1298.1744000000001</v>
      </c>
      <c r="D32" s="2">
        <v>13696</v>
      </c>
    </row>
    <row r="33" spans="1:4" x14ac:dyDescent="0.2">
      <c r="A33" s="4" t="s">
        <v>27</v>
      </c>
      <c r="B33" s="2">
        <v>4592.8571428571431</v>
      </c>
      <c r="C33" s="2">
        <v>1237.1522285714286</v>
      </c>
      <c r="D33" s="2">
        <v>4914.3571428571431</v>
      </c>
    </row>
    <row r="34" spans="1:4" x14ac:dyDescent="0.2">
      <c r="A34" s="5">
        <v>2.9</v>
      </c>
      <c r="B34" s="2">
        <v>3500</v>
      </c>
      <c r="C34" s="2">
        <v>1206.8965000000001</v>
      </c>
      <c r="D34" s="2">
        <v>3745</v>
      </c>
    </row>
    <row r="35" spans="1:4" x14ac:dyDescent="0.2">
      <c r="A35" s="5">
        <v>2.99</v>
      </c>
      <c r="B35" s="2">
        <v>3700</v>
      </c>
      <c r="C35" s="2">
        <v>1237.4581000000001</v>
      </c>
      <c r="D35" s="2">
        <v>3959</v>
      </c>
    </row>
    <row r="36" spans="1:4" x14ac:dyDescent="0.2">
      <c r="A36" s="5">
        <v>3</v>
      </c>
      <c r="B36" s="2">
        <v>3700</v>
      </c>
      <c r="C36" s="2">
        <v>1233.3333</v>
      </c>
      <c r="D36" s="2">
        <v>3959</v>
      </c>
    </row>
    <row r="37" spans="1:4" x14ac:dyDescent="0.2">
      <c r="A37" s="5">
        <v>3.15</v>
      </c>
      <c r="B37" s="2">
        <v>3900</v>
      </c>
      <c r="C37" s="2">
        <v>1238.0952</v>
      </c>
      <c r="D37" s="2">
        <v>4173</v>
      </c>
    </row>
    <row r="38" spans="1:4" x14ac:dyDescent="0.2">
      <c r="A38" s="5">
        <v>3.3</v>
      </c>
      <c r="B38" s="2">
        <v>4000</v>
      </c>
      <c r="C38" s="2">
        <v>1212.1212</v>
      </c>
      <c r="D38" s="2">
        <v>4280</v>
      </c>
    </row>
    <row r="39" spans="1:4" x14ac:dyDescent="0.2">
      <c r="A39" s="5">
        <v>3.45</v>
      </c>
      <c r="B39" s="2">
        <v>4200</v>
      </c>
      <c r="C39" s="2">
        <v>1217.3913</v>
      </c>
      <c r="D39" s="2">
        <v>4494</v>
      </c>
    </row>
    <row r="40" spans="1:4" x14ac:dyDescent="0.2">
      <c r="A40" s="5">
        <v>3.52</v>
      </c>
      <c r="B40" s="2">
        <v>4200</v>
      </c>
      <c r="C40" s="2">
        <v>1193.1818000000001</v>
      </c>
      <c r="D40" s="2">
        <v>4494</v>
      </c>
    </row>
    <row r="41" spans="1:4" x14ac:dyDescent="0.2">
      <c r="A41" s="5">
        <v>3.6</v>
      </c>
      <c r="B41" s="2">
        <v>4500</v>
      </c>
      <c r="C41" s="2">
        <v>1250</v>
      </c>
      <c r="D41" s="2">
        <v>4815</v>
      </c>
    </row>
    <row r="42" spans="1:4" x14ac:dyDescent="0.2">
      <c r="A42" s="5">
        <v>3.77</v>
      </c>
      <c r="B42" s="2">
        <v>4600</v>
      </c>
      <c r="C42" s="2">
        <v>1220.1591000000001</v>
      </c>
      <c r="D42" s="2">
        <v>4922</v>
      </c>
    </row>
    <row r="43" spans="1:4" x14ac:dyDescent="0.2">
      <c r="A43" s="5">
        <v>4.03</v>
      </c>
      <c r="B43" s="2">
        <v>4800</v>
      </c>
      <c r="C43" s="2">
        <v>1191.0669</v>
      </c>
      <c r="D43" s="2">
        <v>5136</v>
      </c>
    </row>
    <row r="44" spans="1:4" x14ac:dyDescent="0.2">
      <c r="A44" s="5">
        <v>4.0599999999999996</v>
      </c>
      <c r="B44" s="2">
        <v>4800</v>
      </c>
      <c r="C44" s="2">
        <v>1182.2660000000001</v>
      </c>
      <c r="D44" s="2">
        <v>5136</v>
      </c>
    </row>
    <row r="45" spans="1:4" x14ac:dyDescent="0.2">
      <c r="A45" s="5">
        <v>4.32</v>
      </c>
      <c r="B45" s="2">
        <v>6000</v>
      </c>
      <c r="C45" s="2">
        <v>1388.8887999999999</v>
      </c>
      <c r="D45" s="2">
        <v>6420</v>
      </c>
    </row>
    <row r="46" spans="1:4" x14ac:dyDescent="0.2">
      <c r="A46" s="5">
        <v>4.8</v>
      </c>
      <c r="B46" s="2">
        <v>6200</v>
      </c>
      <c r="C46" s="2">
        <v>1291.6666</v>
      </c>
      <c r="D46" s="2">
        <v>6634</v>
      </c>
    </row>
    <row r="47" spans="1:4" x14ac:dyDescent="0.2">
      <c r="A47" s="5">
        <v>4.93</v>
      </c>
      <c r="B47" s="2">
        <v>6200</v>
      </c>
      <c r="C47" s="2">
        <v>1257.6063999999999</v>
      </c>
      <c r="D47" s="2">
        <v>6634</v>
      </c>
    </row>
    <row r="48" spans="1:4" x14ac:dyDescent="0.2">
      <c r="A48" s="4" t="s">
        <v>28</v>
      </c>
      <c r="B48" s="2">
        <v>25180</v>
      </c>
      <c r="C48" s="2">
        <v>1142.0510399999998</v>
      </c>
      <c r="D48" s="2">
        <v>26942.6</v>
      </c>
    </row>
    <row r="49" spans="1:4" x14ac:dyDescent="0.2">
      <c r="A49" s="5">
        <v>20.149999999999999</v>
      </c>
      <c r="B49" s="2">
        <v>23500</v>
      </c>
      <c r="C49" s="2">
        <v>1166.2530999999999</v>
      </c>
      <c r="D49" s="2">
        <v>25145</v>
      </c>
    </row>
    <row r="50" spans="1:4" x14ac:dyDescent="0.2">
      <c r="A50" s="5">
        <v>20.48</v>
      </c>
      <c r="B50" s="2">
        <v>23500</v>
      </c>
      <c r="C50" s="2">
        <v>1147.4609</v>
      </c>
      <c r="D50" s="2">
        <v>25145</v>
      </c>
    </row>
    <row r="51" spans="1:4" x14ac:dyDescent="0.2">
      <c r="A51" s="5">
        <v>20.8</v>
      </c>
      <c r="B51" s="2">
        <v>23500</v>
      </c>
      <c r="C51" s="2">
        <v>1129.8076000000001</v>
      </c>
      <c r="D51" s="2">
        <v>25145</v>
      </c>
    </row>
    <row r="52" spans="1:4" x14ac:dyDescent="0.2">
      <c r="A52" s="5">
        <v>22.95</v>
      </c>
      <c r="B52" s="2">
        <v>26600</v>
      </c>
      <c r="C52" s="2">
        <v>1159.0413000000001</v>
      </c>
      <c r="D52" s="2">
        <v>28462</v>
      </c>
    </row>
    <row r="53" spans="1:4" x14ac:dyDescent="0.2">
      <c r="A53" s="5">
        <v>26</v>
      </c>
      <c r="B53" s="2">
        <v>28800</v>
      </c>
      <c r="C53" s="2">
        <v>1107.6922999999999</v>
      </c>
      <c r="D53" s="2">
        <v>30816</v>
      </c>
    </row>
    <row r="54" spans="1:4" x14ac:dyDescent="0.2">
      <c r="A54" s="4" t="s">
        <v>29</v>
      </c>
      <c r="B54" s="2">
        <v>2440</v>
      </c>
      <c r="C54" s="2">
        <v>1314.65759</v>
      </c>
      <c r="D54" s="2">
        <v>2610.8000000000002</v>
      </c>
    </row>
    <row r="55" spans="1:4" x14ac:dyDescent="0.2">
      <c r="A55" s="5">
        <v>1.56</v>
      </c>
      <c r="B55" s="2">
        <v>2200</v>
      </c>
      <c r="C55" s="2">
        <v>1410.2564</v>
      </c>
      <c r="D55" s="2">
        <v>2354</v>
      </c>
    </row>
    <row r="56" spans="1:4" x14ac:dyDescent="0.2">
      <c r="A56" s="5">
        <v>1.6</v>
      </c>
      <c r="B56" s="2">
        <v>2200</v>
      </c>
      <c r="C56" s="2">
        <v>1375</v>
      </c>
      <c r="D56" s="2">
        <v>2354</v>
      </c>
    </row>
    <row r="57" spans="1:4" x14ac:dyDescent="0.2">
      <c r="A57" s="5">
        <v>1.65</v>
      </c>
      <c r="B57" s="2">
        <v>2200</v>
      </c>
      <c r="C57" s="2">
        <v>1333.3333</v>
      </c>
      <c r="D57" s="2">
        <v>2354</v>
      </c>
    </row>
    <row r="58" spans="1:4" x14ac:dyDescent="0.2">
      <c r="A58" s="5">
        <v>1.7</v>
      </c>
      <c r="B58" s="2">
        <v>2200</v>
      </c>
      <c r="C58" s="2">
        <v>1294.1176</v>
      </c>
      <c r="D58" s="2">
        <v>2354</v>
      </c>
    </row>
    <row r="59" spans="1:4" x14ac:dyDescent="0.2">
      <c r="A59" s="5">
        <v>1.9</v>
      </c>
      <c r="B59" s="2">
        <v>2600</v>
      </c>
      <c r="C59" s="2">
        <v>1368.421</v>
      </c>
      <c r="D59" s="2">
        <v>2782</v>
      </c>
    </row>
    <row r="60" spans="1:4" x14ac:dyDescent="0.2">
      <c r="A60" s="5">
        <v>1.95</v>
      </c>
      <c r="B60" s="2">
        <v>2600</v>
      </c>
      <c r="C60" s="2">
        <v>1333.3333</v>
      </c>
      <c r="D60" s="2">
        <v>2782</v>
      </c>
    </row>
    <row r="61" spans="1:4" x14ac:dyDescent="0.2">
      <c r="A61" s="5">
        <v>2</v>
      </c>
      <c r="B61" s="2">
        <v>2600</v>
      </c>
      <c r="C61" s="2">
        <v>1300</v>
      </c>
      <c r="D61" s="2">
        <v>2782</v>
      </c>
    </row>
    <row r="62" spans="1:4" x14ac:dyDescent="0.2">
      <c r="A62" s="5">
        <v>2.08</v>
      </c>
      <c r="B62" s="2">
        <v>2600</v>
      </c>
      <c r="C62" s="2">
        <v>1250</v>
      </c>
      <c r="D62" s="2">
        <v>2782</v>
      </c>
    </row>
    <row r="63" spans="1:4" x14ac:dyDescent="0.2">
      <c r="A63" s="5">
        <v>2.09</v>
      </c>
      <c r="B63" s="2">
        <v>2600</v>
      </c>
      <c r="C63" s="2">
        <v>1244.0191</v>
      </c>
      <c r="D63" s="2">
        <v>2782</v>
      </c>
    </row>
    <row r="64" spans="1:4" x14ac:dyDescent="0.2">
      <c r="A64" s="5">
        <v>2.1</v>
      </c>
      <c r="B64" s="2">
        <v>2600</v>
      </c>
      <c r="C64" s="2">
        <v>1238.0952</v>
      </c>
      <c r="D64" s="2">
        <v>2782</v>
      </c>
    </row>
    <row r="65" spans="1:4" x14ac:dyDescent="0.2">
      <c r="A65" s="4" t="s">
        <v>30</v>
      </c>
      <c r="B65" s="2">
        <v>41625</v>
      </c>
      <c r="C65" s="2">
        <v>1073.9906249999999</v>
      </c>
      <c r="D65" s="2">
        <v>44538.75</v>
      </c>
    </row>
    <row r="66" spans="1:4" x14ac:dyDescent="0.2">
      <c r="A66" s="5">
        <v>33.6</v>
      </c>
      <c r="B66" s="2">
        <v>36500</v>
      </c>
      <c r="C66" s="2">
        <v>1086.3095000000001</v>
      </c>
      <c r="D66" s="2">
        <v>39055</v>
      </c>
    </row>
    <row r="67" spans="1:4" x14ac:dyDescent="0.2">
      <c r="A67" s="5">
        <v>34</v>
      </c>
      <c r="B67" s="2">
        <v>36500</v>
      </c>
      <c r="C67" s="2">
        <v>1073.5293999999999</v>
      </c>
      <c r="D67" s="2">
        <v>39055</v>
      </c>
    </row>
    <row r="68" spans="1:4" x14ac:dyDescent="0.2">
      <c r="A68" s="5">
        <v>36.4</v>
      </c>
      <c r="B68" s="2">
        <v>38500</v>
      </c>
      <c r="C68" s="2">
        <v>1057.6922999999999</v>
      </c>
      <c r="D68" s="2">
        <v>41195</v>
      </c>
    </row>
    <row r="69" spans="1:4" x14ac:dyDescent="0.2">
      <c r="A69" s="5">
        <v>51</v>
      </c>
      <c r="B69" s="2">
        <v>55000</v>
      </c>
      <c r="C69" s="2">
        <v>1078.4313</v>
      </c>
      <c r="D69" s="2">
        <v>58850</v>
      </c>
    </row>
    <row r="70" spans="1:4" x14ac:dyDescent="0.2">
      <c r="A70" s="4" t="s">
        <v>31</v>
      </c>
      <c r="B70" s="2">
        <v>1685.7142857142858</v>
      </c>
      <c r="C70" s="2">
        <v>1351.0457428571428</v>
      </c>
      <c r="D70" s="2">
        <v>1803.7142857142858</v>
      </c>
    </row>
    <row r="71" spans="1:4" x14ac:dyDescent="0.2">
      <c r="A71" s="5">
        <v>1</v>
      </c>
      <c r="B71" s="2">
        <v>1500</v>
      </c>
      <c r="C71" s="2">
        <v>1500</v>
      </c>
      <c r="D71" s="2">
        <v>1605</v>
      </c>
    </row>
    <row r="72" spans="1:4" x14ac:dyDescent="0.2">
      <c r="A72" s="5">
        <v>1.1000000000000001</v>
      </c>
      <c r="B72" s="2">
        <v>1500</v>
      </c>
      <c r="C72" s="2">
        <v>1363.6362999999999</v>
      </c>
      <c r="D72" s="2">
        <v>1605</v>
      </c>
    </row>
    <row r="73" spans="1:4" x14ac:dyDescent="0.2">
      <c r="A73" s="5">
        <v>1.2</v>
      </c>
      <c r="B73" s="2">
        <v>1600</v>
      </c>
      <c r="C73" s="2">
        <v>1333.3333</v>
      </c>
      <c r="D73" s="2">
        <v>1712</v>
      </c>
    </row>
    <row r="74" spans="1:4" x14ac:dyDescent="0.2">
      <c r="A74" s="5">
        <v>1.3</v>
      </c>
      <c r="B74" s="2">
        <v>1600</v>
      </c>
      <c r="C74" s="2">
        <v>1230.7692</v>
      </c>
      <c r="D74" s="2">
        <v>1712</v>
      </c>
    </row>
    <row r="75" spans="1:4" x14ac:dyDescent="0.2">
      <c r="A75" s="5">
        <v>1.32</v>
      </c>
      <c r="B75" s="2">
        <v>1600</v>
      </c>
      <c r="C75" s="2">
        <v>1212.1212</v>
      </c>
      <c r="D75" s="2">
        <v>1712</v>
      </c>
    </row>
    <row r="76" spans="1:4" x14ac:dyDescent="0.2">
      <c r="A76" s="5">
        <v>1.4</v>
      </c>
      <c r="B76" s="2">
        <v>2000</v>
      </c>
      <c r="C76" s="2">
        <v>1428.5714</v>
      </c>
      <c r="D76" s="2">
        <v>2140</v>
      </c>
    </row>
    <row r="77" spans="1:4" x14ac:dyDescent="0.2">
      <c r="A77" s="5">
        <v>1.44</v>
      </c>
      <c r="B77" s="2">
        <v>2000</v>
      </c>
      <c r="C77" s="2">
        <v>1388.8887999999999</v>
      </c>
      <c r="D77" s="2">
        <v>2140</v>
      </c>
    </row>
    <row r="78" spans="1:4" x14ac:dyDescent="0.2">
      <c r="A78" s="4" t="s">
        <v>15</v>
      </c>
      <c r="B78" s="2">
        <v>10187.432812499999</v>
      </c>
      <c r="C78" s="2">
        <v>1208.9496562499996</v>
      </c>
      <c r="D78" s="2">
        <v>10900.553109375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E60-5E60-4B24-B3DD-D4379E0720C2}">
  <dimension ref="A1:D60"/>
  <sheetViews>
    <sheetView workbookViewId="0">
      <pane ySplit="3" topLeftCell="A26" activePane="bottomLeft" state="frozen"/>
      <selection pane="bottomLeft" activeCell="A4" sqref="A4:B59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16980</v>
      </c>
      <c r="C4" s="2">
        <v>1002.6003800000001</v>
      </c>
      <c r="D4" s="2">
        <v>18168.599999999999</v>
      </c>
    </row>
    <row r="5" spans="1:4" x14ac:dyDescent="0.2">
      <c r="A5" s="5">
        <v>14.58</v>
      </c>
      <c r="B5" s="2">
        <v>14600</v>
      </c>
      <c r="C5" s="2">
        <v>1001.3717</v>
      </c>
      <c r="D5" s="2">
        <v>15622</v>
      </c>
    </row>
    <row r="6" spans="1:4" x14ac:dyDescent="0.2">
      <c r="A6" s="5">
        <v>15.9</v>
      </c>
      <c r="B6" s="2">
        <v>15900</v>
      </c>
      <c r="C6" s="2">
        <v>1000</v>
      </c>
      <c r="D6" s="2">
        <v>17013</v>
      </c>
    </row>
    <row r="7" spans="1:4" x14ac:dyDescent="0.2">
      <c r="A7" s="5">
        <v>16.2</v>
      </c>
      <c r="B7" s="2">
        <v>16200</v>
      </c>
      <c r="C7" s="2">
        <v>1000</v>
      </c>
      <c r="D7" s="2">
        <v>17334</v>
      </c>
    </row>
    <row r="8" spans="1:4" x14ac:dyDescent="0.2">
      <c r="A8" s="5">
        <v>18.899999999999999</v>
      </c>
      <c r="B8" s="2">
        <v>19100</v>
      </c>
      <c r="C8" s="2">
        <v>1010.582</v>
      </c>
      <c r="D8" s="2">
        <v>20437</v>
      </c>
    </row>
    <row r="9" spans="1:4" x14ac:dyDescent="0.2">
      <c r="A9" s="5">
        <v>19.079999999999998</v>
      </c>
      <c r="B9" s="2">
        <v>19100</v>
      </c>
      <c r="C9" s="2">
        <v>1001.0482</v>
      </c>
      <c r="D9" s="2">
        <v>20437</v>
      </c>
    </row>
    <row r="10" spans="1:4" x14ac:dyDescent="0.2">
      <c r="A10" s="4" t="s">
        <v>19</v>
      </c>
      <c r="B10" s="2">
        <v>894.58</v>
      </c>
      <c r="C10" s="2">
        <v>1490.9666</v>
      </c>
      <c r="D10" s="2">
        <v>957.20060000000001</v>
      </c>
    </row>
    <row r="11" spans="1:4" x14ac:dyDescent="0.2">
      <c r="A11" s="5">
        <v>0.6</v>
      </c>
      <c r="B11" s="2">
        <v>894.58</v>
      </c>
      <c r="C11" s="2">
        <v>1490.9666</v>
      </c>
      <c r="D11" s="2">
        <v>957.20060000000001</v>
      </c>
    </row>
    <row r="12" spans="1:4" x14ac:dyDescent="0.2">
      <c r="A12" s="4" t="s">
        <v>20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0.6</v>
      </c>
      <c r="B13" s="2">
        <v>801.12</v>
      </c>
      <c r="C13" s="2">
        <v>1335.2</v>
      </c>
      <c r="D13" s="2">
        <v>857.19839999999999</v>
      </c>
    </row>
    <row r="14" spans="1:4" x14ac:dyDescent="0.2">
      <c r="A14" s="4" t="s">
        <v>39</v>
      </c>
      <c r="B14" s="2">
        <v>22000</v>
      </c>
      <c r="C14" s="2">
        <v>776.83609999999999</v>
      </c>
      <c r="D14" s="2">
        <v>23540</v>
      </c>
    </row>
    <row r="15" spans="1:4" x14ac:dyDescent="0.2">
      <c r="A15" s="5">
        <v>28.32</v>
      </c>
      <c r="B15" s="2">
        <v>22000</v>
      </c>
      <c r="C15" s="2">
        <v>776.83609999999999</v>
      </c>
      <c r="D15" s="2">
        <v>23540</v>
      </c>
    </row>
    <row r="16" spans="1:4" x14ac:dyDescent="0.2">
      <c r="A16" s="4" t="s">
        <v>25</v>
      </c>
      <c r="B16" s="2">
        <v>19500</v>
      </c>
      <c r="C16" s="2">
        <v>1144.5221000000001</v>
      </c>
      <c r="D16" s="2">
        <v>20865</v>
      </c>
    </row>
    <row r="17" spans="1:4" x14ac:dyDescent="0.2">
      <c r="A17" s="5">
        <v>14.85</v>
      </c>
      <c r="B17" s="2">
        <v>18000</v>
      </c>
      <c r="C17" s="2">
        <v>1212.1212</v>
      </c>
      <c r="D17" s="2">
        <v>19260</v>
      </c>
    </row>
    <row r="18" spans="1:4" x14ac:dyDescent="0.2">
      <c r="A18" s="5">
        <v>19.5</v>
      </c>
      <c r="B18" s="2">
        <v>21000</v>
      </c>
      <c r="C18" s="2">
        <v>1076.923</v>
      </c>
      <c r="D18" s="2">
        <v>22470</v>
      </c>
    </row>
    <row r="19" spans="1:4" x14ac:dyDescent="0.2">
      <c r="A19" s="4" t="s">
        <v>26</v>
      </c>
      <c r="B19" s="2">
        <v>8135.7142857142853</v>
      </c>
      <c r="C19" s="2">
        <v>1154.0022571428574</v>
      </c>
      <c r="D19" s="2">
        <v>8705.2142857142862</v>
      </c>
    </row>
    <row r="20" spans="1:4" x14ac:dyDescent="0.2">
      <c r="A20" s="5">
        <v>5.29</v>
      </c>
      <c r="B20" s="2">
        <v>5950</v>
      </c>
      <c r="C20" s="2">
        <v>1124.7636500000001</v>
      </c>
      <c r="D20" s="2">
        <v>6366.5</v>
      </c>
    </row>
    <row r="21" spans="1:4" x14ac:dyDescent="0.2">
      <c r="A21" s="5">
        <v>5.46</v>
      </c>
      <c r="B21" s="2">
        <v>5800</v>
      </c>
      <c r="C21" s="2">
        <v>1062.271</v>
      </c>
      <c r="D21" s="2">
        <v>6206</v>
      </c>
    </row>
    <row r="22" spans="1:4" x14ac:dyDescent="0.2">
      <c r="A22" s="5">
        <v>6.67</v>
      </c>
      <c r="B22" s="2">
        <v>7533.333333333333</v>
      </c>
      <c r="C22" s="2">
        <v>1129.4352666666666</v>
      </c>
      <c r="D22" s="2">
        <v>8060.666666666667</v>
      </c>
    </row>
    <row r="23" spans="1:4" x14ac:dyDescent="0.2">
      <c r="A23" s="5">
        <v>7.56</v>
      </c>
      <c r="B23" s="2">
        <v>9200</v>
      </c>
      <c r="C23" s="2">
        <v>1216.9312</v>
      </c>
      <c r="D23" s="2">
        <v>9844</v>
      </c>
    </row>
    <row r="24" spans="1:4" x14ac:dyDescent="0.2">
      <c r="A24" s="5">
        <v>7.79</v>
      </c>
      <c r="B24" s="2">
        <v>9500</v>
      </c>
      <c r="C24" s="2">
        <v>1219.5120999999999</v>
      </c>
      <c r="D24" s="2">
        <v>10165</v>
      </c>
    </row>
    <row r="25" spans="1:4" x14ac:dyDescent="0.2">
      <c r="A25" s="5">
        <v>8.4</v>
      </c>
      <c r="B25" s="2">
        <v>10000</v>
      </c>
      <c r="C25" s="2">
        <v>1190.4761000000001</v>
      </c>
      <c r="D25" s="2">
        <v>10700</v>
      </c>
    </row>
    <row r="26" spans="1:4" x14ac:dyDescent="0.2">
      <c r="A26" s="5">
        <v>9.1</v>
      </c>
      <c r="B26" s="2">
        <v>11000</v>
      </c>
      <c r="C26" s="2">
        <v>1208.7911999999999</v>
      </c>
      <c r="D26" s="2">
        <v>11770</v>
      </c>
    </row>
    <row r="27" spans="1:4" x14ac:dyDescent="0.2">
      <c r="A27" s="5">
        <v>9.2799999999999994</v>
      </c>
      <c r="B27" s="2">
        <v>11000</v>
      </c>
      <c r="C27" s="2">
        <v>1185.3448000000001</v>
      </c>
      <c r="D27" s="2">
        <v>11770</v>
      </c>
    </row>
    <row r="28" spans="1:4" x14ac:dyDescent="0.2">
      <c r="A28" s="4" t="s">
        <v>27</v>
      </c>
      <c r="B28" s="2">
        <v>4095</v>
      </c>
      <c r="C28" s="2">
        <v>1229.3615250000003</v>
      </c>
      <c r="D28" s="2">
        <v>4381.6499999999996</v>
      </c>
    </row>
    <row r="29" spans="1:4" x14ac:dyDescent="0.2">
      <c r="A29" s="5">
        <v>2.64</v>
      </c>
      <c r="B29" s="2">
        <v>3240</v>
      </c>
      <c r="C29" s="2">
        <v>1227.2726666666667</v>
      </c>
      <c r="D29" s="2">
        <v>3466.7999999999997</v>
      </c>
    </row>
    <row r="30" spans="1:4" x14ac:dyDescent="0.2">
      <c r="A30" s="5">
        <v>2.88</v>
      </c>
      <c r="B30" s="2">
        <v>3500</v>
      </c>
      <c r="C30" s="2">
        <v>1215.2777000000001</v>
      </c>
      <c r="D30" s="2">
        <v>3745</v>
      </c>
    </row>
    <row r="31" spans="1:4" x14ac:dyDescent="0.2">
      <c r="A31" s="5">
        <v>3.06</v>
      </c>
      <c r="B31" s="2">
        <v>3900</v>
      </c>
      <c r="C31" s="2">
        <v>1274.5098</v>
      </c>
      <c r="D31" s="2">
        <v>4173</v>
      </c>
    </row>
    <row r="32" spans="1:4" x14ac:dyDescent="0.2">
      <c r="A32" s="5">
        <v>3.08</v>
      </c>
      <c r="B32" s="2">
        <v>3900</v>
      </c>
      <c r="C32" s="2">
        <v>1266.2337</v>
      </c>
      <c r="D32" s="2">
        <v>4173</v>
      </c>
    </row>
    <row r="33" spans="1:4" x14ac:dyDescent="0.2">
      <c r="A33" s="5">
        <v>3.22</v>
      </c>
      <c r="B33" s="2">
        <v>4000</v>
      </c>
      <c r="C33" s="2">
        <v>1242.2360000000001</v>
      </c>
      <c r="D33" s="2">
        <v>4280</v>
      </c>
    </row>
    <row r="34" spans="1:4" x14ac:dyDescent="0.2">
      <c r="A34" s="5">
        <v>3.61</v>
      </c>
      <c r="B34" s="2">
        <v>4200</v>
      </c>
      <c r="C34" s="2">
        <v>1163.4349</v>
      </c>
      <c r="D34" s="2">
        <v>4494</v>
      </c>
    </row>
    <row r="35" spans="1:4" x14ac:dyDescent="0.2">
      <c r="A35" s="5">
        <v>3.74</v>
      </c>
      <c r="B35" s="2">
        <v>4700</v>
      </c>
      <c r="C35" s="2">
        <v>1256.6844000000001</v>
      </c>
      <c r="D35" s="2">
        <v>5029</v>
      </c>
    </row>
    <row r="36" spans="1:4" x14ac:dyDescent="0.2">
      <c r="A36" s="5">
        <v>3.92</v>
      </c>
      <c r="B36" s="2">
        <v>5000</v>
      </c>
      <c r="C36" s="2">
        <v>1275.5101999999999</v>
      </c>
      <c r="D36" s="2">
        <v>5350</v>
      </c>
    </row>
    <row r="37" spans="1:4" x14ac:dyDescent="0.2">
      <c r="A37" s="5">
        <v>4.08</v>
      </c>
      <c r="B37" s="2">
        <v>4800</v>
      </c>
      <c r="C37" s="2">
        <v>1176.4704999999999</v>
      </c>
      <c r="D37" s="2">
        <v>5136</v>
      </c>
    </row>
    <row r="38" spans="1:4" x14ac:dyDescent="0.2">
      <c r="A38" s="5">
        <v>4.5999999999999996</v>
      </c>
      <c r="B38" s="2">
        <v>5600</v>
      </c>
      <c r="C38" s="2">
        <v>1217.3913</v>
      </c>
      <c r="D38" s="2">
        <v>5992</v>
      </c>
    </row>
    <row r="39" spans="1:4" x14ac:dyDescent="0.2">
      <c r="A39" s="4" t="s">
        <v>28</v>
      </c>
      <c r="B39" s="2">
        <v>29700</v>
      </c>
      <c r="C39" s="2">
        <v>1219.2118</v>
      </c>
      <c r="D39" s="2">
        <v>31779</v>
      </c>
    </row>
    <row r="40" spans="1:4" x14ac:dyDescent="0.2">
      <c r="A40" s="5">
        <v>24.36</v>
      </c>
      <c r="B40" s="2">
        <v>29700</v>
      </c>
      <c r="C40" s="2">
        <v>1219.2118</v>
      </c>
      <c r="D40" s="2">
        <v>31779</v>
      </c>
    </row>
    <row r="41" spans="1:4" x14ac:dyDescent="0.2">
      <c r="A41" s="4" t="s">
        <v>29</v>
      </c>
      <c r="B41" s="2">
        <v>2373.3333333333335</v>
      </c>
      <c r="C41" s="2">
        <v>1256.0247666666664</v>
      </c>
      <c r="D41" s="2">
        <v>2539.4666666666667</v>
      </c>
    </row>
    <row r="42" spans="1:4" x14ac:dyDescent="0.2">
      <c r="A42" s="5">
        <v>1.5</v>
      </c>
      <c r="B42" s="2">
        <v>1850</v>
      </c>
      <c r="C42" s="2">
        <v>1233.3333</v>
      </c>
      <c r="D42" s="2">
        <v>1979.5</v>
      </c>
    </row>
    <row r="43" spans="1:4" x14ac:dyDescent="0.2">
      <c r="A43" s="5">
        <v>1.6</v>
      </c>
      <c r="B43" s="2">
        <v>2200</v>
      </c>
      <c r="C43" s="2">
        <v>1375</v>
      </c>
      <c r="D43" s="2">
        <v>2354</v>
      </c>
    </row>
    <row r="44" spans="1:4" x14ac:dyDescent="0.2">
      <c r="A44" s="5">
        <v>1.76</v>
      </c>
      <c r="B44" s="2">
        <v>2300</v>
      </c>
      <c r="C44" s="2">
        <v>1306.8181</v>
      </c>
      <c r="D44" s="2">
        <v>2461</v>
      </c>
    </row>
    <row r="45" spans="1:4" x14ac:dyDescent="0.2">
      <c r="A45" s="5">
        <v>1.82</v>
      </c>
      <c r="B45" s="2">
        <v>2200</v>
      </c>
      <c r="C45" s="2">
        <v>1208.7911999999999</v>
      </c>
      <c r="D45" s="2">
        <v>2354</v>
      </c>
    </row>
    <row r="46" spans="1:4" x14ac:dyDescent="0.2">
      <c r="A46" s="5">
        <v>1.9</v>
      </c>
      <c r="B46" s="2">
        <v>2400</v>
      </c>
      <c r="C46" s="2">
        <v>1263.1578</v>
      </c>
      <c r="D46" s="2">
        <v>2568</v>
      </c>
    </row>
    <row r="47" spans="1:4" x14ac:dyDescent="0.2">
      <c r="A47" s="5">
        <v>1.92</v>
      </c>
      <c r="B47" s="2">
        <v>2400</v>
      </c>
      <c r="C47" s="2">
        <v>1250</v>
      </c>
      <c r="D47" s="2">
        <v>2568</v>
      </c>
    </row>
    <row r="48" spans="1:4" x14ac:dyDescent="0.2">
      <c r="A48" s="5">
        <v>1.96</v>
      </c>
      <c r="B48" s="2">
        <v>2400</v>
      </c>
      <c r="C48" s="2">
        <v>1224.4897000000001</v>
      </c>
      <c r="D48" s="2">
        <v>2568</v>
      </c>
    </row>
    <row r="49" spans="1:4" x14ac:dyDescent="0.2">
      <c r="A49" s="5">
        <v>2</v>
      </c>
      <c r="B49" s="2">
        <v>2400</v>
      </c>
      <c r="C49" s="2">
        <v>1200</v>
      </c>
      <c r="D49" s="2">
        <v>2568</v>
      </c>
    </row>
    <row r="50" spans="1:4" x14ac:dyDescent="0.2">
      <c r="A50" s="5">
        <v>2.04</v>
      </c>
      <c r="B50" s="2">
        <v>2400</v>
      </c>
      <c r="C50" s="2">
        <v>1176.4704999999999</v>
      </c>
      <c r="D50" s="2">
        <v>2568</v>
      </c>
    </row>
    <row r="51" spans="1:4" x14ac:dyDescent="0.2">
      <c r="A51" s="5">
        <v>2.1</v>
      </c>
      <c r="B51" s="2">
        <v>2666.6666666666665</v>
      </c>
      <c r="C51" s="2">
        <v>1269.8412000000001</v>
      </c>
      <c r="D51" s="2">
        <v>2853.3333333333335</v>
      </c>
    </row>
    <row r="52" spans="1:4" x14ac:dyDescent="0.2">
      <c r="A52" s="5">
        <v>2.16</v>
      </c>
      <c r="B52" s="2">
        <v>2800</v>
      </c>
      <c r="C52" s="2">
        <v>1296.2962</v>
      </c>
      <c r="D52" s="2">
        <v>2996</v>
      </c>
    </row>
    <row r="53" spans="1:4" x14ac:dyDescent="0.2">
      <c r="A53" s="4" t="s">
        <v>30</v>
      </c>
      <c r="B53" s="2">
        <v>57100</v>
      </c>
      <c r="C53" s="2">
        <v>1225.059</v>
      </c>
      <c r="D53" s="2">
        <v>61097</v>
      </c>
    </row>
    <row r="54" spans="1:4" x14ac:dyDescent="0.2">
      <c r="A54" s="5">
        <v>46.61</v>
      </c>
      <c r="B54" s="2">
        <v>57100</v>
      </c>
      <c r="C54" s="2">
        <v>1225.059</v>
      </c>
      <c r="D54" s="2">
        <v>61097</v>
      </c>
    </row>
    <row r="55" spans="1:4" x14ac:dyDescent="0.2">
      <c r="A55" s="4" t="s">
        <v>31</v>
      </c>
      <c r="B55" s="2">
        <v>1900</v>
      </c>
      <c r="C55" s="2">
        <v>1669.6003000000001</v>
      </c>
      <c r="D55" s="2">
        <v>2033</v>
      </c>
    </row>
    <row r="56" spans="1:4" x14ac:dyDescent="0.2">
      <c r="A56" s="5">
        <v>0.98</v>
      </c>
      <c r="B56" s="2">
        <v>1800</v>
      </c>
      <c r="C56" s="2">
        <v>1836.7346</v>
      </c>
      <c r="D56" s="2">
        <v>1926</v>
      </c>
    </row>
    <row r="57" spans="1:4" x14ac:dyDescent="0.2">
      <c r="A57" s="5">
        <v>1</v>
      </c>
      <c r="B57" s="2">
        <v>1800</v>
      </c>
      <c r="C57" s="2">
        <v>1800</v>
      </c>
      <c r="D57" s="2">
        <v>1926</v>
      </c>
    </row>
    <row r="58" spans="1:4" x14ac:dyDescent="0.2">
      <c r="A58" s="5">
        <v>1.2</v>
      </c>
      <c r="B58" s="2">
        <v>1900</v>
      </c>
      <c r="C58" s="2">
        <v>1583.3333</v>
      </c>
      <c r="D58" s="2">
        <v>2033</v>
      </c>
    </row>
    <row r="59" spans="1:4" x14ac:dyDescent="0.2">
      <c r="A59" s="5">
        <v>1.44</v>
      </c>
      <c r="B59" s="2">
        <v>2100</v>
      </c>
      <c r="C59" s="2">
        <v>1458.3333</v>
      </c>
      <c r="D59" s="2">
        <v>2247</v>
      </c>
    </row>
    <row r="60" spans="1:4" x14ac:dyDescent="0.2">
      <c r="A60" s="4" t="s">
        <v>15</v>
      </c>
      <c r="B60" s="2">
        <v>7850.2532258064521</v>
      </c>
      <c r="C60" s="2">
        <v>1224.4051629032253</v>
      </c>
      <c r="D60" s="2">
        <v>8399.7709516129034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944B-B8C6-4B2B-8681-65159A5BF070}">
  <dimension ref="A1:D74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2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41</v>
      </c>
      <c r="B4" s="2">
        <v>15400</v>
      </c>
      <c r="C4" s="2">
        <v>708.26813333333337</v>
      </c>
      <c r="D4" s="2">
        <v>15400</v>
      </c>
    </row>
    <row r="5" spans="1:4" x14ac:dyDescent="0.2">
      <c r="A5" s="5">
        <v>19.52</v>
      </c>
      <c r="B5" s="2">
        <v>13700</v>
      </c>
      <c r="C5" s="2">
        <v>701.8442</v>
      </c>
      <c r="D5" s="2">
        <v>13700</v>
      </c>
    </row>
    <row r="6" spans="1:4" x14ac:dyDescent="0.2">
      <c r="A6" s="5">
        <v>20.74</v>
      </c>
      <c r="B6" s="2">
        <v>15000</v>
      </c>
      <c r="C6" s="2">
        <v>723.24009999999998</v>
      </c>
      <c r="D6" s="2">
        <v>15000</v>
      </c>
    </row>
    <row r="7" spans="1:4" x14ac:dyDescent="0.2">
      <c r="A7" s="5">
        <v>25.01</v>
      </c>
      <c r="B7" s="2">
        <v>17500</v>
      </c>
      <c r="C7" s="2">
        <v>699.7201</v>
      </c>
      <c r="D7" s="2">
        <v>17500</v>
      </c>
    </row>
    <row r="8" spans="1:4" x14ac:dyDescent="0.2">
      <c r="A8" s="4" t="s">
        <v>33</v>
      </c>
      <c r="B8" s="2">
        <v>1395</v>
      </c>
      <c r="C8" s="2">
        <v>1428.7820333333332</v>
      </c>
      <c r="D8" s="2">
        <v>1395</v>
      </c>
    </row>
    <row r="9" spans="1:4" x14ac:dyDescent="0.2">
      <c r="A9" s="5">
        <v>0.9</v>
      </c>
      <c r="B9" s="2">
        <v>1395</v>
      </c>
      <c r="C9" s="2">
        <v>1550</v>
      </c>
      <c r="D9" s="2">
        <v>1395</v>
      </c>
    </row>
    <row r="10" spans="1:4" x14ac:dyDescent="0.2">
      <c r="A10" s="5">
        <v>1</v>
      </c>
      <c r="B10" s="2">
        <v>1395</v>
      </c>
      <c r="C10" s="2">
        <v>1395</v>
      </c>
      <c r="D10" s="2">
        <v>1395</v>
      </c>
    </row>
    <row r="11" spans="1:4" x14ac:dyDescent="0.2">
      <c r="A11" s="5">
        <v>1.04</v>
      </c>
      <c r="B11" s="2">
        <v>1395</v>
      </c>
      <c r="C11" s="2">
        <v>1341.3461</v>
      </c>
      <c r="D11" s="2">
        <v>1395</v>
      </c>
    </row>
    <row r="12" spans="1:4" x14ac:dyDescent="0.2">
      <c r="A12" s="4" t="s">
        <v>34</v>
      </c>
      <c r="B12" s="2">
        <v>1445</v>
      </c>
      <c r="C12" s="2">
        <v>1470.3365249999999</v>
      </c>
      <c r="D12" s="2">
        <v>1445</v>
      </c>
    </row>
    <row r="13" spans="1:4" x14ac:dyDescent="0.2">
      <c r="A13" s="5">
        <v>0.9</v>
      </c>
      <c r="B13" s="2">
        <v>1395</v>
      </c>
      <c r="C13" s="2">
        <v>1550</v>
      </c>
      <c r="D13" s="2">
        <v>1395</v>
      </c>
    </row>
    <row r="14" spans="1:4" x14ac:dyDescent="0.2">
      <c r="A14" s="5">
        <v>1</v>
      </c>
      <c r="B14" s="2">
        <v>1495</v>
      </c>
      <c r="C14" s="2">
        <v>1495</v>
      </c>
      <c r="D14" s="2">
        <v>1495</v>
      </c>
    </row>
    <row r="15" spans="1:4" x14ac:dyDescent="0.2">
      <c r="A15" s="5">
        <v>1.04</v>
      </c>
      <c r="B15" s="2">
        <v>1395</v>
      </c>
      <c r="C15" s="2">
        <v>1341.3461</v>
      </c>
      <c r="D15" s="2">
        <v>1395</v>
      </c>
    </row>
    <row r="16" spans="1:4" x14ac:dyDescent="0.2">
      <c r="A16" s="4" t="s">
        <v>42</v>
      </c>
      <c r="B16" s="2">
        <v>495</v>
      </c>
      <c r="C16" s="2">
        <v>4125</v>
      </c>
      <c r="D16" s="2">
        <v>495</v>
      </c>
    </row>
    <row r="17" spans="1:4" x14ac:dyDescent="0.2">
      <c r="A17" s="5">
        <v>0.12</v>
      </c>
      <c r="B17" s="2">
        <v>495</v>
      </c>
      <c r="C17" s="2">
        <v>4125</v>
      </c>
      <c r="D17" s="2">
        <v>495</v>
      </c>
    </row>
    <row r="18" spans="1:4" x14ac:dyDescent="0.2">
      <c r="A18" s="4" t="s">
        <v>43</v>
      </c>
      <c r="B18" s="2">
        <v>495</v>
      </c>
      <c r="C18" s="2">
        <v>4125</v>
      </c>
      <c r="D18" s="2">
        <v>495</v>
      </c>
    </row>
    <row r="19" spans="1:4" x14ac:dyDescent="0.2">
      <c r="A19" s="5">
        <v>0.12</v>
      </c>
      <c r="B19" s="2">
        <v>495</v>
      </c>
      <c r="C19" s="2">
        <v>4125</v>
      </c>
      <c r="D19" s="2">
        <v>495</v>
      </c>
    </row>
    <row r="20" spans="1:4" x14ac:dyDescent="0.2">
      <c r="A20" s="4" t="s">
        <v>7</v>
      </c>
      <c r="B20" s="2">
        <v>0</v>
      </c>
      <c r="C20" s="2">
        <v>0</v>
      </c>
      <c r="D20" s="2">
        <v>0</v>
      </c>
    </row>
    <row r="21" spans="1:4" x14ac:dyDescent="0.2">
      <c r="A21" s="5">
        <v>0</v>
      </c>
      <c r="B21" s="2">
        <v>0</v>
      </c>
      <c r="C21" s="2">
        <v>0</v>
      </c>
      <c r="D21" s="2">
        <v>0</v>
      </c>
    </row>
    <row r="22" spans="1:4" x14ac:dyDescent="0.2">
      <c r="A22" s="4" t="s">
        <v>8</v>
      </c>
      <c r="B22" s="2">
        <v>9475</v>
      </c>
      <c r="C22" s="2">
        <v>701.15215000000001</v>
      </c>
      <c r="D22" s="2">
        <v>9475</v>
      </c>
    </row>
    <row r="23" spans="1:4" x14ac:dyDescent="0.2">
      <c r="A23" s="5">
        <v>12.21</v>
      </c>
      <c r="B23" s="2">
        <v>8600</v>
      </c>
      <c r="C23" s="2">
        <v>704.34069999999997</v>
      </c>
      <c r="D23" s="2">
        <v>8600</v>
      </c>
    </row>
    <row r="24" spans="1:4" x14ac:dyDescent="0.2">
      <c r="A24" s="5">
        <v>12.6</v>
      </c>
      <c r="B24" s="2">
        <v>8800</v>
      </c>
      <c r="C24" s="2">
        <v>698.4126</v>
      </c>
      <c r="D24" s="2">
        <v>8800</v>
      </c>
    </row>
    <row r="25" spans="1:4" x14ac:dyDescent="0.2">
      <c r="A25" s="5">
        <v>13.95</v>
      </c>
      <c r="B25" s="2">
        <v>9800</v>
      </c>
      <c r="C25" s="2">
        <v>702.50890000000004</v>
      </c>
      <c r="D25" s="2">
        <v>9800</v>
      </c>
    </row>
    <row r="26" spans="1:4" x14ac:dyDescent="0.2">
      <c r="A26" s="5">
        <v>15.3</v>
      </c>
      <c r="B26" s="2">
        <v>10700</v>
      </c>
      <c r="C26" s="2">
        <v>699.34640000000002</v>
      </c>
      <c r="D26" s="2">
        <v>10700</v>
      </c>
    </row>
    <row r="27" spans="1:4" x14ac:dyDescent="0.2">
      <c r="A27" s="4" t="s">
        <v>9</v>
      </c>
      <c r="B27" s="2">
        <v>5811.1111111111113</v>
      </c>
      <c r="C27" s="2">
        <v>797.35399444444442</v>
      </c>
      <c r="D27" s="2">
        <v>5811.1111111111113</v>
      </c>
    </row>
    <row r="28" spans="1:4" x14ac:dyDescent="0.2">
      <c r="A28" s="5">
        <v>5.04</v>
      </c>
      <c r="B28" s="2">
        <v>4500</v>
      </c>
      <c r="C28" s="2">
        <v>892.85709999999995</v>
      </c>
      <c r="D28" s="2">
        <v>4500</v>
      </c>
    </row>
    <row r="29" spans="1:4" x14ac:dyDescent="0.2">
      <c r="A29" s="5">
        <v>5.0599999999999996</v>
      </c>
      <c r="B29" s="2">
        <v>4500</v>
      </c>
      <c r="C29" s="2">
        <v>889.32799999999997</v>
      </c>
      <c r="D29" s="2">
        <v>4500</v>
      </c>
    </row>
    <row r="30" spans="1:4" x14ac:dyDescent="0.2">
      <c r="A30" s="5">
        <v>5.94</v>
      </c>
      <c r="B30" s="2">
        <v>5100</v>
      </c>
      <c r="C30" s="2">
        <v>858.58579999999995</v>
      </c>
      <c r="D30" s="2">
        <v>5100</v>
      </c>
    </row>
    <row r="31" spans="1:4" x14ac:dyDescent="0.2">
      <c r="A31" s="5">
        <v>6.24</v>
      </c>
      <c r="B31" s="2">
        <v>5100</v>
      </c>
      <c r="C31" s="2">
        <v>817.30759999999998</v>
      </c>
      <c r="D31" s="2">
        <v>5100</v>
      </c>
    </row>
    <row r="32" spans="1:4" x14ac:dyDescent="0.2">
      <c r="A32" s="5">
        <v>6.76</v>
      </c>
      <c r="B32" s="2">
        <v>5600</v>
      </c>
      <c r="C32" s="2">
        <v>828.40229999999997</v>
      </c>
      <c r="D32" s="2">
        <v>5600</v>
      </c>
    </row>
    <row r="33" spans="1:4" x14ac:dyDescent="0.2">
      <c r="A33" s="5">
        <v>6.82</v>
      </c>
      <c r="B33" s="2">
        <v>5600</v>
      </c>
      <c r="C33" s="2">
        <v>821.11429999999996</v>
      </c>
      <c r="D33" s="2">
        <v>5600</v>
      </c>
    </row>
    <row r="34" spans="1:4" x14ac:dyDescent="0.2">
      <c r="A34" s="5">
        <v>6.84</v>
      </c>
      <c r="B34" s="2">
        <v>5600</v>
      </c>
      <c r="C34" s="2">
        <v>818.71339999999998</v>
      </c>
      <c r="D34" s="2">
        <v>5600</v>
      </c>
    </row>
    <row r="35" spans="1:4" x14ac:dyDescent="0.2">
      <c r="A35" s="5">
        <v>6.9</v>
      </c>
      <c r="B35" s="2">
        <v>5600</v>
      </c>
      <c r="C35" s="2">
        <v>811.5942</v>
      </c>
      <c r="D35" s="2">
        <v>5600</v>
      </c>
    </row>
    <row r="36" spans="1:4" x14ac:dyDescent="0.2">
      <c r="A36" s="5">
        <v>7.04</v>
      </c>
      <c r="B36" s="2">
        <v>5600</v>
      </c>
      <c r="C36" s="2">
        <v>795.45450000000005</v>
      </c>
      <c r="D36" s="2">
        <v>5600</v>
      </c>
    </row>
    <row r="37" spans="1:4" x14ac:dyDescent="0.2">
      <c r="A37" s="5">
        <v>7.5</v>
      </c>
      <c r="B37" s="2">
        <v>6000</v>
      </c>
      <c r="C37" s="2">
        <v>800</v>
      </c>
      <c r="D37" s="2">
        <v>6000</v>
      </c>
    </row>
    <row r="38" spans="1:4" x14ac:dyDescent="0.2">
      <c r="A38" s="5">
        <v>7.56</v>
      </c>
      <c r="B38" s="2">
        <v>6000</v>
      </c>
      <c r="C38" s="2">
        <v>793.65070000000003</v>
      </c>
      <c r="D38" s="2">
        <v>6000</v>
      </c>
    </row>
    <row r="39" spans="1:4" x14ac:dyDescent="0.2">
      <c r="A39" s="5">
        <v>7.6</v>
      </c>
      <c r="B39" s="2">
        <v>6000</v>
      </c>
      <c r="C39" s="2">
        <v>789.47360000000003</v>
      </c>
      <c r="D39" s="2">
        <v>6000</v>
      </c>
    </row>
    <row r="40" spans="1:4" x14ac:dyDescent="0.2">
      <c r="A40" s="5">
        <v>8.17</v>
      </c>
      <c r="B40" s="2">
        <v>6200</v>
      </c>
      <c r="C40" s="2">
        <v>758.87390000000005</v>
      </c>
      <c r="D40" s="2">
        <v>6200</v>
      </c>
    </row>
    <row r="41" spans="1:4" x14ac:dyDescent="0.2">
      <c r="A41" s="5">
        <v>8.9600000000000009</v>
      </c>
      <c r="B41" s="2">
        <v>6700</v>
      </c>
      <c r="C41" s="2">
        <v>747.76779999999997</v>
      </c>
      <c r="D41" s="2">
        <v>6700</v>
      </c>
    </row>
    <row r="42" spans="1:4" x14ac:dyDescent="0.2">
      <c r="A42" s="5">
        <v>9.24</v>
      </c>
      <c r="B42" s="2">
        <v>6700</v>
      </c>
      <c r="C42" s="2">
        <v>725.10820000000001</v>
      </c>
      <c r="D42" s="2">
        <v>6700</v>
      </c>
    </row>
    <row r="43" spans="1:4" x14ac:dyDescent="0.2">
      <c r="A43" s="5">
        <v>9.61</v>
      </c>
      <c r="B43" s="2">
        <v>6800</v>
      </c>
      <c r="C43" s="2">
        <v>707.59619999999995</v>
      </c>
      <c r="D43" s="2">
        <v>6800</v>
      </c>
    </row>
    <row r="44" spans="1:4" x14ac:dyDescent="0.2">
      <c r="A44" s="5">
        <v>9.9</v>
      </c>
      <c r="B44" s="2">
        <v>7000</v>
      </c>
      <c r="C44" s="2">
        <v>707.07069999999999</v>
      </c>
      <c r="D44" s="2">
        <v>7000</v>
      </c>
    </row>
    <row r="45" spans="1:4" x14ac:dyDescent="0.2">
      <c r="A45" s="4" t="s">
        <v>10</v>
      </c>
      <c r="B45" s="2">
        <v>3725</v>
      </c>
      <c r="C45" s="2">
        <v>942.49403125000003</v>
      </c>
      <c r="D45" s="2">
        <v>3725</v>
      </c>
    </row>
    <row r="46" spans="1:4" x14ac:dyDescent="0.2">
      <c r="A46" s="5">
        <v>2.4700000000000002</v>
      </c>
      <c r="B46" s="2">
        <v>2800</v>
      </c>
      <c r="C46" s="2">
        <v>1133.6032</v>
      </c>
      <c r="D46" s="2">
        <v>2800</v>
      </c>
    </row>
    <row r="47" spans="1:4" x14ac:dyDescent="0.2">
      <c r="A47" s="5">
        <v>2.56</v>
      </c>
      <c r="B47" s="2">
        <v>2800</v>
      </c>
      <c r="C47" s="2">
        <v>1093.75</v>
      </c>
      <c r="D47" s="2">
        <v>2800</v>
      </c>
    </row>
    <row r="48" spans="1:4" x14ac:dyDescent="0.2">
      <c r="A48" s="5">
        <v>3.08</v>
      </c>
      <c r="B48" s="2">
        <v>3100</v>
      </c>
      <c r="C48" s="2">
        <v>1006.4935</v>
      </c>
      <c r="D48" s="2">
        <v>3100</v>
      </c>
    </row>
    <row r="49" spans="1:4" x14ac:dyDescent="0.2">
      <c r="A49" s="5">
        <v>3.2</v>
      </c>
      <c r="B49" s="2">
        <v>3100</v>
      </c>
      <c r="C49" s="2">
        <v>968.75</v>
      </c>
      <c r="D49" s="2">
        <v>3100</v>
      </c>
    </row>
    <row r="50" spans="1:4" x14ac:dyDescent="0.2">
      <c r="A50" s="5">
        <v>3.3</v>
      </c>
      <c r="B50" s="2">
        <v>2000</v>
      </c>
      <c r="C50" s="2">
        <v>606.06060000000002</v>
      </c>
      <c r="D50" s="2">
        <v>2000</v>
      </c>
    </row>
    <row r="51" spans="1:4" x14ac:dyDescent="0.2">
      <c r="A51" s="5">
        <v>3.84</v>
      </c>
      <c r="B51" s="2">
        <v>3500</v>
      </c>
      <c r="C51" s="2">
        <v>911.45830000000001</v>
      </c>
      <c r="D51" s="2">
        <v>3500</v>
      </c>
    </row>
    <row r="52" spans="1:4" x14ac:dyDescent="0.2">
      <c r="A52" s="5">
        <v>4.1399999999999997</v>
      </c>
      <c r="B52" s="2">
        <v>4200</v>
      </c>
      <c r="C52" s="2">
        <v>1014.4927</v>
      </c>
      <c r="D52" s="2">
        <v>4200</v>
      </c>
    </row>
    <row r="53" spans="1:4" x14ac:dyDescent="0.2">
      <c r="A53" s="5">
        <v>4.18</v>
      </c>
      <c r="B53" s="2">
        <v>4200</v>
      </c>
      <c r="C53" s="2">
        <v>1004.7846</v>
      </c>
      <c r="D53" s="2">
        <v>4200</v>
      </c>
    </row>
    <row r="54" spans="1:4" x14ac:dyDescent="0.2">
      <c r="A54" s="5">
        <v>4.42</v>
      </c>
      <c r="B54" s="2">
        <v>4200</v>
      </c>
      <c r="C54" s="2">
        <v>950.22619999999995</v>
      </c>
      <c r="D54" s="2">
        <v>4200</v>
      </c>
    </row>
    <row r="55" spans="1:4" x14ac:dyDescent="0.2">
      <c r="A55" s="5">
        <v>4.4800000000000004</v>
      </c>
      <c r="B55" s="2">
        <v>4200</v>
      </c>
      <c r="C55" s="2">
        <v>937.5</v>
      </c>
      <c r="D55" s="2">
        <v>4200</v>
      </c>
    </row>
    <row r="56" spans="1:4" x14ac:dyDescent="0.2">
      <c r="A56" s="5">
        <v>4.5</v>
      </c>
      <c r="B56" s="2">
        <v>4200</v>
      </c>
      <c r="C56" s="2">
        <v>933.33330000000001</v>
      </c>
      <c r="D56" s="2">
        <v>4200</v>
      </c>
    </row>
    <row r="57" spans="1:4" x14ac:dyDescent="0.2">
      <c r="A57" s="5">
        <v>4.5599999999999996</v>
      </c>
      <c r="B57" s="2">
        <v>4200</v>
      </c>
      <c r="C57" s="2">
        <v>921.05259999999998</v>
      </c>
      <c r="D57" s="2">
        <v>4200</v>
      </c>
    </row>
    <row r="58" spans="1:4" x14ac:dyDescent="0.2">
      <c r="A58" s="5">
        <v>4.59</v>
      </c>
      <c r="B58" s="2">
        <v>4200</v>
      </c>
      <c r="C58" s="2">
        <v>915.0326</v>
      </c>
      <c r="D58" s="2">
        <v>4200</v>
      </c>
    </row>
    <row r="59" spans="1:4" x14ac:dyDescent="0.2">
      <c r="A59" s="5">
        <v>4.68</v>
      </c>
      <c r="B59" s="2">
        <v>4200</v>
      </c>
      <c r="C59" s="2">
        <v>897.43579999999997</v>
      </c>
      <c r="D59" s="2">
        <v>4200</v>
      </c>
    </row>
    <row r="60" spans="1:4" x14ac:dyDescent="0.2">
      <c r="A60" s="5">
        <v>4.8</v>
      </c>
      <c r="B60" s="2">
        <v>4200</v>
      </c>
      <c r="C60" s="2">
        <v>875</v>
      </c>
      <c r="D60" s="2">
        <v>4200</v>
      </c>
    </row>
    <row r="61" spans="1:4" x14ac:dyDescent="0.2">
      <c r="A61" s="5">
        <v>4.9400000000000004</v>
      </c>
      <c r="B61" s="2">
        <v>4500</v>
      </c>
      <c r="C61" s="2">
        <v>910.93110000000001</v>
      </c>
      <c r="D61" s="2">
        <v>4500</v>
      </c>
    </row>
    <row r="62" spans="1:4" x14ac:dyDescent="0.2">
      <c r="A62" s="4" t="s">
        <v>12</v>
      </c>
      <c r="B62" s="2">
        <v>2600</v>
      </c>
      <c r="C62" s="2">
        <v>1151.5865250000002</v>
      </c>
      <c r="D62" s="2">
        <v>2600</v>
      </c>
    </row>
    <row r="63" spans="1:4" x14ac:dyDescent="0.2">
      <c r="A63" s="5">
        <v>2.0699999999999998</v>
      </c>
      <c r="B63" s="2">
        <v>2600</v>
      </c>
      <c r="C63" s="2">
        <v>1256.0386000000001</v>
      </c>
      <c r="D63" s="2">
        <v>2600</v>
      </c>
    </row>
    <row r="64" spans="1:4" x14ac:dyDescent="0.2">
      <c r="A64" s="5">
        <v>2.08</v>
      </c>
      <c r="B64" s="2">
        <v>2600</v>
      </c>
      <c r="C64" s="2">
        <v>1250</v>
      </c>
      <c r="D64" s="2">
        <v>2600</v>
      </c>
    </row>
    <row r="65" spans="1:4" x14ac:dyDescent="0.2">
      <c r="A65" s="5">
        <v>2.1</v>
      </c>
      <c r="B65" s="2">
        <v>2600</v>
      </c>
      <c r="C65" s="2">
        <v>1238.0952</v>
      </c>
      <c r="D65" s="2">
        <v>2600</v>
      </c>
    </row>
    <row r="66" spans="1:4" x14ac:dyDescent="0.2">
      <c r="A66" s="5">
        <v>2.16</v>
      </c>
      <c r="B66" s="2">
        <v>2600</v>
      </c>
      <c r="C66" s="2">
        <v>1203.7037</v>
      </c>
      <c r="D66" s="2">
        <v>2600</v>
      </c>
    </row>
    <row r="67" spans="1:4" x14ac:dyDescent="0.2">
      <c r="A67" s="5">
        <v>2.2400000000000002</v>
      </c>
      <c r="B67" s="2">
        <v>2600</v>
      </c>
      <c r="C67" s="2">
        <v>1160.7141999999999</v>
      </c>
      <c r="D67" s="2">
        <v>2600</v>
      </c>
    </row>
    <row r="68" spans="1:4" x14ac:dyDescent="0.2">
      <c r="A68" s="5">
        <v>2.2799999999999998</v>
      </c>
      <c r="B68" s="2">
        <v>2600</v>
      </c>
      <c r="C68" s="2">
        <v>1140.3507999999999</v>
      </c>
      <c r="D68" s="2">
        <v>2600</v>
      </c>
    </row>
    <row r="69" spans="1:4" x14ac:dyDescent="0.2">
      <c r="A69" s="5">
        <v>2.31</v>
      </c>
      <c r="B69" s="2">
        <v>2600</v>
      </c>
      <c r="C69" s="2">
        <v>1125.5410999999999</v>
      </c>
      <c r="D69" s="2">
        <v>2600</v>
      </c>
    </row>
    <row r="70" spans="1:4" x14ac:dyDescent="0.2">
      <c r="A70" s="5">
        <v>2.34</v>
      </c>
      <c r="B70" s="2">
        <v>2600</v>
      </c>
      <c r="C70" s="2">
        <v>1111.1111000000001</v>
      </c>
      <c r="D70" s="2">
        <v>2600</v>
      </c>
    </row>
    <row r="71" spans="1:4" x14ac:dyDescent="0.2">
      <c r="A71" s="5">
        <v>2.38</v>
      </c>
      <c r="B71" s="2">
        <v>2600</v>
      </c>
      <c r="C71" s="2">
        <v>1092.4368999999999</v>
      </c>
      <c r="D71" s="2">
        <v>2600</v>
      </c>
    </row>
    <row r="72" spans="1:4" x14ac:dyDescent="0.2">
      <c r="A72" s="5">
        <v>2.4</v>
      </c>
      <c r="B72" s="2">
        <v>2600</v>
      </c>
      <c r="C72" s="2">
        <v>1083.3333</v>
      </c>
      <c r="D72" s="2">
        <v>2600</v>
      </c>
    </row>
    <row r="73" spans="1:4" x14ac:dyDescent="0.2">
      <c r="A73" s="5">
        <v>2.42</v>
      </c>
      <c r="B73" s="2">
        <v>2600</v>
      </c>
      <c r="C73" s="2">
        <v>1074.3801000000001</v>
      </c>
      <c r="D73" s="2">
        <v>2600</v>
      </c>
    </row>
    <row r="74" spans="1:4" x14ac:dyDescent="0.2">
      <c r="A74" s="4" t="s">
        <v>15</v>
      </c>
      <c r="B74" s="2">
        <v>4610.3968253968251</v>
      </c>
      <c r="C74" s="2">
        <v>1057.117776190476</v>
      </c>
      <c r="D74" s="2">
        <v>4610.3968253968251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Base</vt:lpstr>
      <vt:lpstr>Summ.Promotiom (MSS)</vt:lpstr>
      <vt:lpstr>Price List LEO vs MSS</vt:lpstr>
      <vt:lpstr>SKT</vt:lpstr>
      <vt:lpstr>SAM</vt:lpstr>
      <vt:lpstr>RAM</vt:lpstr>
      <vt:lpstr>RM9</vt:lpstr>
      <vt:lpstr>LPR</vt:lpstr>
      <vt:lpstr>PTG</vt:lpstr>
      <vt:lpstr>PTY</vt:lpstr>
      <vt:lpstr>BGS</vt:lpstr>
      <vt:lpstr>RCD</vt:lpstr>
      <vt:lpstr>Price List REDD vs. MSS</vt:lpstr>
      <vt:lpstr>Price List i-Store vs MSS</vt:lpstr>
      <vt:lpstr>NET ISS vs MSS NA</vt:lpstr>
      <vt:lpstr>NET ISS vs MSS AC</vt:lpstr>
      <vt:lpstr>Copy of Storage Price 1</vt:lpstr>
      <vt:lpstr>MSS net after disc.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 Supavej (วศิน สุภเวชย์)</dc:creator>
  <cp:lastModifiedBy>Yoji Hamanishi</cp:lastModifiedBy>
  <cp:lastPrinted>2025-05-13T08:58:38Z</cp:lastPrinted>
  <dcterms:created xsi:type="dcterms:W3CDTF">2025-04-29T09:32:10Z</dcterms:created>
  <dcterms:modified xsi:type="dcterms:W3CDTF">2025-07-22T12:08:30Z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2025-04-29T09:53:24Z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7b173268-d9fc-4fba-ac45-f388cfcba4e8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10, 3, 0, 1</vt:lpwstr>
  </property>
</Properties>
</file>