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 firstSheet="2" activeTab="7"/>
  </bookViews>
  <sheets>
    <sheet name="Arbeitsbedarf" sheetId="3" r:id="rId1"/>
    <sheet name="Maschinenmassen" sheetId="4" r:id="rId2"/>
    <sheet name="Volumenbedarf" sheetId="5" r:id="rId3"/>
    <sheet name="Tabelle1" sheetId="1" r:id="rId4"/>
    <sheet name="Flächenbedarf" sheetId="6" r:id="rId5"/>
    <sheet name="LeistungV" sheetId="7" r:id="rId6"/>
    <sheet name="Leistungm2" sheetId="8" r:id="rId7"/>
    <sheet name="Leistungmasse" sheetId="9" r:id="rId8"/>
  </sheets>
  <calcPr calcId="124519"/>
</workbook>
</file>

<file path=xl/calcChain.xml><?xml version="1.0" encoding="utf-8"?>
<calcChain xmlns="http://schemas.openxmlformats.org/spreadsheetml/2006/main">
  <c r="W168" i="1"/>
  <c r="W169"/>
  <c r="W170"/>
  <c r="Z7"/>
  <c r="AA7"/>
  <c r="AD7"/>
  <c r="AE7"/>
  <c r="Z8"/>
  <c r="AA8"/>
  <c r="AD8"/>
  <c r="AE8"/>
  <c r="Z9"/>
  <c r="AA9"/>
  <c r="AD9"/>
  <c r="AE9"/>
  <c r="Z10"/>
  <c r="AA10"/>
  <c r="AD10"/>
  <c r="AE10"/>
  <c r="V12"/>
  <c r="W12"/>
  <c r="X12"/>
  <c r="Y12"/>
  <c r="Z12"/>
  <c r="AA12"/>
  <c r="AB12"/>
  <c r="AC12"/>
  <c r="AD12"/>
  <c r="AE12"/>
  <c r="W42"/>
  <c r="X42"/>
  <c r="Y42"/>
  <c r="W43"/>
  <c r="X43"/>
  <c r="Y43"/>
  <c r="W44"/>
  <c r="X44"/>
  <c r="Y44"/>
  <c r="W45"/>
  <c r="X45"/>
  <c r="Y45"/>
  <c r="V48"/>
  <c r="W48"/>
  <c r="X48"/>
  <c r="Y48"/>
  <c r="Z48"/>
  <c r="AA48"/>
  <c r="AB48"/>
  <c r="AC48"/>
  <c r="AD48"/>
  <c r="AE48"/>
  <c r="W49"/>
  <c r="X49"/>
  <c r="Y49"/>
  <c r="W52"/>
  <c r="X52"/>
  <c r="Y52"/>
  <c r="W53"/>
  <c r="X53"/>
  <c r="Y53"/>
  <c r="W54"/>
  <c r="X54"/>
  <c r="Y54"/>
  <c r="W55"/>
  <c r="X55"/>
  <c r="Y55"/>
  <c r="W56"/>
  <c r="X56"/>
  <c r="Y56"/>
  <c r="W57"/>
  <c r="X57"/>
  <c r="Y57"/>
  <c r="W58"/>
  <c r="X58"/>
  <c r="Y58"/>
  <c r="W61"/>
  <c r="X61"/>
  <c r="Y61"/>
  <c r="W62"/>
  <c r="X62"/>
  <c r="Y62"/>
  <c r="W63"/>
  <c r="X63"/>
  <c r="Y63"/>
  <c r="W64"/>
  <c r="X64"/>
  <c r="Y64"/>
  <c r="V67"/>
  <c r="W67"/>
  <c r="X67"/>
  <c r="Y67"/>
  <c r="Z67"/>
  <c r="AA67"/>
  <c r="AB67"/>
  <c r="AC67"/>
  <c r="AD67"/>
  <c r="AE67"/>
  <c r="V68"/>
  <c r="W68"/>
  <c r="X68"/>
  <c r="Y68"/>
  <c r="Z68"/>
  <c r="AA68"/>
  <c r="AB68"/>
  <c r="AC68"/>
  <c r="AD68"/>
  <c r="AE68"/>
  <c r="V69"/>
  <c r="W69"/>
  <c r="X69"/>
  <c r="Y69"/>
  <c r="Z69"/>
  <c r="AA69"/>
  <c r="AB69"/>
  <c r="AC69"/>
  <c r="AD69"/>
  <c r="AE69"/>
  <c r="W72"/>
  <c r="X72"/>
  <c r="Y72"/>
  <c r="V75"/>
  <c r="W75"/>
  <c r="X75"/>
  <c r="Y75"/>
  <c r="Z75"/>
  <c r="AA75"/>
  <c r="AB75"/>
  <c r="AC75"/>
  <c r="AD75"/>
  <c r="AE75"/>
  <c r="V79"/>
  <c r="W79"/>
  <c r="AB79"/>
  <c r="AC79"/>
  <c r="V80"/>
  <c r="W80"/>
  <c r="AB80"/>
  <c r="AC80"/>
  <c r="V81"/>
  <c r="W81"/>
  <c r="AB81"/>
  <c r="AC81"/>
  <c r="V82"/>
  <c r="W82"/>
  <c r="AB82"/>
  <c r="AC82"/>
  <c r="V84"/>
  <c r="W84"/>
  <c r="AB84"/>
  <c r="AC84"/>
  <c r="V85"/>
  <c r="W85"/>
  <c r="AB85"/>
  <c r="AC85"/>
  <c r="V86"/>
  <c r="W86"/>
  <c r="AB86"/>
  <c r="AC86"/>
  <c r="V87"/>
  <c r="W87"/>
  <c r="AB87"/>
  <c r="AC87"/>
  <c r="Z90"/>
  <c r="AA90"/>
  <c r="AB90"/>
  <c r="AC90"/>
  <c r="AD90"/>
  <c r="AE90"/>
  <c r="Z91"/>
  <c r="AA91"/>
  <c r="AB91"/>
  <c r="AC91"/>
  <c r="AD91"/>
  <c r="AE91"/>
  <c r="V94"/>
  <c r="W94"/>
  <c r="AB94"/>
  <c r="AC94"/>
  <c r="V95"/>
  <c r="W95"/>
  <c r="AB95"/>
  <c r="AC95"/>
  <c r="V96"/>
  <c r="W96"/>
  <c r="AB96"/>
  <c r="AC96"/>
  <c r="V97"/>
  <c r="W97"/>
  <c r="AB97"/>
  <c r="AC97"/>
  <c r="V98"/>
  <c r="W98"/>
  <c r="AB98"/>
  <c r="AC98"/>
  <c r="V100"/>
  <c r="W100"/>
  <c r="X100"/>
  <c r="Y100"/>
  <c r="Z100"/>
  <c r="AA100"/>
  <c r="AB100"/>
  <c r="AC100"/>
  <c r="AD100"/>
  <c r="AE100"/>
  <c r="W103"/>
  <c r="X103"/>
  <c r="Y103"/>
  <c r="V108"/>
  <c r="W108"/>
  <c r="AB108"/>
  <c r="AC108"/>
  <c r="V109"/>
  <c r="W109"/>
  <c r="AB109"/>
  <c r="AC109"/>
  <c r="V112"/>
  <c r="W112"/>
  <c r="X112"/>
  <c r="Y112"/>
  <c r="Z112"/>
  <c r="AA112"/>
  <c r="AB112"/>
  <c r="AC112"/>
  <c r="AD112"/>
  <c r="AE112"/>
  <c r="V113"/>
  <c r="W113"/>
  <c r="X113"/>
  <c r="Y113"/>
  <c r="Z113"/>
  <c r="AA113"/>
  <c r="AB113"/>
  <c r="AC113"/>
  <c r="AD113"/>
  <c r="AE113"/>
  <c r="V114"/>
  <c r="W114"/>
  <c r="X114"/>
  <c r="Y114"/>
  <c r="Z114"/>
  <c r="AA114"/>
  <c r="AB114"/>
  <c r="AC114"/>
  <c r="AD114"/>
  <c r="AE114"/>
  <c r="V115"/>
  <c r="W115"/>
  <c r="X115"/>
  <c r="Y115"/>
  <c r="Z115"/>
  <c r="AA115"/>
  <c r="AB115"/>
  <c r="AC115"/>
  <c r="AD115"/>
  <c r="AE115"/>
  <c r="V116"/>
  <c r="W116"/>
  <c r="X116"/>
  <c r="Y116"/>
  <c r="Z116"/>
  <c r="AA116"/>
  <c r="AB116"/>
  <c r="AC116"/>
  <c r="AD116"/>
  <c r="AE116"/>
  <c r="W119"/>
  <c r="X119"/>
  <c r="Y119"/>
  <c r="W120"/>
  <c r="X120"/>
  <c r="Y120"/>
  <c r="W121"/>
  <c r="X121"/>
  <c r="Y121"/>
  <c r="W122"/>
  <c r="X122"/>
  <c r="Y122"/>
  <c r="W143"/>
  <c r="X143"/>
  <c r="Y143"/>
  <c r="V146"/>
  <c r="W146"/>
  <c r="X146"/>
  <c r="Y146"/>
  <c r="Z146"/>
  <c r="AA146"/>
  <c r="AB146"/>
  <c r="AC146"/>
  <c r="AD146"/>
  <c r="AE146"/>
  <c r="V147"/>
  <c r="W147"/>
  <c r="X147"/>
  <c r="Y147"/>
  <c r="Z147"/>
  <c r="AA147"/>
  <c r="AB147"/>
  <c r="AC147"/>
  <c r="AD147"/>
  <c r="AE147"/>
  <c r="W149"/>
  <c r="X149"/>
  <c r="V152"/>
  <c r="W152"/>
  <c r="X152"/>
  <c r="Y152"/>
  <c r="Z152"/>
  <c r="AA152"/>
  <c r="AB152"/>
  <c r="AC152"/>
  <c r="AD152"/>
  <c r="AE152"/>
  <c r="V153"/>
  <c r="W153"/>
  <c r="X153"/>
  <c r="Y153"/>
  <c r="Z153"/>
  <c r="AA153"/>
  <c r="AB153"/>
  <c r="AC153"/>
  <c r="AD153"/>
  <c r="AE153"/>
  <c r="V154"/>
  <c r="W154"/>
  <c r="X154"/>
  <c r="Y154"/>
  <c r="Z154"/>
  <c r="AA154"/>
  <c r="AB154"/>
  <c r="AC154"/>
  <c r="AD154"/>
  <c r="AE154"/>
  <c r="V157"/>
  <c r="W157"/>
  <c r="X157"/>
  <c r="Y157"/>
  <c r="Z157"/>
  <c r="AA157"/>
  <c r="AB157"/>
  <c r="AC157"/>
  <c r="AD157"/>
  <c r="AE157"/>
  <c r="V158"/>
  <c r="W158"/>
  <c r="X158"/>
  <c r="Y158"/>
  <c r="Z158"/>
  <c r="AA158"/>
  <c r="AB158"/>
  <c r="AC158"/>
  <c r="AD158"/>
  <c r="AE158"/>
  <c r="V159"/>
  <c r="W159"/>
  <c r="X159"/>
  <c r="Y159"/>
  <c r="Z159"/>
  <c r="AA159"/>
  <c r="AB159"/>
  <c r="AC159"/>
  <c r="AD159"/>
  <c r="AE159"/>
  <c r="V162"/>
  <c r="W162"/>
  <c r="X162"/>
  <c r="Z162"/>
  <c r="AB162"/>
  <c r="AC162"/>
  <c r="AD162"/>
  <c r="V163"/>
  <c r="W163"/>
  <c r="X163"/>
  <c r="Z163"/>
  <c r="AB163"/>
  <c r="AC163"/>
  <c r="AD163"/>
  <c r="V164"/>
  <c r="W164"/>
  <c r="X164"/>
  <c r="Z164"/>
  <c r="AB164"/>
  <c r="AC164"/>
  <c r="AD164"/>
  <c r="V165"/>
  <c r="W165"/>
  <c r="X165"/>
  <c r="Z165"/>
  <c r="AB165"/>
  <c r="AC165"/>
  <c r="AD165"/>
  <c r="W167"/>
  <c r="AE4"/>
  <c r="AD4"/>
  <c r="AC4"/>
  <c r="AB4"/>
  <c r="AA4"/>
  <c r="Z4"/>
  <c r="Y4"/>
  <c r="X4"/>
  <c r="V4"/>
  <c r="W4"/>
  <c r="G168"/>
  <c r="G169"/>
  <c r="G170"/>
  <c r="G167"/>
  <c r="G165"/>
  <c r="G164"/>
  <c r="G163"/>
  <c r="G162"/>
  <c r="G158"/>
  <c r="G157"/>
  <c r="G153"/>
  <c r="G154"/>
  <c r="G152"/>
  <c r="G149"/>
  <c r="G147"/>
  <c r="G146"/>
  <c r="G143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16"/>
  <c r="G115"/>
  <c r="G114"/>
  <c r="G113"/>
  <c r="G112"/>
  <c r="G109"/>
  <c r="G108"/>
  <c r="G107"/>
  <c r="G103" l="1"/>
  <c r="G100"/>
  <c r="G98"/>
  <c r="G97"/>
  <c r="G96"/>
  <c r="G95"/>
  <c r="G94"/>
  <c r="G91"/>
  <c r="G90"/>
  <c r="G87"/>
  <c r="G86"/>
  <c r="G85"/>
  <c r="G84"/>
  <c r="G82"/>
  <c r="G81"/>
  <c r="G80"/>
  <c r="G79"/>
  <c r="G75"/>
  <c r="G72"/>
  <c r="G69"/>
  <c r="G68"/>
  <c r="G67"/>
  <c r="G64"/>
  <c r="G63"/>
  <c r="G62"/>
  <c r="G61"/>
  <c r="G58"/>
  <c r="G57"/>
  <c r="G56"/>
  <c r="G55"/>
  <c r="G54"/>
  <c r="G53"/>
  <c r="G52"/>
  <c r="G48"/>
  <c r="G45"/>
  <c r="G43"/>
  <c r="G44"/>
  <c r="G42"/>
  <c r="G38"/>
  <c r="G39"/>
  <c r="G37"/>
  <c r="G34"/>
  <c r="G35"/>
  <c r="G33"/>
  <c r="G10"/>
  <c r="G9"/>
  <c r="G8"/>
  <c r="G7"/>
  <c r="G4"/>
  <c r="J69"/>
  <c r="J68"/>
  <c r="J67"/>
  <c r="I69"/>
  <c r="I68"/>
  <c r="I67"/>
  <c r="J49"/>
  <c r="I49"/>
  <c r="J48"/>
  <c r="I48"/>
</calcChain>
</file>

<file path=xl/sharedStrings.xml><?xml version="1.0" encoding="utf-8"?>
<sst xmlns="http://schemas.openxmlformats.org/spreadsheetml/2006/main" count="266" uniqueCount="212">
  <si>
    <t>Hersteller</t>
  </si>
  <si>
    <t>Typenbezeichnung</t>
  </si>
  <si>
    <t>Durchsatz</t>
  </si>
  <si>
    <t>Leistung</t>
  </si>
  <si>
    <t>Abmessungen</t>
  </si>
  <si>
    <t>min.</t>
  </si>
  <si>
    <t>max.</t>
  </si>
  <si>
    <t>min</t>
  </si>
  <si>
    <t>max</t>
  </si>
  <si>
    <t>Höhe</t>
  </si>
  <si>
    <t>Breite</t>
  </si>
  <si>
    <t>Tiefe</t>
  </si>
  <si>
    <t>[t/h]</t>
  </si>
  <si>
    <t>[m³/h]</t>
  </si>
  <si>
    <t>[mm x mm]</t>
  </si>
  <si>
    <t>[mm]</t>
  </si>
  <si>
    <t>[kW]</t>
  </si>
  <si>
    <t>[t]</t>
  </si>
  <si>
    <t>Posch</t>
  </si>
  <si>
    <t>Siebtechnik</t>
  </si>
  <si>
    <t>ThyssenKrupp</t>
  </si>
  <si>
    <t>Geöffnetfläche</t>
  </si>
  <si>
    <t>[m²]</t>
  </si>
  <si>
    <t>Max. feed particle size</t>
  </si>
  <si>
    <t>Product particle size</t>
  </si>
  <si>
    <t>Ammann</t>
  </si>
  <si>
    <t>3900 x 10000</t>
  </si>
  <si>
    <t>Beyer</t>
  </si>
  <si>
    <t>4750 x 1170</t>
  </si>
  <si>
    <t>3750 x 1400</t>
  </si>
  <si>
    <t>2,0 x 1,0</t>
  </si>
  <si>
    <t>5.0 x 1,25</t>
  </si>
  <si>
    <t>3,0 x 1,0</t>
  </si>
  <si>
    <t>4,0 x 1,5</t>
  </si>
  <si>
    <t>1840 x 910</t>
  </si>
  <si>
    <t>2750 x 910</t>
  </si>
  <si>
    <t>Binder + CO</t>
  </si>
  <si>
    <t>Cemag</t>
  </si>
  <si>
    <t>KSS-12-30-1</t>
  </si>
  <si>
    <t>KSS-12-30-2</t>
  </si>
  <si>
    <t>KSS-12-30-3</t>
  </si>
  <si>
    <t>KSS-15-40-1</t>
  </si>
  <si>
    <t>KSS-15-40-2</t>
  </si>
  <si>
    <t>KSS-15-40-3</t>
  </si>
  <si>
    <t>KSS-18-50-1</t>
  </si>
  <si>
    <t>KSS-18-50-2</t>
  </si>
  <si>
    <t>KSS-18-50-3</t>
  </si>
  <si>
    <t>KSS-21-60-1</t>
  </si>
  <si>
    <t>KSS-21-60-2</t>
  </si>
  <si>
    <t>KSS-21-60-3</t>
  </si>
  <si>
    <t>KSS-10-20-1</t>
  </si>
  <si>
    <t>KSS-15-50-2</t>
  </si>
  <si>
    <t>KSS-21-70-2</t>
  </si>
  <si>
    <t>Cyrus</t>
  </si>
  <si>
    <t>Vibration motor</t>
  </si>
  <si>
    <t>KS-1DV</t>
  </si>
  <si>
    <t>KS-2DV</t>
  </si>
  <si>
    <t>KS-3DV</t>
  </si>
  <si>
    <t>Circular drive</t>
  </si>
  <si>
    <t>KS-1DK</t>
  </si>
  <si>
    <t>KS-2DK</t>
  </si>
  <si>
    <t>KS-3DK</t>
  </si>
  <si>
    <t>1600 x 3600</t>
  </si>
  <si>
    <t>2000 x 8000</t>
  </si>
  <si>
    <t>DBR</t>
  </si>
  <si>
    <t>2500 x 8000</t>
  </si>
  <si>
    <t>2500 x 7000</t>
  </si>
  <si>
    <t>Derrick</t>
  </si>
  <si>
    <t>Repulp F48-120R-4-3</t>
  </si>
  <si>
    <t>Dry Screen</t>
  </si>
  <si>
    <t>1200 x 3000</t>
  </si>
  <si>
    <t>Extec/Fintec</t>
  </si>
  <si>
    <t>Extec S-7</t>
  </si>
  <si>
    <t>Extec S-6</t>
  </si>
  <si>
    <t>Extec S-5 Doublescreen</t>
  </si>
  <si>
    <t>Extec S-4Doublescreen</t>
  </si>
  <si>
    <t>Extec S-3</t>
  </si>
  <si>
    <t>Fintec 570 Screener</t>
  </si>
  <si>
    <t>Fintec 542 Screener</t>
  </si>
  <si>
    <t>3048 x 1524</t>
  </si>
  <si>
    <t>2439 x 1524</t>
  </si>
  <si>
    <t>1524 x 1524</t>
  </si>
  <si>
    <t>5480 x 1500</t>
  </si>
  <si>
    <t>3600 x 1500</t>
  </si>
  <si>
    <t>Hartl</t>
  </si>
  <si>
    <t>HCS 3715</t>
  </si>
  <si>
    <t>HCS 5515</t>
  </si>
  <si>
    <t>HCS 6015</t>
  </si>
  <si>
    <t>HCS GRIZZLY</t>
  </si>
  <si>
    <t>1500 x 3650</t>
  </si>
  <si>
    <t>1500 x 5500</t>
  </si>
  <si>
    <t>1500 x 6341</t>
  </si>
  <si>
    <t>Haver &amp; Boecker</t>
  </si>
  <si>
    <t>Niagara 2-bearing screen in concentric</t>
  </si>
  <si>
    <t>Niagara 4-bearing screen in concentric</t>
  </si>
  <si>
    <t>Niagara Speed line</t>
  </si>
  <si>
    <t>3000 x 8000</t>
  </si>
  <si>
    <t>2700 x 8000</t>
  </si>
  <si>
    <t>1500 x 3000</t>
  </si>
  <si>
    <t>Hein, Lehmann</t>
  </si>
  <si>
    <t>UK-ED/DD</t>
  </si>
  <si>
    <t>2400 x 7000</t>
  </si>
  <si>
    <t>HMH</t>
  </si>
  <si>
    <t>TS3600</t>
  </si>
  <si>
    <t>3000 x 1250</t>
  </si>
  <si>
    <t>Jöst</t>
  </si>
  <si>
    <t>Unbalance motor</t>
  </si>
  <si>
    <t>SVE</t>
  </si>
  <si>
    <t>SVZ</t>
  </si>
  <si>
    <t>SVD</t>
  </si>
  <si>
    <t>SVV</t>
  </si>
  <si>
    <t>Shaft drive</t>
  </si>
  <si>
    <t>SWE</t>
  </si>
  <si>
    <t>SWZ</t>
  </si>
  <si>
    <t>SWD</t>
  </si>
  <si>
    <t>SW</t>
  </si>
  <si>
    <t>1400 x 3000</t>
  </si>
  <si>
    <t>1200 x 2500</t>
  </si>
  <si>
    <t>3500 x 7000</t>
  </si>
  <si>
    <t>2500 x 6000</t>
  </si>
  <si>
    <t>Kormann Rockster</t>
  </si>
  <si>
    <t>Screening box optional ac. for R800/R900</t>
  </si>
  <si>
    <t>Screening plant RDS 3000</t>
  </si>
  <si>
    <t>1200 x 1800</t>
  </si>
  <si>
    <t>1200 x 2400</t>
  </si>
  <si>
    <t>Metso</t>
  </si>
  <si>
    <t>RF SH</t>
  </si>
  <si>
    <t>RF XH</t>
  </si>
  <si>
    <t>KS (circular)</t>
  </si>
  <si>
    <t>2830 x 6100</t>
  </si>
  <si>
    <t>3000 x 7300</t>
  </si>
  <si>
    <t>2400 x 7300</t>
  </si>
  <si>
    <t xml:space="preserve">CVB </t>
  </si>
  <si>
    <t>CVB-P</t>
  </si>
  <si>
    <t>MFL</t>
  </si>
  <si>
    <t>Mogensen</t>
  </si>
  <si>
    <t>Sizer</t>
  </si>
  <si>
    <t>1300 x 6000</t>
  </si>
  <si>
    <t>Stationary Screenplant Type Screen</t>
  </si>
  <si>
    <t>153672 skid</t>
  </si>
  <si>
    <t>153673 skid</t>
  </si>
  <si>
    <t>1860/3 stationary</t>
  </si>
  <si>
    <t>1500 x 3600</t>
  </si>
  <si>
    <t>1800 x 6000</t>
  </si>
  <si>
    <t>Rhewum</t>
  </si>
  <si>
    <t>UW Screen</t>
  </si>
  <si>
    <t>1600 x 4500</t>
  </si>
  <si>
    <t>1800 x 4500</t>
  </si>
  <si>
    <t>1800 x 5000</t>
  </si>
  <si>
    <t>12500 x 2000</t>
  </si>
  <si>
    <t>Sandvik</t>
  </si>
  <si>
    <t>Master-Flo SG</t>
  </si>
  <si>
    <t>Master-Flo XS</t>
  </si>
  <si>
    <t>Master-Flo CS</t>
  </si>
  <si>
    <t>Inclined vibration Screen</t>
  </si>
  <si>
    <t>SBM</t>
  </si>
  <si>
    <t>900 x 2000</t>
  </si>
  <si>
    <t>1200 x 4000</t>
  </si>
  <si>
    <t>1500 x 4000</t>
  </si>
  <si>
    <t>1800 x 4000</t>
  </si>
  <si>
    <t>1500 x 5000</t>
  </si>
  <si>
    <t>2100 x 5000</t>
  </si>
  <si>
    <t>2100 x 6000</t>
  </si>
  <si>
    <t>2400 x 6000</t>
  </si>
  <si>
    <t>2100 x 7000</t>
  </si>
  <si>
    <t>2700 x 7000</t>
  </si>
  <si>
    <t>2400 x 8000</t>
  </si>
  <si>
    <t>Schenck Process</t>
  </si>
  <si>
    <t>Rota Class</t>
  </si>
  <si>
    <t>3100 x 8000</t>
  </si>
  <si>
    <t>Screening</t>
  </si>
  <si>
    <t>Single-deck-screen</t>
  </si>
  <si>
    <t>Double-deck-screen</t>
  </si>
  <si>
    <t>2500 x 6300</t>
  </si>
  <si>
    <t>800 x 9000</t>
  </si>
  <si>
    <t>Spaleck</t>
  </si>
  <si>
    <t>SEK/SEW</t>
  </si>
  <si>
    <t>SZK/SZW</t>
  </si>
  <si>
    <t>SDW</t>
  </si>
  <si>
    <t>2600 x 6000</t>
  </si>
  <si>
    <t>Sweco</t>
  </si>
  <si>
    <t>Universal round motion</t>
  </si>
  <si>
    <t>Round motion</t>
  </si>
  <si>
    <t>Round separator US48588</t>
  </si>
  <si>
    <t>2700 x 1200</t>
  </si>
  <si>
    <t>Turbo ED</t>
  </si>
  <si>
    <t>Turbo DD</t>
  </si>
  <si>
    <t>Turbo 3D</t>
  </si>
  <si>
    <t>Turbo 4D</t>
  </si>
  <si>
    <t>Wima</t>
  </si>
  <si>
    <t>Siebgewicht</t>
  </si>
  <si>
    <t>Spez. Arbeitsbedarf</t>
  </si>
  <si>
    <t>[kWh/t]</t>
  </si>
  <si>
    <t>Spez. Leistungbedarf</t>
  </si>
  <si>
    <t>[kW/t]</t>
  </si>
  <si>
    <t>[kW/m²]</t>
  </si>
  <si>
    <t>[kW/m³]</t>
  </si>
  <si>
    <t>Spez. Flächenbedarf</t>
  </si>
  <si>
    <t>Spez. Raumbedarf</t>
  </si>
  <si>
    <t>Spez. Maschinenmassen</t>
  </si>
  <si>
    <t>[m²h/t]</t>
  </si>
  <si>
    <t>[m³h/t]</t>
  </si>
  <si>
    <t>[th/t]</t>
  </si>
  <si>
    <t>Spez. Durchsatz bez. auf</t>
  </si>
  <si>
    <t>Maschinenmassen</t>
  </si>
  <si>
    <t>Maschinenflächen</t>
  </si>
  <si>
    <t>Machinenvolumen</t>
  </si>
  <si>
    <t>[t/ht]</t>
  </si>
  <si>
    <t>[t/hm²]</t>
  </si>
  <si>
    <t>[t/hm³]</t>
  </si>
  <si>
    <t>Siebfläche</t>
  </si>
  <si>
    <t>Siebdecke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</si>
</sst>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NumberFormat="1" applyFont="1" applyBorder="1"/>
    <xf numFmtId="1" fontId="0" fillId="0" borderId="0" xfId="0" applyNumberFormat="1" applyFont="1" applyFill="1" applyBorder="1"/>
    <xf numFmtId="0" fontId="0" fillId="0" borderId="0" xfId="0" applyBorder="1" applyAlignment="1">
      <alignment horizontal="right"/>
    </xf>
    <xf numFmtId="0" fontId="1" fillId="0" borderId="0" xfId="0" applyNumberFormat="1" applyFont="1" applyBorder="1"/>
    <xf numFmtId="0" fontId="0" fillId="0" borderId="0" xfId="0" applyNumberFormat="1" applyFont="1" applyFill="1" applyBorder="1"/>
    <xf numFmtId="0" fontId="0" fillId="0" borderId="0" xfId="0" applyNumberFormat="1" applyBorder="1" applyAlignment="1">
      <alignment horizontal="right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1" xfId="0" applyBorder="1"/>
    <xf numFmtId="1" fontId="0" fillId="0" borderId="1" xfId="0" applyNumberFormat="1" applyFill="1" applyBorder="1"/>
    <xf numFmtId="1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0" fontId="0" fillId="0" borderId="1" xfId="0" applyNumberFormat="1" applyFont="1" applyBorder="1"/>
    <xf numFmtId="0" fontId="1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2" xfId="0" applyFill="1" applyBorder="1"/>
    <xf numFmtId="1" fontId="0" fillId="0" borderId="2" xfId="0" applyNumberFormat="1" applyFont="1" applyFill="1" applyBorder="1"/>
    <xf numFmtId="0" fontId="0" fillId="0" borderId="2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2" fontId="0" fillId="0" borderId="0" xfId="0" applyNumberFormat="1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0" fontId="0" fillId="0" borderId="4" xfId="0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2" xfId="0" applyNumberFormat="1" applyBorder="1"/>
    <xf numFmtId="0" fontId="0" fillId="0" borderId="2" xfId="0" applyNumberFormat="1" applyFill="1" applyBorder="1"/>
    <xf numFmtId="1" fontId="0" fillId="0" borderId="2" xfId="0" applyNumberFormat="1" applyFill="1" applyBorder="1"/>
    <xf numFmtId="0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Tabelle1!$V$4</c:f>
              <c:numCache>
                <c:formatCode>General</c:formatCode>
                <c:ptCount val="1"/>
                <c:pt idx="0">
                  <c:v>3.0833333333333334E-2</c:v>
                </c:pt>
              </c:numCache>
            </c:numRef>
          </c:yVal>
        </c:ser>
        <c:ser>
          <c:idx val="0"/>
          <c:order val="1"/>
          <c:tx>
            <c:strRef>
              <c:f>Tabelle1!$A$6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Tabelle1!$N$7:$N$10</c:f>
              <c:numCache>
                <c:formatCode>General</c:formatCode>
                <c:ptCount val="4"/>
                <c:pt idx="0">
                  <c:v>32</c:v>
                </c:pt>
                <c:pt idx="1">
                  <c:v>500</c:v>
                </c:pt>
                <c:pt idx="2">
                  <c:v>32</c:v>
                </c:pt>
                <c:pt idx="3">
                  <c:v>420</c:v>
                </c:pt>
              </c:numCache>
            </c:numRef>
          </c:xVal>
          <c:yVal>
            <c:numRef>
              <c:f>Tabelle1!$V$7:$V$10</c:f>
              <c:numCache>
                <c:formatCode>General</c:formatCode>
                <c:ptCount val="4"/>
              </c:numCache>
            </c:numRef>
          </c:yVal>
        </c:ser>
        <c:ser>
          <c:idx val="2"/>
          <c:order val="2"/>
          <c:tx>
            <c:strRef>
              <c:f>Tabelle1!$A$12</c:f>
              <c:strCache>
                <c:ptCount val="1"/>
                <c:pt idx="0">
                  <c:v>Binder + 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Tabelle1!$V$12</c:f>
              <c:numCache>
                <c:formatCode>General</c:formatCode>
                <c:ptCount val="1"/>
                <c:pt idx="0">
                  <c:v>5.5E-2</c:v>
                </c:pt>
              </c:numCache>
            </c:numRef>
          </c:yVal>
        </c:ser>
        <c:ser>
          <c:idx val="3"/>
          <c:order val="3"/>
          <c:tx>
            <c:strRef>
              <c:f>Tabelle1!$A$47</c:f>
              <c:strCache>
                <c:ptCount val="1"/>
                <c:pt idx="0">
                  <c:v>Derrick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Tabelle1!$V$48</c:f>
              <c:numCache>
                <c:formatCode>General</c:formatCode>
                <c:ptCount val="1"/>
                <c:pt idx="0">
                  <c:v>3.6000000000000004E-2</c:v>
                </c:pt>
              </c:numCache>
            </c:numRef>
          </c:yVal>
        </c:ser>
        <c:ser>
          <c:idx val="4"/>
          <c:order val="4"/>
          <c:tx>
            <c:strRef>
              <c:f>Tabelle1!$A$66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Tabelle1!$N$67:$N$69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80</c:v>
                </c:pt>
              </c:numCache>
            </c:numRef>
          </c:xVal>
          <c:yVal>
            <c:numRef>
              <c:f>Tabelle1!$V$67:$V$69</c:f>
              <c:numCache>
                <c:formatCode>General</c:formatCode>
                <c:ptCount val="3"/>
                <c:pt idx="0">
                  <c:v>4.4999999999999998E-2</c:v>
                </c:pt>
                <c:pt idx="1">
                  <c:v>0.03</c:v>
                </c:pt>
                <c:pt idx="2">
                  <c:v>1.6250000000000001E-2</c:v>
                </c:pt>
              </c:numCache>
            </c:numRef>
          </c:yVal>
        </c:ser>
        <c:ser>
          <c:idx val="5"/>
          <c:order val="5"/>
          <c:tx>
            <c:strRef>
              <c:f>Tabelle1!$A$74</c:f>
              <c:strCache>
                <c:ptCount val="1"/>
                <c:pt idx="0">
                  <c:v>HMH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Tabelle1!$N$75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Tabelle1!$V$75</c:f>
              <c:numCache>
                <c:formatCode>General</c:formatCode>
                <c:ptCount val="1"/>
                <c:pt idx="0">
                  <c:v>0.20749999999999999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Tabelle1!$N$79:$N$87</c:f>
              <c:numCache>
                <c:formatCode>General</c:formatCode>
                <c:ptCount val="9"/>
                <c:pt idx="0">
                  <c:v>350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5">
                  <c:v>2000</c:v>
                </c:pt>
                <c:pt idx="6">
                  <c:v>2000</c:v>
                </c:pt>
                <c:pt idx="7">
                  <c:v>1100</c:v>
                </c:pt>
                <c:pt idx="8">
                  <c:v>1100</c:v>
                </c:pt>
              </c:numCache>
            </c:numRef>
          </c:xVal>
          <c:yVal>
            <c:numRef>
              <c:f>Tabelle1!$V$79:$V$87</c:f>
              <c:numCache>
                <c:formatCode>General</c:formatCode>
                <c:ptCount val="9"/>
                <c:pt idx="0">
                  <c:v>2.7142857142857142E-2</c:v>
                </c:pt>
                <c:pt idx="1">
                  <c:v>2.7142857142857142E-2</c:v>
                </c:pt>
                <c:pt idx="2">
                  <c:v>3.7999999999999999E-2</c:v>
                </c:pt>
                <c:pt idx="3">
                  <c:v>3.7999999999999999E-2</c:v>
                </c:pt>
                <c:pt idx="5">
                  <c:v>9.2499999999999995E-3</c:v>
                </c:pt>
                <c:pt idx="6">
                  <c:v>1.4999999999999999E-2</c:v>
                </c:pt>
                <c:pt idx="7">
                  <c:v>2.7272727272727271E-2</c:v>
                </c:pt>
                <c:pt idx="8">
                  <c:v>2.7272727272727271E-2</c:v>
                </c:pt>
              </c:numCache>
            </c:numRef>
          </c:yVal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Tabelle1!$N$90:$N$91</c:f>
              <c:numCache>
                <c:formatCode>General</c:formatCode>
                <c:ptCount val="2"/>
                <c:pt idx="0">
                  <c:v>180</c:v>
                </c:pt>
                <c:pt idx="1">
                  <c:v>200</c:v>
                </c:pt>
              </c:numCache>
            </c:numRef>
          </c:xVal>
          <c:yVal>
            <c:numRef>
              <c:f>Tabelle1!$V$90:$V$91</c:f>
              <c:numCache>
                <c:formatCode>General</c:formatCode>
                <c:ptCount val="2"/>
              </c:numCache>
            </c:numRef>
          </c:yVal>
        </c:ser>
        <c:ser>
          <c:idx val="8"/>
          <c:order val="8"/>
          <c:tx>
            <c:strRef>
              <c:f>Tabelle1!$A$93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Tabelle1!$N$94:$N$98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Tabelle1!$V$94:$V$98</c:f>
              <c:numCache>
                <c:formatCode>General</c:formatCode>
                <c:ptCount val="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3.6999999999999998E-2</c:v>
                </c:pt>
              </c:numCache>
            </c:numRef>
          </c:yVal>
        </c:ser>
        <c:ser>
          <c:idx val="9"/>
          <c:order val="9"/>
          <c:tx>
            <c:strRef>
              <c:f>Tabelle1!$A$100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Tabelle1!$N$100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Tabelle1!$V$100</c:f>
              <c:numCache>
                <c:formatCode>General</c:formatCode>
                <c:ptCount val="1"/>
                <c:pt idx="0">
                  <c:v>3.0833333333333334E-2</c:v>
                </c:pt>
              </c:numCache>
            </c:numRef>
          </c:yVal>
        </c:ser>
        <c:ser>
          <c:idx val="10"/>
          <c:order val="10"/>
          <c:tx>
            <c:strRef>
              <c:f>Tabelle1!$A$105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Tabelle1!$N$107:$N$109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250</c:v>
                </c:pt>
              </c:numCache>
            </c:numRef>
          </c:xVal>
          <c:yVal>
            <c:numRef>
              <c:f>Tabelle1!$V$107:$V$109</c:f>
              <c:numCache>
                <c:formatCode>General</c:formatCode>
                <c:ptCount val="3"/>
                <c:pt idx="1">
                  <c:v>0.44</c:v>
                </c:pt>
                <c:pt idx="2">
                  <c:v>0.25119999999999998</c:v>
                </c:pt>
              </c:numCache>
            </c:numRef>
          </c:yVal>
        </c:ser>
        <c:ser>
          <c:idx val="11"/>
          <c:order val="11"/>
          <c:tx>
            <c:strRef>
              <c:f>Tabelle1!$A$111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xVal>
            <c:numRef>
              <c:f>Tabelle1!$N$112:$N$116</c:f>
              <c:numCache>
                <c:formatCode>General</c:formatCode>
                <c:ptCount val="5"/>
                <c:pt idx="0">
                  <c:v>100</c:v>
                </c:pt>
                <c:pt idx="1">
                  <c:v>86</c:v>
                </c:pt>
                <c:pt idx="2">
                  <c:v>200</c:v>
                </c:pt>
                <c:pt idx="3">
                  <c:v>140</c:v>
                </c:pt>
                <c:pt idx="4">
                  <c:v>20</c:v>
                </c:pt>
              </c:numCache>
            </c:numRef>
          </c:xVal>
          <c:yVal>
            <c:numRef>
              <c:f>Tabelle1!$V$112:$V$116</c:f>
              <c:numCache>
                <c:formatCode>General</c:formatCode>
                <c:ptCount val="5"/>
                <c:pt idx="0">
                  <c:v>0.1</c:v>
                </c:pt>
                <c:pt idx="1">
                  <c:v>0.13953488372093023</c:v>
                </c:pt>
                <c:pt idx="2">
                  <c:v>7.4999999999999997E-2</c:v>
                </c:pt>
                <c:pt idx="3">
                  <c:v>3.7142857142857144E-2</c:v>
                </c:pt>
                <c:pt idx="4">
                  <c:v>0.375</c:v>
                </c:pt>
              </c:numCache>
            </c:numRef>
          </c:yVal>
        </c:ser>
        <c:ser>
          <c:idx val="12"/>
          <c:order val="12"/>
          <c:tx>
            <c:strRef>
              <c:f>Tabelle1!$A$145</c:f>
              <c:strCache>
                <c:ptCount val="1"/>
                <c:pt idx="0">
                  <c:v>Screening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Tabelle1!$N$146:$N$147</c:f>
              <c:numCache>
                <c:formatCode>General</c:formatCode>
                <c:ptCount val="2"/>
                <c:pt idx="0">
                  <c:v>780</c:v>
                </c:pt>
                <c:pt idx="1">
                  <c:v>780</c:v>
                </c:pt>
              </c:numCache>
            </c:numRef>
          </c:xVal>
          <c:yVal>
            <c:numRef>
              <c:f>Tabelle1!$V$146:$V$147</c:f>
              <c:numCache>
                <c:formatCode>General</c:formatCode>
                <c:ptCount val="2"/>
                <c:pt idx="0">
                  <c:v>2.8205128205128206E-2</c:v>
                </c:pt>
                <c:pt idx="1">
                  <c:v>3.8461538461538464E-2</c:v>
                </c:pt>
              </c:numCache>
            </c:numRef>
          </c:yVal>
        </c:ser>
        <c:ser>
          <c:idx val="13"/>
          <c:order val="13"/>
          <c:tx>
            <c:strRef>
              <c:f>Tabelle1!$A$151</c:f>
              <c:strCache>
                <c:ptCount val="1"/>
                <c:pt idx="0">
                  <c:v>Spaleck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Tabelle1!$N$152:$N$154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xVal>
          <c:yVal>
            <c:numRef>
              <c:f>Tabelle1!$V$152:$V$154</c:f>
              <c:numCache>
                <c:formatCode>General</c:formatCode>
                <c:ptCount val="3"/>
                <c:pt idx="0">
                  <c:v>0.03</c:v>
                </c:pt>
                <c:pt idx="1">
                  <c:v>4.3999999999999997E-2</c:v>
                </c:pt>
                <c:pt idx="2">
                  <c:v>0.06</c:v>
                </c:pt>
              </c:numCache>
            </c:numRef>
          </c:yVal>
        </c:ser>
        <c:ser>
          <c:idx val="14"/>
          <c:order val="14"/>
          <c:tx>
            <c:strRef>
              <c:f>Tabelle1!$A$156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Tabelle1!$N$157:$N$159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Tabelle1!$V$157:$V$159</c:f>
              <c:numCache>
                <c:formatCode>General</c:formatCode>
                <c:ptCount val="3"/>
                <c:pt idx="0">
                  <c:v>0.26666666666666666</c:v>
                </c:pt>
                <c:pt idx="1">
                  <c:v>0.26666666666666666</c:v>
                </c:pt>
                <c:pt idx="2">
                  <c:v>0.36</c:v>
                </c:pt>
              </c:numCache>
            </c:numRef>
          </c:yVal>
        </c:ser>
        <c:ser>
          <c:idx val="15"/>
          <c:order val="15"/>
          <c:tx>
            <c:strRef>
              <c:f>Tabelle1!$A$161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Tabelle1!$N$162:$N$165</c:f>
              <c:numCache>
                <c:formatCode>General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</c:numCache>
            </c:numRef>
          </c:xVal>
          <c:yVal>
            <c:numRef>
              <c:f>Tabelle1!$V$162:$V$165</c:f>
              <c:numCache>
                <c:formatCode>General</c:formatCode>
                <c:ptCount val="4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</c:numCache>
            </c:numRef>
          </c:yVal>
        </c:ser>
        <c:dLbls/>
        <c:axId val="80327424"/>
        <c:axId val="80002048"/>
      </c:scatterChart>
      <c:valAx>
        <c:axId val="8032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80002048"/>
        <c:crosses val="autoZero"/>
        <c:crossBetween val="midCat"/>
      </c:valAx>
      <c:valAx>
        <c:axId val="80002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Arbeitsbedarf [kWh/t]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8032742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4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17"/>
        <c:delete val="1"/>
      </c:legendEntry>
      <c:legendEntry>
        <c:idx val="23"/>
        <c:delete val="1"/>
      </c:legendEntry>
      <c:legendEntry>
        <c:idx val="22"/>
        <c:delete val="1"/>
      </c:legendEntry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Tabelle1!$AB$4</c:f>
              <c:numCache>
                <c:formatCode>0.000</c:formatCode>
                <c:ptCount val="1"/>
                <c:pt idx="0">
                  <c:v>1.2500000000000001E-2</c:v>
                </c:pt>
              </c:numCache>
            </c:numRef>
          </c:yVal>
        </c:ser>
        <c:ser>
          <c:idx val="0"/>
          <c:order val="1"/>
          <c:tx>
            <c:strRef>
              <c:f>Tabelle1!$A$6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Tabelle1!$N$7:$N$10</c:f>
              <c:numCache>
                <c:formatCode>General</c:formatCode>
                <c:ptCount val="4"/>
                <c:pt idx="0">
                  <c:v>32</c:v>
                </c:pt>
                <c:pt idx="1">
                  <c:v>500</c:v>
                </c:pt>
                <c:pt idx="2">
                  <c:v>32</c:v>
                </c:pt>
                <c:pt idx="3">
                  <c:v>420</c:v>
                </c:pt>
              </c:numCache>
            </c:numRef>
          </c:xVal>
          <c:yVal>
            <c:numRef>
              <c:f>Tabelle1!$AB$7:$AB$10</c:f>
              <c:numCache>
                <c:formatCode>0.000</c:formatCode>
                <c:ptCount val="4"/>
              </c:numCache>
            </c:numRef>
          </c:yVal>
        </c:ser>
        <c:ser>
          <c:idx val="2"/>
          <c:order val="2"/>
          <c:tx>
            <c:strRef>
              <c:f>Tabelle1!$A$12</c:f>
              <c:strCache>
                <c:ptCount val="1"/>
                <c:pt idx="0">
                  <c:v>Binder + 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Tabelle1!$AB$12</c:f>
              <c:numCache>
                <c:formatCode>0.000</c:formatCode>
                <c:ptCount val="1"/>
                <c:pt idx="0">
                  <c:v>0.02</c:v>
                </c:pt>
              </c:numCache>
            </c:numRef>
          </c:yVal>
        </c:ser>
        <c:ser>
          <c:idx val="3"/>
          <c:order val="3"/>
          <c:tx>
            <c:strRef>
              <c:f>Tabelle1!$A$47</c:f>
              <c:strCache>
                <c:ptCount val="1"/>
                <c:pt idx="0">
                  <c:v>Derrick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Tabelle1!$AB$48</c:f>
              <c:numCache>
                <c:formatCode>0.000</c:formatCode>
                <c:ptCount val="1"/>
                <c:pt idx="0">
                  <c:v>2.5000000000000001E-2</c:v>
                </c:pt>
              </c:numCache>
            </c:numRef>
          </c:yVal>
        </c:ser>
        <c:ser>
          <c:idx val="4"/>
          <c:order val="4"/>
          <c:tx>
            <c:strRef>
              <c:f>Tabelle1!$A$66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Tabelle1!$N$67:$N$69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80</c:v>
                </c:pt>
              </c:numCache>
            </c:numRef>
          </c:xVal>
          <c:yVal>
            <c:numRef>
              <c:f>Tabelle1!$AB$67:$AB$69</c:f>
              <c:numCache>
                <c:formatCode>0.000</c:formatCode>
                <c:ptCount val="3"/>
                <c:pt idx="0">
                  <c:v>2.5000000000000001E-2</c:v>
                </c:pt>
                <c:pt idx="1">
                  <c:v>1.0666666666666666E-2</c:v>
                </c:pt>
                <c:pt idx="2">
                  <c:v>1.7499999999999998E-2</c:v>
                </c:pt>
              </c:numCache>
            </c:numRef>
          </c:yVal>
        </c:ser>
        <c:ser>
          <c:idx val="5"/>
          <c:order val="5"/>
          <c:tx>
            <c:strRef>
              <c:f>Tabelle1!$A$74</c:f>
              <c:strCache>
                <c:ptCount val="1"/>
                <c:pt idx="0">
                  <c:v>HMH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Tabelle1!$N$75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Tabelle1!$AB$75</c:f>
              <c:numCache>
                <c:formatCode>0.000</c:formatCode>
                <c:ptCount val="1"/>
                <c:pt idx="0">
                  <c:v>7.7499999999999999E-2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Tabelle1!$N$79:$N$87</c:f>
              <c:numCache>
                <c:formatCode>General</c:formatCode>
                <c:ptCount val="9"/>
                <c:pt idx="0">
                  <c:v>350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5">
                  <c:v>2000</c:v>
                </c:pt>
                <c:pt idx="6">
                  <c:v>2000</c:v>
                </c:pt>
                <c:pt idx="7">
                  <c:v>1100</c:v>
                </c:pt>
                <c:pt idx="8">
                  <c:v>1100</c:v>
                </c:pt>
              </c:numCache>
            </c:numRef>
          </c:xVal>
          <c:yVal>
            <c:numRef>
              <c:f>Tabelle1!$AB$79:$AB$87</c:f>
              <c:numCache>
                <c:formatCode>0.000</c:formatCode>
                <c:ptCount val="9"/>
                <c:pt idx="0">
                  <c:v>4.2857142857142859E-3</c:v>
                </c:pt>
                <c:pt idx="1">
                  <c:v>7.4285714285714285E-3</c:v>
                </c:pt>
                <c:pt idx="2">
                  <c:v>1.12E-2</c:v>
                </c:pt>
                <c:pt idx="3">
                  <c:v>1.2E-2</c:v>
                </c:pt>
                <c:pt idx="5">
                  <c:v>3.2499999999999999E-3</c:v>
                </c:pt>
                <c:pt idx="6">
                  <c:v>4.9000000000000007E-3</c:v>
                </c:pt>
                <c:pt idx="7">
                  <c:v>8.6363636363636365E-3</c:v>
                </c:pt>
                <c:pt idx="8">
                  <c:v>9.5454545454545462E-3</c:v>
                </c:pt>
              </c:numCache>
            </c:numRef>
          </c:yVal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Tabelle1!$N$90:$N$91</c:f>
              <c:numCache>
                <c:formatCode>General</c:formatCode>
                <c:ptCount val="2"/>
                <c:pt idx="0">
                  <c:v>180</c:v>
                </c:pt>
                <c:pt idx="1">
                  <c:v>200</c:v>
                </c:pt>
              </c:numCache>
            </c:numRef>
          </c:xVal>
          <c:yVal>
            <c:numRef>
              <c:f>Tabelle1!$AB$90:$AB$91</c:f>
              <c:numCache>
                <c:formatCode>0.000</c:formatCode>
                <c:ptCount val="2"/>
                <c:pt idx="0">
                  <c:v>1.1111111111111112E-2</c:v>
                </c:pt>
                <c:pt idx="1">
                  <c:v>5.2499999999999998E-2</c:v>
                </c:pt>
              </c:numCache>
            </c:numRef>
          </c:yVal>
        </c:ser>
        <c:ser>
          <c:idx val="8"/>
          <c:order val="8"/>
          <c:tx>
            <c:strRef>
              <c:f>Tabelle1!$A$93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Tabelle1!$N$94:$N$98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Tabelle1!$AB$94:$AB$98</c:f>
              <c:numCache>
                <c:formatCode>0.000</c:formatCode>
                <c:ptCount val="5"/>
                <c:pt idx="0">
                  <c:v>1.4999999999999999E-2</c:v>
                </c:pt>
                <c:pt idx="1">
                  <c:v>1.4999999999999999E-2</c:v>
                </c:pt>
                <c:pt idx="2">
                  <c:v>1.125E-2</c:v>
                </c:pt>
                <c:pt idx="3">
                  <c:v>1.025E-2</c:v>
                </c:pt>
                <c:pt idx="4">
                  <c:v>1.2999999999999999E-2</c:v>
                </c:pt>
              </c:numCache>
            </c:numRef>
          </c:yVal>
        </c:ser>
        <c:ser>
          <c:idx val="9"/>
          <c:order val="9"/>
          <c:tx>
            <c:strRef>
              <c:f>Tabelle1!$A$100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Tabelle1!$N$100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Tabelle1!$AB$100</c:f>
              <c:numCache>
                <c:formatCode>0.000</c:formatCode>
                <c:ptCount val="1"/>
                <c:pt idx="0">
                  <c:v>1.2500000000000001E-2</c:v>
                </c:pt>
              </c:numCache>
            </c:numRef>
          </c:yVal>
        </c:ser>
        <c:ser>
          <c:idx val="10"/>
          <c:order val="10"/>
          <c:tx>
            <c:strRef>
              <c:f>Tabelle1!$A$105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Tabelle1!$N$107:$N$109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250</c:v>
                </c:pt>
              </c:numCache>
            </c:numRef>
          </c:xVal>
          <c:yVal>
            <c:numRef>
              <c:f>Tabelle1!$AB$107:$AB$109</c:f>
              <c:numCache>
                <c:formatCode>0.000</c:formatCode>
                <c:ptCount val="3"/>
                <c:pt idx="1">
                  <c:v>0.2</c:v>
                </c:pt>
                <c:pt idx="2">
                  <c:v>0.14000000000000001</c:v>
                </c:pt>
              </c:numCache>
            </c:numRef>
          </c:yVal>
        </c:ser>
        <c:ser>
          <c:idx val="11"/>
          <c:order val="11"/>
          <c:tx>
            <c:strRef>
              <c:f>Tabelle1!$A$111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xVal>
            <c:numRef>
              <c:f>Tabelle1!$N$112:$N$116</c:f>
              <c:numCache>
                <c:formatCode>General</c:formatCode>
                <c:ptCount val="5"/>
                <c:pt idx="0">
                  <c:v>100</c:v>
                </c:pt>
                <c:pt idx="1">
                  <c:v>86</c:v>
                </c:pt>
                <c:pt idx="2">
                  <c:v>200</c:v>
                </c:pt>
                <c:pt idx="3">
                  <c:v>140</c:v>
                </c:pt>
                <c:pt idx="4">
                  <c:v>20</c:v>
                </c:pt>
              </c:numCache>
            </c:numRef>
          </c:xVal>
          <c:yVal>
            <c:numRef>
              <c:f>Tabelle1!$AB$112:$AB$116</c:f>
              <c:numCache>
                <c:formatCode>0.000</c:formatCode>
                <c:ptCount val="5"/>
                <c:pt idx="0">
                  <c:v>0.03</c:v>
                </c:pt>
                <c:pt idx="1">
                  <c:v>5.8139534883720929E-2</c:v>
                </c:pt>
                <c:pt idx="2">
                  <c:v>2.75E-2</c:v>
                </c:pt>
                <c:pt idx="3">
                  <c:v>4.642857142857143E-2</c:v>
                </c:pt>
                <c:pt idx="4">
                  <c:v>0.1</c:v>
                </c:pt>
              </c:numCache>
            </c:numRef>
          </c:yVal>
        </c:ser>
        <c:ser>
          <c:idx val="12"/>
          <c:order val="12"/>
          <c:tx>
            <c:strRef>
              <c:f>Tabelle1!$A$145</c:f>
              <c:strCache>
                <c:ptCount val="1"/>
                <c:pt idx="0">
                  <c:v>Screening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Tabelle1!$N$146:$N$147</c:f>
              <c:numCache>
                <c:formatCode>General</c:formatCode>
                <c:ptCount val="2"/>
                <c:pt idx="0">
                  <c:v>780</c:v>
                </c:pt>
                <c:pt idx="1">
                  <c:v>780</c:v>
                </c:pt>
              </c:numCache>
            </c:numRef>
          </c:xVal>
          <c:yVal>
            <c:numRef>
              <c:f>Tabelle1!$AB$146:$AB$147</c:f>
              <c:numCache>
                <c:formatCode>0.000</c:formatCode>
                <c:ptCount val="2"/>
                <c:pt idx="0">
                  <c:v>4.1025641025641026E-3</c:v>
                </c:pt>
                <c:pt idx="1">
                  <c:v>5.5128205128205125E-3</c:v>
                </c:pt>
              </c:numCache>
            </c:numRef>
          </c:yVal>
        </c:ser>
        <c:ser>
          <c:idx val="13"/>
          <c:order val="13"/>
          <c:tx>
            <c:strRef>
              <c:f>Tabelle1!$A$151</c:f>
              <c:strCache>
                <c:ptCount val="1"/>
                <c:pt idx="0">
                  <c:v>Spaleck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Tabelle1!$N$152:$N$154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xVal>
          <c:yVal>
            <c:numRef>
              <c:f>Tabelle1!$AB$152:$AB$154</c:f>
              <c:numCache>
                <c:formatCode>0.000</c:formatCode>
                <c:ptCount val="3"/>
                <c:pt idx="0">
                  <c:v>0.01</c:v>
                </c:pt>
                <c:pt idx="1">
                  <c:v>1.7999999999999999E-2</c:v>
                </c:pt>
                <c:pt idx="2">
                  <c:v>0.04</c:v>
                </c:pt>
              </c:numCache>
            </c:numRef>
          </c:yVal>
        </c:ser>
        <c:ser>
          <c:idx val="14"/>
          <c:order val="14"/>
          <c:tx>
            <c:strRef>
              <c:f>Tabelle1!$A$156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Tabelle1!$N$157:$N$159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Tabelle1!$AB$157:$AB$159</c:f>
              <c:numCache>
                <c:formatCode>0.000</c:formatCode>
                <c:ptCount val="3"/>
                <c:pt idx="0">
                  <c:v>0.13333333333333333</c:v>
                </c:pt>
                <c:pt idx="1">
                  <c:v>0.13333333333333333</c:v>
                </c:pt>
                <c:pt idx="2">
                  <c:v>0.06</c:v>
                </c:pt>
              </c:numCache>
            </c:numRef>
          </c:yVal>
        </c:ser>
        <c:ser>
          <c:idx val="15"/>
          <c:order val="15"/>
          <c:tx>
            <c:strRef>
              <c:f>Tabelle1!$A$161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Tabelle1!$N$162:$N$165</c:f>
              <c:numCache>
                <c:formatCode>General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</c:numCache>
            </c:numRef>
          </c:xVal>
          <c:yVal>
            <c:numRef>
              <c:f>Tabelle1!$AB$162:$AB$165</c:f>
              <c:numCache>
                <c:formatCode>0.000</c:formatCode>
                <c:ptCount val="4"/>
                <c:pt idx="0">
                  <c:v>4.4999999999999997E-3</c:v>
                </c:pt>
                <c:pt idx="1">
                  <c:v>5.4999999999999997E-3</c:v>
                </c:pt>
                <c:pt idx="2">
                  <c:v>6.0000000000000001E-3</c:v>
                </c:pt>
                <c:pt idx="3">
                  <c:v>6.0000000000000001E-3</c:v>
                </c:pt>
              </c:numCache>
            </c:numRef>
          </c:yVal>
        </c:ser>
        <c:axId val="107137664"/>
        <c:axId val="107193856"/>
      </c:scatterChart>
      <c:valAx>
        <c:axId val="10713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07193856"/>
        <c:crosses val="autoZero"/>
        <c:crossBetween val="midCat"/>
      </c:valAx>
      <c:valAx>
        <c:axId val="107193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Maschinenmassen [th/t]</a:t>
                </a:r>
                <a:endParaRPr lang="de-DE" sz="1400"/>
              </a:p>
            </c:rich>
          </c:tx>
          <c:layout/>
        </c:title>
        <c:numFmt formatCode="0.000" sourceLinked="1"/>
        <c:majorTickMark val="none"/>
        <c:tickLblPos val="nextTo"/>
        <c:crossAx val="10713766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"/>
        <c:delete val="1"/>
      </c:legendEntry>
      <c:legendEntry>
        <c:idx val="14"/>
        <c:delete val="1"/>
      </c:legendEntry>
      <c:legendEntry>
        <c:idx val="17"/>
        <c:delete val="1"/>
      </c:legendEntry>
      <c:legendEntry>
        <c:idx val="7"/>
        <c:delete val="1"/>
      </c:legendEntry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Tabelle1!$AA$4</c:f>
              <c:numCache>
                <c:formatCode>0.000</c:formatCode>
                <c:ptCount val="1"/>
                <c:pt idx="0">
                  <c:v>0.15</c:v>
                </c:pt>
              </c:numCache>
            </c:numRef>
          </c:yVal>
        </c:ser>
        <c:ser>
          <c:idx val="0"/>
          <c:order val="1"/>
          <c:tx>
            <c:strRef>
              <c:f>Tabelle1!$A$6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Tabelle1!$N$7:$N$10</c:f>
              <c:numCache>
                <c:formatCode>General</c:formatCode>
                <c:ptCount val="4"/>
                <c:pt idx="0">
                  <c:v>32</c:v>
                </c:pt>
                <c:pt idx="1">
                  <c:v>500</c:v>
                </c:pt>
                <c:pt idx="2">
                  <c:v>32</c:v>
                </c:pt>
                <c:pt idx="3">
                  <c:v>420</c:v>
                </c:pt>
              </c:numCache>
            </c:numRef>
          </c:xVal>
          <c:yVal>
            <c:numRef>
              <c:f>Tabelle1!$AA$7:$AA$10</c:f>
              <c:numCache>
                <c:formatCode>0.000</c:formatCode>
                <c:ptCount val="4"/>
                <c:pt idx="0">
                  <c:v>0.10048275</c:v>
                </c:pt>
                <c:pt idx="1">
                  <c:v>1.7450664000000001E-2</c:v>
                </c:pt>
                <c:pt idx="2">
                  <c:v>0.208405125</c:v>
                </c:pt>
                <c:pt idx="3">
                  <c:v>2.6755814285714285E-2</c:v>
                </c:pt>
              </c:numCache>
            </c:numRef>
          </c:yVal>
        </c:ser>
        <c:ser>
          <c:idx val="2"/>
          <c:order val="2"/>
          <c:tx>
            <c:strRef>
              <c:f>Tabelle1!$A$12</c:f>
              <c:strCache>
                <c:ptCount val="1"/>
                <c:pt idx="0">
                  <c:v>Binder + 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Tabelle1!$AA$12</c:f>
              <c:numCache>
                <c:formatCode>0.000</c:formatCode>
                <c:ptCount val="1"/>
                <c:pt idx="0">
                  <c:v>0.1575</c:v>
                </c:pt>
              </c:numCache>
            </c:numRef>
          </c:yVal>
        </c:ser>
        <c:ser>
          <c:idx val="3"/>
          <c:order val="3"/>
          <c:tx>
            <c:strRef>
              <c:f>Tabelle1!$A$47</c:f>
              <c:strCache>
                <c:ptCount val="1"/>
                <c:pt idx="0">
                  <c:v>Derrick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Tabelle1!$AA$48</c:f>
              <c:numCache>
                <c:formatCode>0.000</c:formatCode>
                <c:ptCount val="1"/>
                <c:pt idx="0">
                  <c:v>0.209124</c:v>
                </c:pt>
              </c:numCache>
            </c:numRef>
          </c:yVal>
        </c:ser>
        <c:ser>
          <c:idx val="4"/>
          <c:order val="4"/>
          <c:tx>
            <c:strRef>
              <c:f>Tabelle1!$A$66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Tabelle1!$N$67:$N$69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80</c:v>
                </c:pt>
              </c:numCache>
            </c:numRef>
          </c:xVal>
          <c:yVal>
            <c:numRef>
              <c:f>Tabelle1!$AA$67:$AA$69</c:f>
              <c:numCache>
                <c:formatCode>0.000</c:formatCode>
                <c:ptCount val="3"/>
                <c:pt idx="0">
                  <c:v>0.20250000000000001</c:v>
                </c:pt>
                <c:pt idx="1">
                  <c:v>6.4500000000000002E-2</c:v>
                </c:pt>
                <c:pt idx="2">
                  <c:v>0.22181250000000002</c:v>
                </c:pt>
              </c:numCache>
            </c:numRef>
          </c:yVal>
        </c:ser>
        <c:ser>
          <c:idx val="5"/>
          <c:order val="5"/>
          <c:tx>
            <c:strRef>
              <c:f>Tabelle1!$A$74</c:f>
              <c:strCache>
                <c:ptCount val="1"/>
                <c:pt idx="0">
                  <c:v>HMH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Tabelle1!$N$75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Tabelle1!$AA$75</c:f>
              <c:numCache>
                <c:formatCode>0.000</c:formatCode>
                <c:ptCount val="1"/>
                <c:pt idx="0">
                  <c:v>0.45287999999999995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Tabelle1!$N$79:$N$87</c:f>
              <c:numCache>
                <c:formatCode>General</c:formatCode>
                <c:ptCount val="9"/>
                <c:pt idx="0">
                  <c:v>350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5">
                  <c:v>2000</c:v>
                </c:pt>
                <c:pt idx="6">
                  <c:v>2000</c:v>
                </c:pt>
                <c:pt idx="7">
                  <c:v>1100</c:v>
                </c:pt>
                <c:pt idx="8">
                  <c:v>1100</c:v>
                </c:pt>
              </c:numCache>
            </c:numRef>
          </c:xVal>
          <c:yVal>
            <c:numRef>
              <c:f>Tabelle1!$AA$79:$AA$87</c:f>
              <c:numCache>
                <c:formatCode>0.000</c:formatCode>
                <c:ptCount val="9"/>
              </c:numCache>
            </c:numRef>
          </c:yVal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Tabelle1!$N$90:$N$91</c:f>
              <c:numCache>
                <c:formatCode>General</c:formatCode>
                <c:ptCount val="2"/>
                <c:pt idx="0">
                  <c:v>180</c:v>
                </c:pt>
                <c:pt idx="1">
                  <c:v>200</c:v>
                </c:pt>
              </c:numCache>
            </c:numRef>
          </c:xVal>
          <c:yVal>
            <c:numRef>
              <c:f>Tabelle1!$AA$90:$AA$91</c:f>
              <c:numCache>
                <c:formatCode>0.000</c:formatCode>
                <c:ptCount val="2"/>
                <c:pt idx="0">
                  <c:v>0.15666666666666668</c:v>
                </c:pt>
                <c:pt idx="1">
                  <c:v>0.2584902</c:v>
                </c:pt>
              </c:numCache>
            </c:numRef>
          </c:yVal>
        </c:ser>
        <c:ser>
          <c:idx val="8"/>
          <c:order val="8"/>
          <c:tx>
            <c:strRef>
              <c:f>Tabelle1!$A$93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Tabelle1!$N$94:$N$98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Tabelle1!$AA$94:$AA$98</c:f>
              <c:numCache>
                <c:formatCode>0.000</c:formatCode>
                <c:ptCount val="5"/>
              </c:numCache>
            </c:numRef>
          </c:yVal>
        </c:ser>
        <c:ser>
          <c:idx val="9"/>
          <c:order val="9"/>
          <c:tx>
            <c:strRef>
              <c:f>Tabelle1!$A$100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Tabelle1!$N$100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Tabelle1!$AA$100</c:f>
              <c:numCache>
                <c:formatCode>0.000</c:formatCode>
                <c:ptCount val="1"/>
                <c:pt idx="0">
                  <c:v>7.0000000000000007E-2</c:v>
                </c:pt>
              </c:numCache>
            </c:numRef>
          </c:yVal>
        </c:ser>
        <c:ser>
          <c:idx val="10"/>
          <c:order val="10"/>
          <c:tx>
            <c:strRef>
              <c:f>Tabelle1!$A$105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Tabelle1!$N$107:$N$109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250</c:v>
                </c:pt>
              </c:numCache>
            </c:numRef>
          </c:xVal>
          <c:yVal>
            <c:numRef>
              <c:f>Tabelle1!$AA$107:$AA$109</c:f>
              <c:numCache>
                <c:formatCode>0.000</c:formatCode>
                <c:ptCount val="3"/>
              </c:numCache>
            </c:numRef>
          </c:yVal>
        </c:ser>
        <c:ser>
          <c:idx val="11"/>
          <c:order val="11"/>
          <c:tx>
            <c:strRef>
              <c:f>Tabelle1!$A$111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xVal>
            <c:numRef>
              <c:f>Tabelle1!$N$112:$N$116</c:f>
              <c:numCache>
                <c:formatCode>General</c:formatCode>
                <c:ptCount val="5"/>
                <c:pt idx="0">
                  <c:v>100</c:v>
                </c:pt>
                <c:pt idx="1">
                  <c:v>86</c:v>
                </c:pt>
                <c:pt idx="2">
                  <c:v>200</c:v>
                </c:pt>
                <c:pt idx="3">
                  <c:v>140</c:v>
                </c:pt>
                <c:pt idx="4">
                  <c:v>20</c:v>
                </c:pt>
              </c:numCache>
            </c:numRef>
          </c:xVal>
          <c:yVal>
            <c:numRef>
              <c:f>Tabelle1!$AA$112:$AA$116</c:f>
              <c:numCache>
                <c:formatCode>0.000</c:formatCode>
                <c:ptCount val="5"/>
                <c:pt idx="0">
                  <c:v>0.12539999999999998</c:v>
                </c:pt>
                <c:pt idx="1">
                  <c:v>0.42790697674418604</c:v>
                </c:pt>
                <c:pt idx="2">
                  <c:v>0.2</c:v>
                </c:pt>
                <c:pt idx="3">
                  <c:v>0.29464285714285715</c:v>
                </c:pt>
                <c:pt idx="4">
                  <c:v>0.29249999999999998</c:v>
                </c:pt>
              </c:numCache>
            </c:numRef>
          </c:yVal>
        </c:ser>
        <c:ser>
          <c:idx val="12"/>
          <c:order val="12"/>
          <c:tx>
            <c:strRef>
              <c:f>Tabelle1!$A$145</c:f>
              <c:strCache>
                <c:ptCount val="1"/>
                <c:pt idx="0">
                  <c:v>Screening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Tabelle1!$N$146:$N$147</c:f>
              <c:numCache>
                <c:formatCode>General</c:formatCode>
                <c:ptCount val="2"/>
                <c:pt idx="0">
                  <c:v>780</c:v>
                </c:pt>
                <c:pt idx="1">
                  <c:v>780</c:v>
                </c:pt>
              </c:numCache>
            </c:numRef>
          </c:xVal>
          <c:yVal>
            <c:numRef>
              <c:f>Tabelle1!$AA$146:$AA$147</c:f>
              <c:numCache>
                <c:formatCode>0.000</c:formatCode>
                <c:ptCount val="2"/>
                <c:pt idx="0">
                  <c:v>5.8032692307692313E-2</c:v>
                </c:pt>
                <c:pt idx="1">
                  <c:v>7.7296153846153848E-2</c:v>
                </c:pt>
              </c:numCache>
            </c:numRef>
          </c:yVal>
        </c:ser>
        <c:ser>
          <c:idx val="13"/>
          <c:order val="13"/>
          <c:tx>
            <c:strRef>
              <c:f>Tabelle1!$A$151</c:f>
              <c:strCache>
                <c:ptCount val="1"/>
                <c:pt idx="0">
                  <c:v>Spaleck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Tabelle1!$N$152:$N$154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xVal>
          <c:yVal>
            <c:numRef>
              <c:f>Tabelle1!$AA$152:$AA$154</c:f>
              <c:numCache>
                <c:formatCode>0.000</c:formatCode>
                <c:ptCount val="3"/>
                <c:pt idx="0">
                  <c:v>0.1225</c:v>
                </c:pt>
                <c:pt idx="1">
                  <c:v>0.14000000000000001</c:v>
                </c:pt>
                <c:pt idx="2">
                  <c:v>0.14000000000000001</c:v>
                </c:pt>
              </c:numCache>
            </c:numRef>
          </c:yVal>
        </c:ser>
        <c:ser>
          <c:idx val="14"/>
          <c:order val="14"/>
          <c:tx>
            <c:strRef>
              <c:f>Tabelle1!$A$156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Tabelle1!$N$157:$N$159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Tabelle1!$AA$157:$AA$159</c:f>
              <c:numCache>
                <c:formatCode>0.000</c:formatCode>
                <c:ptCount val="3"/>
                <c:pt idx="0">
                  <c:v>0.6346666666666666</c:v>
                </c:pt>
                <c:pt idx="1">
                  <c:v>0.6346666666666666</c:v>
                </c:pt>
                <c:pt idx="2">
                  <c:v>0.21888000000000002</c:v>
                </c:pt>
              </c:numCache>
            </c:numRef>
          </c:yVal>
        </c:ser>
        <c:ser>
          <c:idx val="15"/>
          <c:order val="15"/>
          <c:tx>
            <c:strRef>
              <c:f>Tabelle1!$A$161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Tabelle1!$N$162:$N$165</c:f>
              <c:numCache>
                <c:formatCode>General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</c:numCache>
            </c:numRef>
          </c:xVal>
          <c:yVal>
            <c:numRef>
              <c:f>Tabelle1!$AA$162:$AA$165</c:f>
              <c:numCache>
                <c:formatCode>0.000</c:formatCode>
                <c:ptCount val="4"/>
              </c:numCache>
            </c:numRef>
          </c:yVal>
        </c:ser>
        <c:axId val="108463232"/>
        <c:axId val="108465152"/>
      </c:scatterChart>
      <c:valAx>
        <c:axId val="10846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08465152"/>
        <c:crosses val="autoZero"/>
        <c:crossBetween val="midCat"/>
      </c:valAx>
      <c:valAx>
        <c:axId val="108465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Raumbedarf [m³ h/t]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108463232"/>
        <c:crosses val="autoZero"/>
        <c:crossBetween val="midCat"/>
      </c:valAx>
    </c:plotArea>
    <c:legend>
      <c:legendPos val="r"/>
      <c:legendEntry>
        <c:idx val="17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1"/>
        <c:delete val="1"/>
      </c:legendEntry>
      <c:legendEntry>
        <c:idx val="7"/>
        <c:delete val="1"/>
      </c:legendEntry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Tabelle1!$Z$4</c:f>
              <c:numCache>
                <c:formatCode>General</c:formatCode>
                <c:ptCount val="1"/>
                <c:pt idx="0">
                  <c:v>3.7499999999999999E-2</c:v>
                </c:pt>
              </c:numCache>
            </c:numRef>
          </c:yVal>
        </c:ser>
        <c:ser>
          <c:idx val="0"/>
          <c:order val="1"/>
          <c:tx>
            <c:strRef>
              <c:f>Tabelle1!$A$6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Tabelle1!$N$7:$N$10</c:f>
              <c:numCache>
                <c:formatCode>General</c:formatCode>
                <c:ptCount val="4"/>
                <c:pt idx="0">
                  <c:v>32</c:v>
                </c:pt>
                <c:pt idx="1">
                  <c:v>500</c:v>
                </c:pt>
                <c:pt idx="2">
                  <c:v>32</c:v>
                </c:pt>
                <c:pt idx="3">
                  <c:v>420</c:v>
                </c:pt>
              </c:numCache>
            </c:numRef>
          </c:xVal>
          <c:yVal>
            <c:numRef>
              <c:f>Tabelle1!$Z$7:$Z$10</c:f>
              <c:numCache>
                <c:formatCode>General</c:formatCode>
                <c:ptCount val="4"/>
                <c:pt idx="0">
                  <c:v>0.14152500000000001</c:v>
                </c:pt>
                <c:pt idx="1">
                  <c:v>2.4578399999999997E-2</c:v>
                </c:pt>
                <c:pt idx="2">
                  <c:v>0.20431874999999999</c:v>
                </c:pt>
                <c:pt idx="3">
                  <c:v>2.6231190476190474E-2</c:v>
                </c:pt>
              </c:numCache>
            </c:numRef>
          </c:yVal>
        </c:ser>
        <c:ser>
          <c:idx val="2"/>
          <c:order val="2"/>
          <c:tx>
            <c:strRef>
              <c:f>Tabelle1!$A$12</c:f>
              <c:strCache>
                <c:ptCount val="1"/>
                <c:pt idx="0">
                  <c:v>Binder + 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Tabelle1!$Z$12</c:f>
              <c:numCache>
                <c:formatCode>General</c:formatCode>
                <c:ptCount val="1"/>
                <c:pt idx="0">
                  <c:v>3.15E-2</c:v>
                </c:pt>
              </c:numCache>
            </c:numRef>
          </c:yVal>
        </c:ser>
        <c:ser>
          <c:idx val="3"/>
          <c:order val="3"/>
          <c:tx>
            <c:strRef>
              <c:f>Tabelle1!$A$47</c:f>
              <c:strCache>
                <c:ptCount val="1"/>
                <c:pt idx="0">
                  <c:v>Derrick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Tabelle1!$Z$48</c:f>
              <c:numCache>
                <c:formatCode>General</c:formatCode>
                <c:ptCount val="1"/>
                <c:pt idx="0">
                  <c:v>6.6600000000000006E-2</c:v>
                </c:pt>
              </c:numCache>
            </c:numRef>
          </c:yVal>
        </c:ser>
        <c:ser>
          <c:idx val="4"/>
          <c:order val="4"/>
          <c:tx>
            <c:strRef>
              <c:f>Tabelle1!$A$66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Tabelle1!$N$67:$N$69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80</c:v>
                </c:pt>
              </c:numCache>
            </c:numRef>
          </c:xVal>
          <c:yVal>
            <c:numRef>
              <c:f>Tabelle1!$Z$67:$Z$69</c:f>
              <c:numCache>
                <c:formatCode>General</c:formatCode>
                <c:ptCount val="3"/>
                <c:pt idx="0">
                  <c:v>4.4999999999999998E-2</c:v>
                </c:pt>
                <c:pt idx="1">
                  <c:v>1.4999999999999999E-2</c:v>
                </c:pt>
                <c:pt idx="2">
                  <c:v>8.5312499999999999E-2</c:v>
                </c:pt>
              </c:numCache>
            </c:numRef>
          </c:yVal>
        </c:ser>
        <c:ser>
          <c:idx val="5"/>
          <c:order val="5"/>
          <c:tx>
            <c:strRef>
              <c:f>Tabelle1!$A$74</c:f>
              <c:strCache>
                <c:ptCount val="1"/>
                <c:pt idx="0">
                  <c:v>HMH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Tabelle1!$N$75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Tabelle1!$Z$75</c:f>
              <c:numCache>
                <c:formatCode>General</c:formatCode>
                <c:ptCount val="1"/>
                <c:pt idx="0">
                  <c:v>0.14152500000000001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Tabelle1!$N$79:$N$87</c:f>
              <c:numCache>
                <c:formatCode>General</c:formatCode>
                <c:ptCount val="9"/>
                <c:pt idx="0">
                  <c:v>350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5">
                  <c:v>2000</c:v>
                </c:pt>
                <c:pt idx="6">
                  <c:v>2000</c:v>
                </c:pt>
                <c:pt idx="7">
                  <c:v>1100</c:v>
                </c:pt>
                <c:pt idx="8">
                  <c:v>1100</c:v>
                </c:pt>
              </c:numCache>
            </c:numRef>
          </c:xVal>
          <c:yVal>
            <c:numRef>
              <c:f>Tabelle1!$Z$79:$Z$87</c:f>
              <c:numCache>
                <c:formatCode>General</c:formatCode>
                <c:ptCount val="9"/>
              </c:numCache>
            </c:numRef>
          </c:yVal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Tabelle1!$N$90:$N$91</c:f>
              <c:numCache>
                <c:formatCode>General</c:formatCode>
                <c:ptCount val="2"/>
                <c:pt idx="0">
                  <c:v>180</c:v>
                </c:pt>
                <c:pt idx="1">
                  <c:v>200</c:v>
                </c:pt>
              </c:numCache>
            </c:numRef>
          </c:xVal>
          <c:yVal>
            <c:numRef>
              <c:f>Tabelle1!$Z$90:$Z$91</c:f>
              <c:numCache>
                <c:formatCode>General</c:formatCode>
                <c:ptCount val="2"/>
                <c:pt idx="0">
                  <c:v>6.5277777777777782E-2</c:v>
                </c:pt>
                <c:pt idx="1">
                  <c:v>0.10019</c:v>
                </c:pt>
              </c:numCache>
            </c:numRef>
          </c:yVal>
        </c:ser>
        <c:ser>
          <c:idx val="8"/>
          <c:order val="8"/>
          <c:tx>
            <c:strRef>
              <c:f>Tabelle1!$A$93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Tabelle1!$N$94:$N$98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Tabelle1!$Z$94:$Z$98</c:f>
              <c:numCache>
                <c:formatCode>General</c:formatCode>
                <c:ptCount val="5"/>
              </c:numCache>
            </c:numRef>
          </c:yVal>
        </c:ser>
        <c:ser>
          <c:idx val="9"/>
          <c:order val="9"/>
          <c:tx>
            <c:strRef>
              <c:f>Tabelle1!$A$100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Tabelle1!$N$100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Tabelle1!$Z$100</c:f>
              <c:numCache>
                <c:formatCode>General</c:formatCode>
                <c:ptCount val="1"/>
                <c:pt idx="0">
                  <c:v>2.3333333333333334E-2</c:v>
                </c:pt>
              </c:numCache>
            </c:numRef>
          </c:yVal>
        </c:ser>
        <c:ser>
          <c:idx val="10"/>
          <c:order val="10"/>
          <c:tx>
            <c:strRef>
              <c:f>Tabelle1!$A$105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Tabelle1!$N$107:$N$109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250</c:v>
                </c:pt>
              </c:numCache>
            </c:numRef>
          </c:xVal>
          <c:yVal>
            <c:numRef>
              <c:f>Tabelle1!$Z$107:$Z$109</c:f>
              <c:numCache>
                <c:formatCode>General</c:formatCode>
                <c:ptCount val="3"/>
              </c:numCache>
            </c:numRef>
          </c:yVal>
        </c:ser>
        <c:ser>
          <c:idx val="11"/>
          <c:order val="11"/>
          <c:tx>
            <c:strRef>
              <c:f>Tabelle1!$A$111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xVal>
            <c:numRef>
              <c:f>Tabelle1!$N$112:$N$116</c:f>
              <c:numCache>
                <c:formatCode>General</c:formatCode>
                <c:ptCount val="5"/>
                <c:pt idx="0">
                  <c:v>100</c:v>
                </c:pt>
                <c:pt idx="1">
                  <c:v>86</c:v>
                </c:pt>
                <c:pt idx="2">
                  <c:v>200</c:v>
                </c:pt>
                <c:pt idx="3">
                  <c:v>140</c:v>
                </c:pt>
                <c:pt idx="4">
                  <c:v>20</c:v>
                </c:pt>
              </c:numCache>
            </c:numRef>
          </c:xVal>
          <c:yVal>
            <c:numRef>
              <c:f>Tabelle1!$Z$112:$Z$116</c:f>
              <c:numCache>
                <c:formatCode>General</c:formatCode>
                <c:ptCount val="5"/>
                <c:pt idx="0">
                  <c:v>8.3599999999999994E-2</c:v>
                </c:pt>
                <c:pt idx="1">
                  <c:v>0.13372093023255813</c:v>
                </c:pt>
                <c:pt idx="2">
                  <c:v>6.25E-2</c:v>
                </c:pt>
                <c:pt idx="3">
                  <c:v>9.8214285714285712E-2</c:v>
                </c:pt>
                <c:pt idx="4">
                  <c:v>0.22500000000000001</c:v>
                </c:pt>
              </c:numCache>
            </c:numRef>
          </c:yVal>
        </c:ser>
        <c:ser>
          <c:idx val="12"/>
          <c:order val="12"/>
          <c:tx>
            <c:strRef>
              <c:f>Tabelle1!$A$145</c:f>
              <c:strCache>
                <c:ptCount val="1"/>
                <c:pt idx="0">
                  <c:v>Screening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Tabelle1!$N$146:$N$147</c:f>
              <c:numCache>
                <c:formatCode>General</c:formatCode>
                <c:ptCount val="2"/>
                <c:pt idx="0">
                  <c:v>780</c:v>
                </c:pt>
                <c:pt idx="1">
                  <c:v>780</c:v>
                </c:pt>
              </c:numCache>
            </c:numRef>
          </c:xVal>
          <c:yVal>
            <c:numRef>
              <c:f>Tabelle1!$Z$146:$Z$147</c:f>
              <c:numCache>
                <c:formatCode>General</c:formatCode>
                <c:ptCount val="2"/>
                <c:pt idx="0">
                  <c:v>2.4230769230769229E-2</c:v>
                </c:pt>
                <c:pt idx="1">
                  <c:v>2.4230769230769229E-2</c:v>
                </c:pt>
              </c:numCache>
            </c:numRef>
          </c:yVal>
        </c:ser>
        <c:ser>
          <c:idx val="13"/>
          <c:order val="13"/>
          <c:tx>
            <c:strRef>
              <c:f>Tabelle1!$A$151</c:f>
              <c:strCache>
                <c:ptCount val="1"/>
                <c:pt idx="0">
                  <c:v>Spaleck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Tabelle1!$N$152:$N$154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xVal>
          <c:yVal>
            <c:numRef>
              <c:f>Tabelle1!$Z$152:$Z$154</c:f>
              <c:numCache>
                <c:formatCode>General</c:formatCode>
                <c:ptCount val="3"/>
                <c:pt idx="0">
                  <c:v>4.9000000000000002E-2</c:v>
                </c:pt>
                <c:pt idx="1">
                  <c:v>5.6000000000000001E-2</c:v>
                </c:pt>
                <c:pt idx="2">
                  <c:v>5.6000000000000001E-2</c:v>
                </c:pt>
              </c:numCache>
            </c:numRef>
          </c:yVal>
        </c:ser>
        <c:ser>
          <c:idx val="14"/>
          <c:order val="14"/>
          <c:tx>
            <c:strRef>
              <c:f>Tabelle1!$A$156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Tabelle1!$N$157:$N$159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Tabelle1!$Z$157:$Z$159</c:f>
              <c:numCache>
                <c:formatCode>General</c:formatCode>
                <c:ptCount val="3"/>
                <c:pt idx="0">
                  <c:v>0.37333333333333329</c:v>
                </c:pt>
                <c:pt idx="1">
                  <c:v>0.37333333333333329</c:v>
                </c:pt>
                <c:pt idx="2">
                  <c:v>0.28799999999999998</c:v>
                </c:pt>
              </c:numCache>
            </c:numRef>
          </c:yVal>
        </c:ser>
        <c:ser>
          <c:idx val="15"/>
          <c:order val="15"/>
          <c:tx>
            <c:strRef>
              <c:f>Tabelle1!$A$161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Tabelle1!$N$162:$N$165</c:f>
              <c:numCache>
                <c:formatCode>General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</c:numCache>
            </c:numRef>
          </c:xVal>
          <c:yVal>
            <c:numRef>
              <c:f>Tabelle1!$Z$162:$Z$165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8.7500000000000008E-3</c:v>
                </c:pt>
                <c:pt idx="3">
                  <c:v>7.4999999999999997E-3</c:v>
                </c:pt>
              </c:numCache>
            </c:numRef>
          </c:yVal>
        </c:ser>
        <c:axId val="107588992"/>
        <c:axId val="107599360"/>
      </c:scatterChart>
      <c:valAx>
        <c:axId val="10758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07599360"/>
        <c:crosses val="autoZero"/>
        <c:crossBetween val="midCat"/>
      </c:valAx>
      <c:valAx>
        <c:axId val="107599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Flächenbedarf [m² h/t]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588992"/>
        <c:crosses val="autoZero"/>
        <c:crossBetween val="midCat"/>
      </c:valAx>
    </c:plotArea>
    <c:legend>
      <c:legendPos val="r"/>
      <c:legendEntry>
        <c:idx val="6"/>
        <c:delete val="1"/>
      </c:legendEntry>
      <c:legendEntry>
        <c:idx val="2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4"/>
        <c:delete val="1"/>
      </c:legendEntry>
      <c:legendEntry>
        <c:idx val="1"/>
        <c:delete val="1"/>
      </c:legendEntry>
      <c:legendEntry>
        <c:idx val="14"/>
        <c:delete val="1"/>
      </c:legendEntry>
      <c:legendEntry>
        <c:idx val="19"/>
        <c:delete val="1"/>
      </c:legendEntry>
      <c:legendEntry>
        <c:idx val="18"/>
        <c:delete val="1"/>
      </c:legendEntry>
      <c:legendEntry>
        <c:idx val="17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0.20555555555555555</c:v>
                </c:pt>
              </c:numCache>
            </c:numRef>
          </c:yVal>
        </c:ser>
        <c:ser>
          <c:idx val="0"/>
          <c:order val="1"/>
          <c:tx>
            <c:strRef>
              <c:f>Tabelle1!$A$6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Tabelle1!$N$7:$N$10</c:f>
              <c:numCache>
                <c:formatCode>General</c:formatCode>
                <c:ptCount val="4"/>
                <c:pt idx="0">
                  <c:v>32</c:v>
                </c:pt>
                <c:pt idx="1">
                  <c:v>500</c:v>
                </c:pt>
                <c:pt idx="2">
                  <c:v>32</c:v>
                </c:pt>
                <c:pt idx="3">
                  <c:v>420</c:v>
                </c:pt>
              </c:numCache>
            </c:numRef>
          </c:xVal>
          <c:yVal>
            <c:numRef>
              <c:f>Tabelle1!$Y$7:$Y$10</c:f>
              <c:numCache>
                <c:formatCode>General</c:formatCode>
                <c:ptCount val="4"/>
              </c:numCache>
            </c:numRef>
          </c:yVal>
        </c:ser>
        <c:ser>
          <c:idx val="2"/>
          <c:order val="2"/>
          <c:tx>
            <c:strRef>
              <c:f>Tabelle1!$A$12</c:f>
              <c:strCache>
                <c:ptCount val="1"/>
                <c:pt idx="0">
                  <c:v>Binder + 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Tabelle1!$Y$12</c:f>
              <c:numCache>
                <c:formatCode>General</c:formatCode>
                <c:ptCount val="1"/>
                <c:pt idx="0">
                  <c:v>0.34920634920634919</c:v>
                </c:pt>
              </c:numCache>
            </c:numRef>
          </c:yVal>
        </c:ser>
        <c:ser>
          <c:idx val="3"/>
          <c:order val="3"/>
          <c:tx>
            <c:strRef>
              <c:f>Tabelle1!$A$47</c:f>
              <c:strCache>
                <c:ptCount val="1"/>
                <c:pt idx="0">
                  <c:v>Derrick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Tabelle1!$Y$48</c:f>
              <c:numCache>
                <c:formatCode>General</c:formatCode>
                <c:ptCount val="1"/>
                <c:pt idx="0">
                  <c:v>0.1721466689619556</c:v>
                </c:pt>
              </c:numCache>
            </c:numRef>
          </c:yVal>
        </c:ser>
        <c:ser>
          <c:idx val="4"/>
          <c:order val="4"/>
          <c:tx>
            <c:strRef>
              <c:f>Tabelle1!$A$66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Tabelle1!$N$67:$N$69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80</c:v>
                </c:pt>
              </c:numCache>
            </c:numRef>
          </c:xVal>
          <c:yVal>
            <c:numRef>
              <c:f>Tabelle1!$Y$67:$Y$69</c:f>
              <c:numCache>
                <c:formatCode>General</c:formatCode>
                <c:ptCount val="3"/>
                <c:pt idx="0">
                  <c:v>0.22222222222222221</c:v>
                </c:pt>
                <c:pt idx="1">
                  <c:v>0.46511627906976744</c:v>
                </c:pt>
                <c:pt idx="2">
                  <c:v>7.3260073260073263E-2</c:v>
                </c:pt>
              </c:numCache>
            </c:numRef>
          </c:yVal>
        </c:ser>
        <c:ser>
          <c:idx val="5"/>
          <c:order val="5"/>
          <c:tx>
            <c:strRef>
              <c:f>Tabelle1!$A$74</c:f>
              <c:strCache>
                <c:ptCount val="1"/>
                <c:pt idx="0">
                  <c:v>HMH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Tabelle1!$N$75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Tabelle1!$Y$75</c:f>
              <c:numCache>
                <c:formatCode>General</c:formatCode>
                <c:ptCount val="1"/>
                <c:pt idx="0">
                  <c:v>0.45817876700229637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Tabelle1!$N$79:$N$87</c:f>
              <c:numCache>
                <c:formatCode>General</c:formatCode>
                <c:ptCount val="9"/>
                <c:pt idx="0">
                  <c:v>350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5">
                  <c:v>2000</c:v>
                </c:pt>
                <c:pt idx="6">
                  <c:v>2000</c:v>
                </c:pt>
                <c:pt idx="7">
                  <c:v>1100</c:v>
                </c:pt>
                <c:pt idx="8">
                  <c:v>1100</c:v>
                </c:pt>
              </c:numCache>
            </c:numRef>
          </c:xVal>
          <c:yVal>
            <c:numRef>
              <c:f>Tabelle1!$Y$79:$Y$87</c:f>
              <c:numCache>
                <c:formatCode>General</c:formatCode>
                <c:ptCount val="9"/>
              </c:numCache>
            </c:numRef>
          </c:yVal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Tabelle1!$N$90:$N$91</c:f>
              <c:numCache>
                <c:formatCode>General</c:formatCode>
                <c:ptCount val="2"/>
                <c:pt idx="0">
                  <c:v>180</c:v>
                </c:pt>
                <c:pt idx="1">
                  <c:v>200</c:v>
                </c:pt>
              </c:numCache>
            </c:numRef>
          </c:xVal>
          <c:yVal>
            <c:numRef>
              <c:f>Tabelle1!$Y$90:$Y$91</c:f>
              <c:numCache>
                <c:formatCode>General</c:formatCode>
                <c:ptCount val="2"/>
              </c:numCache>
            </c:numRef>
          </c:yVal>
        </c:ser>
        <c:ser>
          <c:idx val="8"/>
          <c:order val="8"/>
          <c:tx>
            <c:strRef>
              <c:f>Tabelle1!$A$93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Tabelle1!$N$94:$N$98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Tabelle1!$Y$94:$Y$98</c:f>
              <c:numCache>
                <c:formatCode>General</c:formatCode>
                <c:ptCount val="5"/>
              </c:numCache>
            </c:numRef>
          </c:yVal>
        </c:ser>
        <c:ser>
          <c:idx val="9"/>
          <c:order val="9"/>
          <c:tx>
            <c:strRef>
              <c:f>Tabelle1!$A$100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Tabelle1!$N$100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Tabelle1!$Y$100</c:f>
              <c:numCache>
                <c:formatCode>General</c:formatCode>
                <c:ptCount val="1"/>
                <c:pt idx="0">
                  <c:v>0.44047619047619047</c:v>
                </c:pt>
              </c:numCache>
            </c:numRef>
          </c:yVal>
        </c:ser>
        <c:ser>
          <c:idx val="10"/>
          <c:order val="10"/>
          <c:tx>
            <c:strRef>
              <c:f>Tabelle1!$A$105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Tabelle1!$N$107:$N$109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250</c:v>
                </c:pt>
              </c:numCache>
            </c:numRef>
          </c:xVal>
          <c:yVal>
            <c:numRef>
              <c:f>Tabelle1!$Y$107:$Y$109</c:f>
              <c:numCache>
                <c:formatCode>General</c:formatCode>
                <c:ptCount val="3"/>
              </c:numCache>
            </c:numRef>
          </c:yVal>
        </c:ser>
        <c:ser>
          <c:idx val="11"/>
          <c:order val="11"/>
          <c:tx>
            <c:strRef>
              <c:f>Tabelle1!$A$111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xVal>
            <c:numRef>
              <c:f>Tabelle1!$N$112:$N$116</c:f>
              <c:numCache>
                <c:formatCode>General</c:formatCode>
                <c:ptCount val="5"/>
                <c:pt idx="0">
                  <c:v>100</c:v>
                </c:pt>
                <c:pt idx="1">
                  <c:v>86</c:v>
                </c:pt>
                <c:pt idx="2">
                  <c:v>200</c:v>
                </c:pt>
                <c:pt idx="3">
                  <c:v>140</c:v>
                </c:pt>
                <c:pt idx="4">
                  <c:v>20</c:v>
                </c:pt>
              </c:numCache>
            </c:numRef>
          </c:xVal>
          <c:yVal>
            <c:numRef>
              <c:f>Tabelle1!$Y$112:$Y$116</c:f>
              <c:numCache>
                <c:formatCode>General</c:formatCode>
                <c:ptCount val="5"/>
                <c:pt idx="0">
                  <c:v>0.79744816586921852</c:v>
                </c:pt>
                <c:pt idx="1">
                  <c:v>0.32608695652173914</c:v>
                </c:pt>
                <c:pt idx="2">
                  <c:v>0.375</c:v>
                </c:pt>
                <c:pt idx="3">
                  <c:v>0.12606060606060604</c:v>
                </c:pt>
                <c:pt idx="4">
                  <c:v>1.2820512820512819</c:v>
                </c:pt>
              </c:numCache>
            </c:numRef>
          </c:yVal>
        </c:ser>
        <c:ser>
          <c:idx val="12"/>
          <c:order val="12"/>
          <c:tx>
            <c:strRef>
              <c:f>Tabelle1!$A$145</c:f>
              <c:strCache>
                <c:ptCount val="1"/>
                <c:pt idx="0">
                  <c:v>Screening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Tabelle1!$N$146:$N$147</c:f>
              <c:numCache>
                <c:formatCode>General</c:formatCode>
                <c:ptCount val="2"/>
                <c:pt idx="0">
                  <c:v>780</c:v>
                </c:pt>
                <c:pt idx="1">
                  <c:v>780</c:v>
                </c:pt>
              </c:numCache>
            </c:numRef>
          </c:xVal>
          <c:yVal>
            <c:numRef>
              <c:f>Tabelle1!$Y$146:$Y$147</c:f>
              <c:numCache>
                <c:formatCode>General</c:formatCode>
                <c:ptCount val="2"/>
                <c:pt idx="0">
                  <c:v>0.48602136284808523</c:v>
                </c:pt>
                <c:pt idx="1">
                  <c:v>0.4975867044832562</c:v>
                </c:pt>
              </c:numCache>
            </c:numRef>
          </c:yVal>
        </c:ser>
        <c:ser>
          <c:idx val="13"/>
          <c:order val="13"/>
          <c:tx>
            <c:strRef>
              <c:f>Tabelle1!$A$151</c:f>
              <c:strCache>
                <c:ptCount val="1"/>
                <c:pt idx="0">
                  <c:v>Spaleck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Tabelle1!$N$152:$N$154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xVal>
          <c:yVal>
            <c:numRef>
              <c:f>Tabelle1!$Y$152:$Y$154</c:f>
              <c:numCache>
                <c:formatCode>General</c:formatCode>
                <c:ptCount val="3"/>
                <c:pt idx="0">
                  <c:v>0.24489795918367346</c:v>
                </c:pt>
                <c:pt idx="1">
                  <c:v>0.31428571428571428</c:v>
                </c:pt>
                <c:pt idx="2">
                  <c:v>0.4285714285714286</c:v>
                </c:pt>
              </c:numCache>
            </c:numRef>
          </c:yVal>
        </c:ser>
        <c:ser>
          <c:idx val="14"/>
          <c:order val="14"/>
          <c:tx>
            <c:strRef>
              <c:f>Tabelle1!$A$156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Tabelle1!$N$157:$N$159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Tabelle1!$Y$157:$Y$159</c:f>
              <c:numCache>
                <c:formatCode>General</c:formatCode>
                <c:ptCount val="3"/>
                <c:pt idx="0">
                  <c:v>0.42016806722689076</c:v>
                </c:pt>
                <c:pt idx="1">
                  <c:v>0.42016806722689076</c:v>
                </c:pt>
                <c:pt idx="2">
                  <c:v>1.6447368421052633</c:v>
                </c:pt>
              </c:numCache>
            </c:numRef>
          </c:yVal>
        </c:ser>
        <c:ser>
          <c:idx val="15"/>
          <c:order val="15"/>
          <c:tx>
            <c:strRef>
              <c:f>Tabelle1!$A$161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Tabelle1!$N$162:$N$165</c:f>
              <c:numCache>
                <c:formatCode>General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</c:numCache>
            </c:numRef>
          </c:xVal>
          <c:yVal>
            <c:numRef>
              <c:f>Tabelle1!$Y$162:$Y$165</c:f>
              <c:numCache>
                <c:formatCode>General</c:formatCode>
                <c:ptCount val="4"/>
              </c:numCache>
            </c:numRef>
          </c:yVal>
        </c:ser>
        <c:axId val="108299392"/>
        <c:axId val="108301312"/>
      </c:scatterChart>
      <c:valAx>
        <c:axId val="10829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08301312"/>
        <c:crosses val="autoZero"/>
        <c:crossBetween val="midCat"/>
      </c:valAx>
      <c:valAx>
        <c:axId val="108301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[kW/m³]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299392"/>
        <c:crosses val="autoZero"/>
        <c:crossBetween val="midCat"/>
      </c:valAx>
    </c:plotArea>
    <c:legend>
      <c:legendPos val="r"/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4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15"/>
        <c:delete val="1"/>
      </c:legendEntry>
      <c:legendEntry>
        <c:idx val="1"/>
        <c:delete val="1"/>
      </c:legendEntry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Tabelle1!$X$4</c:f>
              <c:numCache>
                <c:formatCode>General</c:formatCode>
                <c:ptCount val="1"/>
                <c:pt idx="0">
                  <c:v>0.8222222222222223</c:v>
                </c:pt>
              </c:numCache>
            </c:numRef>
          </c:yVal>
        </c:ser>
        <c:ser>
          <c:idx val="0"/>
          <c:order val="1"/>
          <c:tx>
            <c:strRef>
              <c:f>Tabelle1!$A$6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Tabelle1!$N$7:$N$10</c:f>
              <c:numCache>
                <c:formatCode>General</c:formatCode>
                <c:ptCount val="4"/>
                <c:pt idx="0">
                  <c:v>32</c:v>
                </c:pt>
                <c:pt idx="1">
                  <c:v>500</c:v>
                </c:pt>
                <c:pt idx="2">
                  <c:v>32</c:v>
                </c:pt>
                <c:pt idx="3">
                  <c:v>420</c:v>
                </c:pt>
              </c:numCache>
            </c:numRef>
          </c:xVal>
          <c:yVal>
            <c:numRef>
              <c:f>Tabelle1!$X$7:$X$10</c:f>
              <c:numCache>
                <c:formatCode>General</c:formatCode>
                <c:ptCount val="4"/>
              </c:numCache>
            </c:numRef>
          </c:yVal>
        </c:ser>
        <c:ser>
          <c:idx val="2"/>
          <c:order val="2"/>
          <c:tx>
            <c:strRef>
              <c:f>Tabelle1!$A$12</c:f>
              <c:strCache>
                <c:ptCount val="1"/>
                <c:pt idx="0">
                  <c:v>Binder + 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Tabelle1!$X$12</c:f>
              <c:numCache>
                <c:formatCode>General</c:formatCode>
                <c:ptCount val="1"/>
                <c:pt idx="0">
                  <c:v>1.746031746031746</c:v>
                </c:pt>
              </c:numCache>
            </c:numRef>
          </c:yVal>
        </c:ser>
        <c:ser>
          <c:idx val="3"/>
          <c:order val="3"/>
          <c:tx>
            <c:strRef>
              <c:f>Tabelle1!$A$47</c:f>
              <c:strCache>
                <c:ptCount val="1"/>
                <c:pt idx="0">
                  <c:v>Derrick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Tabelle1!$X$48</c:f>
              <c:numCache>
                <c:formatCode>General</c:formatCode>
                <c:ptCount val="1"/>
                <c:pt idx="0">
                  <c:v>0.54054054054054057</c:v>
                </c:pt>
              </c:numCache>
            </c:numRef>
          </c:yVal>
        </c:ser>
        <c:ser>
          <c:idx val="4"/>
          <c:order val="4"/>
          <c:tx>
            <c:strRef>
              <c:f>Tabelle1!$A$66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Tabelle1!$N$67:$N$69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80</c:v>
                </c:pt>
              </c:numCache>
            </c:numRef>
          </c:xVal>
          <c:yVal>
            <c:numRef>
              <c:f>Tabelle1!$X$67:$X$69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0.19047619047619049</c:v>
                </c:pt>
              </c:numCache>
            </c:numRef>
          </c:yVal>
        </c:ser>
        <c:ser>
          <c:idx val="5"/>
          <c:order val="5"/>
          <c:tx>
            <c:strRef>
              <c:f>Tabelle1!$A$74</c:f>
              <c:strCache>
                <c:ptCount val="1"/>
                <c:pt idx="0">
                  <c:v>HMH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Tabelle1!$N$75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Tabelle1!$X$75</c:f>
              <c:numCache>
                <c:formatCode>General</c:formatCode>
                <c:ptCount val="1"/>
                <c:pt idx="0">
                  <c:v>1.4661720544073487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Tabelle1!$N$79:$N$87</c:f>
              <c:numCache>
                <c:formatCode>General</c:formatCode>
                <c:ptCount val="9"/>
                <c:pt idx="0">
                  <c:v>350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5">
                  <c:v>2000</c:v>
                </c:pt>
                <c:pt idx="6">
                  <c:v>2000</c:v>
                </c:pt>
                <c:pt idx="7">
                  <c:v>1100</c:v>
                </c:pt>
                <c:pt idx="8">
                  <c:v>1100</c:v>
                </c:pt>
              </c:numCache>
            </c:numRef>
          </c:xVal>
          <c:yVal>
            <c:numRef>
              <c:f>Tabelle1!$X$79:$X$87</c:f>
              <c:numCache>
                <c:formatCode>General</c:formatCode>
                <c:ptCount val="9"/>
              </c:numCache>
            </c:numRef>
          </c:yVal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Tabelle1!$N$90:$N$91</c:f>
              <c:numCache>
                <c:formatCode>General</c:formatCode>
                <c:ptCount val="2"/>
                <c:pt idx="0">
                  <c:v>180</c:v>
                </c:pt>
                <c:pt idx="1">
                  <c:v>200</c:v>
                </c:pt>
              </c:numCache>
            </c:numRef>
          </c:xVal>
          <c:yVal>
            <c:numRef>
              <c:f>Tabelle1!$X$90:$X$91</c:f>
              <c:numCache>
                <c:formatCode>General</c:formatCode>
                <c:ptCount val="2"/>
              </c:numCache>
            </c:numRef>
          </c:yVal>
        </c:ser>
        <c:ser>
          <c:idx val="8"/>
          <c:order val="8"/>
          <c:tx>
            <c:strRef>
              <c:f>Tabelle1!$A$93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Tabelle1!$N$94:$N$98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Tabelle1!$X$94:$X$98</c:f>
              <c:numCache>
                <c:formatCode>General</c:formatCode>
                <c:ptCount val="5"/>
              </c:numCache>
            </c:numRef>
          </c:yVal>
        </c:ser>
        <c:ser>
          <c:idx val="9"/>
          <c:order val="9"/>
          <c:tx>
            <c:strRef>
              <c:f>Tabelle1!$A$100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Tabelle1!$N$100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Tabelle1!$X$100</c:f>
              <c:numCache>
                <c:formatCode>General</c:formatCode>
                <c:ptCount val="1"/>
                <c:pt idx="0">
                  <c:v>1.3214285714285716</c:v>
                </c:pt>
              </c:numCache>
            </c:numRef>
          </c:yVal>
        </c:ser>
        <c:ser>
          <c:idx val="10"/>
          <c:order val="10"/>
          <c:tx>
            <c:strRef>
              <c:f>Tabelle1!$A$105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Tabelle1!$N$107:$N$109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250</c:v>
                </c:pt>
              </c:numCache>
            </c:numRef>
          </c:xVal>
          <c:yVal>
            <c:numRef>
              <c:f>Tabelle1!$X$107:$X$109</c:f>
              <c:numCache>
                <c:formatCode>General</c:formatCode>
                <c:ptCount val="3"/>
              </c:numCache>
            </c:numRef>
          </c:yVal>
        </c:ser>
        <c:ser>
          <c:idx val="11"/>
          <c:order val="11"/>
          <c:tx>
            <c:strRef>
              <c:f>Tabelle1!$A$111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xVal>
            <c:numRef>
              <c:f>Tabelle1!$N$112:$N$116</c:f>
              <c:numCache>
                <c:formatCode>General</c:formatCode>
                <c:ptCount val="5"/>
                <c:pt idx="0">
                  <c:v>100</c:v>
                </c:pt>
                <c:pt idx="1">
                  <c:v>86</c:v>
                </c:pt>
                <c:pt idx="2">
                  <c:v>200</c:v>
                </c:pt>
                <c:pt idx="3">
                  <c:v>140</c:v>
                </c:pt>
                <c:pt idx="4">
                  <c:v>20</c:v>
                </c:pt>
              </c:numCache>
            </c:numRef>
          </c:xVal>
          <c:yVal>
            <c:numRef>
              <c:f>Tabelle1!$X$112:$X$116</c:f>
              <c:numCache>
                <c:formatCode>General</c:formatCode>
                <c:ptCount val="5"/>
                <c:pt idx="0">
                  <c:v>1.1961722488038278</c:v>
                </c:pt>
                <c:pt idx="1">
                  <c:v>1.0434782608695652</c:v>
                </c:pt>
                <c:pt idx="2">
                  <c:v>1.2</c:v>
                </c:pt>
                <c:pt idx="3">
                  <c:v>0.37818181818181823</c:v>
                </c:pt>
                <c:pt idx="4">
                  <c:v>1.6666666666666667</c:v>
                </c:pt>
              </c:numCache>
            </c:numRef>
          </c:yVal>
        </c:ser>
        <c:ser>
          <c:idx val="12"/>
          <c:order val="12"/>
          <c:tx>
            <c:strRef>
              <c:f>Tabelle1!$A$145</c:f>
              <c:strCache>
                <c:ptCount val="1"/>
                <c:pt idx="0">
                  <c:v>Screening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Tabelle1!$N$146:$N$147</c:f>
              <c:numCache>
                <c:formatCode>General</c:formatCode>
                <c:ptCount val="2"/>
                <c:pt idx="0">
                  <c:v>780</c:v>
                </c:pt>
                <c:pt idx="1">
                  <c:v>780</c:v>
                </c:pt>
              </c:numCache>
            </c:numRef>
          </c:xVal>
          <c:yVal>
            <c:numRef>
              <c:f>Tabelle1!$X$146:$X$147</c:f>
              <c:numCache>
                <c:formatCode>General</c:formatCode>
                <c:ptCount val="2"/>
                <c:pt idx="0">
                  <c:v>1.1640211640211642</c:v>
                </c:pt>
                <c:pt idx="1">
                  <c:v>1.5873015873015872</c:v>
                </c:pt>
              </c:numCache>
            </c:numRef>
          </c:yVal>
        </c:ser>
        <c:ser>
          <c:idx val="13"/>
          <c:order val="13"/>
          <c:tx>
            <c:strRef>
              <c:f>Tabelle1!$A$151</c:f>
              <c:strCache>
                <c:ptCount val="1"/>
                <c:pt idx="0">
                  <c:v>Spaleck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Tabelle1!$N$152:$N$154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xVal>
          <c:yVal>
            <c:numRef>
              <c:f>Tabelle1!$X$152:$X$154</c:f>
              <c:numCache>
                <c:formatCode>General</c:formatCode>
                <c:ptCount val="3"/>
                <c:pt idx="0">
                  <c:v>0.61224489795918369</c:v>
                </c:pt>
                <c:pt idx="1">
                  <c:v>0.7857142857142857</c:v>
                </c:pt>
                <c:pt idx="2">
                  <c:v>1.0714285714285714</c:v>
                </c:pt>
              </c:numCache>
            </c:numRef>
          </c:yVal>
        </c:ser>
        <c:ser>
          <c:idx val="14"/>
          <c:order val="14"/>
          <c:tx>
            <c:strRef>
              <c:f>Tabelle1!$A$156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Tabelle1!$N$157:$N$159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Tabelle1!$X$157:$X$159</c:f>
              <c:numCache>
                <c:formatCode>General</c:formatCode>
                <c:ptCount val="3"/>
                <c:pt idx="0">
                  <c:v>0.7142857142857143</c:v>
                </c:pt>
                <c:pt idx="1">
                  <c:v>0.7142857142857143</c:v>
                </c:pt>
                <c:pt idx="2">
                  <c:v>1.25</c:v>
                </c:pt>
              </c:numCache>
            </c:numRef>
          </c:yVal>
        </c:ser>
        <c:ser>
          <c:idx val="15"/>
          <c:order val="15"/>
          <c:tx>
            <c:strRef>
              <c:f>Tabelle1!$A$161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Tabelle1!$N$162:$N$165</c:f>
              <c:numCache>
                <c:formatCode>General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</c:numCache>
            </c:numRef>
          </c:xVal>
          <c:yVal>
            <c:numRef>
              <c:f>Tabelle1!$X$162:$X$165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3.1428571428571428</c:v>
                </c:pt>
                <c:pt idx="3">
                  <c:v>3.6666666666666665</c:v>
                </c:pt>
              </c:numCache>
            </c:numRef>
          </c:yVal>
        </c:ser>
        <c:axId val="117016832"/>
        <c:axId val="117035392"/>
      </c:scatterChart>
      <c:valAx>
        <c:axId val="11701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7035392"/>
        <c:crosses val="autoZero"/>
        <c:crossBetween val="midCat"/>
      </c:valAx>
      <c:valAx>
        <c:axId val="117035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[kW/m²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7016832"/>
        <c:crosses val="autoZero"/>
        <c:crossBetween val="midCat"/>
      </c:valAx>
    </c:plotArea>
    <c:legend>
      <c:legendPos val="r"/>
      <c:legendEntry>
        <c:idx val="17"/>
        <c:delete val="1"/>
      </c:legendEntry>
      <c:legendEntry>
        <c:idx val="1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4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9"/>
        <c:delete val="1"/>
      </c:legendEntry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Tabelle1!$W$4</c:f>
              <c:numCache>
                <c:formatCode>General</c:formatCode>
                <c:ptCount val="1"/>
                <c:pt idx="0">
                  <c:v>2.4666666666666668</c:v>
                </c:pt>
              </c:numCache>
            </c:numRef>
          </c:yVal>
        </c:ser>
        <c:ser>
          <c:idx val="0"/>
          <c:order val="1"/>
          <c:tx>
            <c:strRef>
              <c:f>Tabelle1!$A$6</c:f>
              <c:strCache>
                <c:ptCount val="1"/>
                <c:pt idx="0">
                  <c:v>Beyer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Tabelle1!$N$7:$N$10</c:f>
              <c:numCache>
                <c:formatCode>General</c:formatCode>
                <c:ptCount val="4"/>
                <c:pt idx="0">
                  <c:v>32</c:v>
                </c:pt>
                <c:pt idx="1">
                  <c:v>500</c:v>
                </c:pt>
                <c:pt idx="2">
                  <c:v>32</c:v>
                </c:pt>
                <c:pt idx="3">
                  <c:v>420</c:v>
                </c:pt>
              </c:numCache>
            </c:numRef>
          </c:xVal>
          <c:yVal>
            <c:numRef>
              <c:f>Tabelle1!$W$7:$W$10</c:f>
              <c:numCache>
                <c:formatCode>General</c:formatCode>
                <c:ptCount val="4"/>
              </c:numCache>
            </c:numRef>
          </c:yVal>
        </c:ser>
        <c:ser>
          <c:idx val="2"/>
          <c:order val="2"/>
          <c:tx>
            <c:strRef>
              <c:f>Tabelle1!$A$12</c:f>
              <c:strCache>
                <c:ptCount val="1"/>
                <c:pt idx="0">
                  <c:v>Binder + 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Tabelle1!$W$12</c:f>
              <c:numCache>
                <c:formatCode>General</c:formatCode>
                <c:ptCount val="1"/>
                <c:pt idx="0">
                  <c:v>2.75</c:v>
                </c:pt>
              </c:numCache>
            </c:numRef>
          </c:yVal>
        </c:ser>
        <c:ser>
          <c:idx val="3"/>
          <c:order val="3"/>
          <c:tx>
            <c:strRef>
              <c:f>Tabelle1!$A$47</c:f>
              <c:strCache>
                <c:ptCount val="1"/>
                <c:pt idx="0">
                  <c:v>Derrick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Tabelle1!$N$48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Tabelle1!$W$48</c:f>
              <c:numCache>
                <c:formatCode>General</c:formatCode>
                <c:ptCount val="1"/>
                <c:pt idx="0">
                  <c:v>1.44</c:v>
                </c:pt>
              </c:numCache>
            </c:numRef>
          </c:yVal>
        </c:ser>
        <c:ser>
          <c:idx val="4"/>
          <c:order val="4"/>
          <c:tx>
            <c:strRef>
              <c:f>Tabelle1!$A$66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Tabelle1!$N$67:$N$69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80</c:v>
                </c:pt>
              </c:numCache>
            </c:numRef>
          </c:xVal>
          <c:yVal>
            <c:numRef>
              <c:f>Tabelle1!$W$67:$W$69</c:f>
              <c:numCache>
                <c:formatCode>General</c:formatCode>
                <c:ptCount val="3"/>
                <c:pt idx="0">
                  <c:v>1.8</c:v>
                </c:pt>
                <c:pt idx="1">
                  <c:v>2.8125</c:v>
                </c:pt>
                <c:pt idx="2">
                  <c:v>0.92857142857142871</c:v>
                </c:pt>
              </c:numCache>
            </c:numRef>
          </c:yVal>
        </c:ser>
        <c:ser>
          <c:idx val="5"/>
          <c:order val="5"/>
          <c:tx>
            <c:strRef>
              <c:f>Tabelle1!$A$74</c:f>
              <c:strCache>
                <c:ptCount val="1"/>
                <c:pt idx="0">
                  <c:v>HMH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Tabelle1!$N$75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Tabelle1!$W$75</c:f>
              <c:numCache>
                <c:formatCode>General</c:formatCode>
                <c:ptCount val="1"/>
                <c:pt idx="0">
                  <c:v>2.6774193548387095</c:v>
                </c:pt>
              </c:numCache>
            </c:numRef>
          </c:yVal>
        </c:ser>
        <c:ser>
          <c:idx val="6"/>
          <c:order val="6"/>
          <c:tx>
            <c:strRef>
              <c:f>Tabelle1!$A$77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Tabelle1!$N$79:$N$87</c:f>
              <c:numCache>
                <c:formatCode>General</c:formatCode>
                <c:ptCount val="9"/>
                <c:pt idx="0">
                  <c:v>350</c:v>
                </c:pt>
                <c:pt idx="1">
                  <c:v>350</c:v>
                </c:pt>
                <c:pt idx="2">
                  <c:v>250</c:v>
                </c:pt>
                <c:pt idx="3">
                  <c:v>250</c:v>
                </c:pt>
                <c:pt idx="5">
                  <c:v>2000</c:v>
                </c:pt>
                <c:pt idx="6">
                  <c:v>2000</c:v>
                </c:pt>
                <c:pt idx="7">
                  <c:v>1100</c:v>
                </c:pt>
                <c:pt idx="8">
                  <c:v>1100</c:v>
                </c:pt>
              </c:numCache>
            </c:numRef>
          </c:xVal>
          <c:yVal>
            <c:numRef>
              <c:f>Tabelle1!$W$79:$W$87</c:f>
              <c:numCache>
                <c:formatCode>General</c:formatCode>
                <c:ptCount val="9"/>
                <c:pt idx="0">
                  <c:v>6.333333333333333</c:v>
                </c:pt>
                <c:pt idx="1">
                  <c:v>3.6538461538461537</c:v>
                </c:pt>
                <c:pt idx="2">
                  <c:v>3.3928571428571432</c:v>
                </c:pt>
                <c:pt idx="3">
                  <c:v>3.1666666666666665</c:v>
                </c:pt>
                <c:pt idx="5">
                  <c:v>2.8461538461538463</c:v>
                </c:pt>
                <c:pt idx="6">
                  <c:v>3.0612244897959182</c:v>
                </c:pt>
                <c:pt idx="7">
                  <c:v>3.1578947368421053</c:v>
                </c:pt>
                <c:pt idx="8">
                  <c:v>2.8571428571428572</c:v>
                </c:pt>
              </c:numCache>
            </c:numRef>
          </c:yVal>
        </c:ser>
        <c:ser>
          <c:idx val="7"/>
          <c:order val="7"/>
          <c:tx>
            <c:strRef>
              <c:f>Tabelle1!$A$89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Tabelle1!$N$90:$N$91</c:f>
              <c:numCache>
                <c:formatCode>General</c:formatCode>
                <c:ptCount val="2"/>
                <c:pt idx="0">
                  <c:v>180</c:v>
                </c:pt>
                <c:pt idx="1">
                  <c:v>200</c:v>
                </c:pt>
              </c:numCache>
            </c:numRef>
          </c:xVal>
          <c:yVal>
            <c:numRef>
              <c:f>Tabelle1!$W$90:$W$91</c:f>
              <c:numCache>
                <c:formatCode>General</c:formatCode>
                <c:ptCount val="2"/>
              </c:numCache>
            </c:numRef>
          </c:yVal>
        </c:ser>
        <c:ser>
          <c:idx val="8"/>
          <c:order val="8"/>
          <c:tx>
            <c:strRef>
              <c:f>Tabelle1!$A$93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Tabelle1!$N$94:$N$98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1000</c:v>
                </c:pt>
              </c:numCache>
            </c:numRef>
          </c:xVal>
          <c:yVal>
            <c:numRef>
              <c:f>Tabelle1!$W$94:$W$98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2.6666666666666665</c:v>
                </c:pt>
                <c:pt idx="3">
                  <c:v>2.9268292682926829</c:v>
                </c:pt>
                <c:pt idx="4">
                  <c:v>2.8461538461538463</c:v>
                </c:pt>
              </c:numCache>
            </c:numRef>
          </c:yVal>
        </c:ser>
        <c:ser>
          <c:idx val="9"/>
          <c:order val="9"/>
          <c:tx>
            <c:strRef>
              <c:f>Tabelle1!$A$100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Tabelle1!$N$100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Tabelle1!$W$100</c:f>
              <c:numCache>
                <c:formatCode>General</c:formatCode>
                <c:ptCount val="1"/>
                <c:pt idx="0">
                  <c:v>2.4666666666666668</c:v>
                </c:pt>
              </c:numCache>
            </c:numRef>
          </c:yVal>
        </c:ser>
        <c:ser>
          <c:idx val="10"/>
          <c:order val="10"/>
          <c:tx>
            <c:strRef>
              <c:f>Tabelle1!$A$105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Tabelle1!$N$107:$N$109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250</c:v>
                </c:pt>
              </c:numCache>
            </c:numRef>
          </c:xVal>
          <c:yVal>
            <c:numRef>
              <c:f>Tabelle1!$W$107:$W$109</c:f>
              <c:numCache>
                <c:formatCode>General</c:formatCode>
                <c:ptCount val="3"/>
                <c:pt idx="1">
                  <c:v>2.2000000000000002</c:v>
                </c:pt>
                <c:pt idx="2">
                  <c:v>1.7942857142857143</c:v>
                </c:pt>
              </c:numCache>
            </c:numRef>
          </c:yVal>
        </c:ser>
        <c:ser>
          <c:idx val="11"/>
          <c:order val="11"/>
          <c:tx>
            <c:strRef>
              <c:f>Tabelle1!$A$111</c:f>
              <c:strCache>
                <c:ptCount val="1"/>
                <c:pt idx="0">
                  <c:v>Rhewum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trendline>
            <c:spPr>
              <a:ln w="25400">
                <a:solidFill>
                  <a:srgbClr val="7030A0"/>
                </a:solidFill>
              </a:ln>
            </c:spPr>
            <c:trendlineType val="log"/>
          </c:trendline>
          <c:xVal>
            <c:numRef>
              <c:f>Tabelle1!$N$112:$N$116</c:f>
              <c:numCache>
                <c:formatCode>General</c:formatCode>
                <c:ptCount val="5"/>
                <c:pt idx="0">
                  <c:v>100</c:v>
                </c:pt>
                <c:pt idx="1">
                  <c:v>86</c:v>
                </c:pt>
                <c:pt idx="2">
                  <c:v>200</c:v>
                </c:pt>
                <c:pt idx="3">
                  <c:v>140</c:v>
                </c:pt>
                <c:pt idx="4">
                  <c:v>20</c:v>
                </c:pt>
              </c:numCache>
            </c:numRef>
          </c:xVal>
          <c:yVal>
            <c:numRef>
              <c:f>Tabelle1!$W$112:$W$116</c:f>
              <c:numCache>
                <c:formatCode>General</c:formatCode>
                <c:ptCount val="5"/>
                <c:pt idx="0">
                  <c:v>3.3333333333333335</c:v>
                </c:pt>
                <c:pt idx="1">
                  <c:v>2.4</c:v>
                </c:pt>
                <c:pt idx="2">
                  <c:v>2.7272727272727271</c:v>
                </c:pt>
                <c:pt idx="3">
                  <c:v>0.8</c:v>
                </c:pt>
                <c:pt idx="4">
                  <c:v>3.75</c:v>
                </c:pt>
              </c:numCache>
            </c:numRef>
          </c:yVal>
        </c:ser>
        <c:ser>
          <c:idx val="12"/>
          <c:order val="12"/>
          <c:tx>
            <c:strRef>
              <c:f>Tabelle1!$A$145</c:f>
              <c:strCache>
                <c:ptCount val="1"/>
                <c:pt idx="0">
                  <c:v>Screening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Tabelle1!$N$146:$N$147</c:f>
              <c:numCache>
                <c:formatCode>General</c:formatCode>
                <c:ptCount val="2"/>
                <c:pt idx="0">
                  <c:v>780</c:v>
                </c:pt>
                <c:pt idx="1">
                  <c:v>780</c:v>
                </c:pt>
              </c:numCache>
            </c:numRef>
          </c:xVal>
          <c:yVal>
            <c:numRef>
              <c:f>Tabelle1!$W$146:$W$147</c:f>
              <c:numCache>
                <c:formatCode>General</c:formatCode>
                <c:ptCount val="2"/>
                <c:pt idx="0">
                  <c:v>6.875</c:v>
                </c:pt>
                <c:pt idx="1">
                  <c:v>6.9767441860465116</c:v>
                </c:pt>
              </c:numCache>
            </c:numRef>
          </c:yVal>
        </c:ser>
        <c:ser>
          <c:idx val="13"/>
          <c:order val="13"/>
          <c:tx>
            <c:strRef>
              <c:f>Tabelle1!$A$151</c:f>
              <c:strCache>
                <c:ptCount val="1"/>
                <c:pt idx="0">
                  <c:v>Spaleck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Tabelle1!$N$152:$N$154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xVal>
          <c:yVal>
            <c:numRef>
              <c:f>Tabelle1!$W$152:$W$154</c:f>
              <c:numCache>
                <c:formatCode>General</c:formatCode>
                <c:ptCount val="3"/>
                <c:pt idx="0">
                  <c:v>3</c:v>
                </c:pt>
                <c:pt idx="1">
                  <c:v>2.4444444444444446</c:v>
                </c:pt>
                <c:pt idx="2">
                  <c:v>1.5</c:v>
                </c:pt>
              </c:numCache>
            </c:numRef>
          </c:yVal>
        </c:ser>
        <c:ser>
          <c:idx val="14"/>
          <c:order val="14"/>
          <c:tx>
            <c:strRef>
              <c:f>Tabelle1!$A$156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Tabelle1!$N$157:$N$159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5</c:v>
                </c:pt>
              </c:numCache>
            </c:numRef>
          </c:xVal>
          <c:yVal>
            <c:numRef>
              <c:f>Tabelle1!$W$157:$W$159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6</c:v>
                </c:pt>
              </c:numCache>
            </c:numRef>
          </c:yVal>
        </c:ser>
        <c:ser>
          <c:idx val="15"/>
          <c:order val="15"/>
          <c:tx>
            <c:strRef>
              <c:f>Tabelle1!$A$161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Tabelle1!$N$162:$N$165</c:f>
              <c:numCache>
                <c:formatCode>General</c:formatCode>
                <c:ptCount val="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</c:numCache>
            </c:numRef>
          </c:xVal>
          <c:yVal>
            <c:numRef>
              <c:f>Tabelle1!$W$162:$W$165</c:f>
              <c:numCache>
                <c:formatCode>General</c:formatCode>
                <c:ptCount val="4"/>
                <c:pt idx="0">
                  <c:v>6.1111111111111107</c:v>
                </c:pt>
                <c:pt idx="1">
                  <c:v>5</c:v>
                </c:pt>
                <c:pt idx="2">
                  <c:v>4.583333333333333</c:v>
                </c:pt>
                <c:pt idx="3">
                  <c:v>4.583333333333333</c:v>
                </c:pt>
              </c:numCache>
            </c:numRef>
          </c:yVal>
        </c:ser>
        <c:axId val="117659520"/>
        <c:axId val="117678080"/>
      </c:scatterChart>
      <c:valAx>
        <c:axId val="11765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7678080"/>
        <c:crosses val="autoZero"/>
        <c:crossBetween val="midCat"/>
      </c:valAx>
      <c:valAx>
        <c:axId val="117678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[kW/t]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7659520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20"/>
        <c:delete val="1"/>
      </c:legendEntry>
      <c:legendEntry>
        <c:idx val="11"/>
        <c:delete val="1"/>
      </c:legendEntry>
      <c:legendEntry>
        <c:idx val="14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71"/>
  <sheetViews>
    <sheetView workbookViewId="0">
      <pane ySplit="3" topLeftCell="A146" activePane="bottomLeft" state="frozen"/>
      <selection pane="bottomLeft" activeCell="F2" sqref="F2"/>
    </sheetView>
  </sheetViews>
  <sheetFormatPr baseColWidth="10" defaultRowHeight="12.75"/>
  <cols>
    <col min="1" max="1" width="31.28515625" style="22" bestFit="1" customWidth="1"/>
    <col min="2" max="2" width="35.85546875" style="31" bestFit="1" customWidth="1"/>
    <col min="3" max="3" width="11.42578125" style="7" customWidth="1"/>
    <col min="4" max="4" width="11.42578125" style="7"/>
    <col min="5" max="5" width="11.42578125" style="36"/>
    <col min="6" max="6" width="11.42578125" style="52"/>
    <col min="7" max="7" width="11.42578125" style="65"/>
    <col min="8" max="8" width="14.28515625" style="36" customWidth="1"/>
    <col min="9" max="9" width="11.42578125" style="8" customWidth="1"/>
    <col min="10" max="10" width="11.42578125" style="19" customWidth="1"/>
    <col min="11" max="11" width="11.42578125" style="8" customWidth="1"/>
    <col min="12" max="12" width="11.42578125" style="19" customWidth="1"/>
    <col min="13" max="14" width="11.42578125" style="7" customWidth="1"/>
    <col min="15" max="15" width="11.42578125" style="8"/>
    <col min="16" max="16" width="11.42578125" style="19"/>
    <col min="17" max="17" width="19.85546875" style="52" bestFit="1" customWidth="1"/>
    <col min="18" max="18" width="11.42578125" style="8" customWidth="1"/>
    <col min="19" max="19" width="11.42578125" style="36" customWidth="1"/>
    <col min="20" max="20" width="11.42578125" style="8"/>
    <col min="21" max="21" width="11.42578125" style="8" customWidth="1"/>
    <col min="22" max="22" width="17.42578125" style="73" bestFit="1" customWidth="1"/>
    <col min="23" max="23" width="11.42578125" style="70"/>
    <col min="24" max="25" width="12.42578125" bestFit="1" customWidth="1"/>
    <col min="26" max="26" width="18.140625" style="70" bestFit="1" customWidth="1"/>
    <col min="27" max="27" width="16.42578125" bestFit="1" customWidth="1"/>
    <col min="28" max="28" width="22.28515625" bestFit="1" customWidth="1"/>
    <col min="29" max="29" width="16.7109375" style="70" bestFit="1" customWidth="1"/>
    <col min="30" max="30" width="22.28515625" bestFit="1" customWidth="1"/>
    <col min="31" max="31" width="15.7109375" bestFit="1" customWidth="1"/>
    <col min="32" max="32" width="11.42578125" style="70"/>
  </cols>
  <sheetData>
    <row r="1" spans="1:38">
      <c r="A1" s="22" t="s">
        <v>0</v>
      </c>
      <c r="B1" s="31" t="s">
        <v>1</v>
      </c>
      <c r="C1" s="59" t="s">
        <v>4</v>
      </c>
      <c r="D1" s="60"/>
      <c r="E1" s="61"/>
      <c r="F1" s="51" t="s">
        <v>211</v>
      </c>
      <c r="G1" s="59" t="s">
        <v>210</v>
      </c>
      <c r="H1" s="61"/>
      <c r="I1" s="63" t="s">
        <v>21</v>
      </c>
      <c r="J1" s="64"/>
      <c r="K1" s="63" t="s">
        <v>190</v>
      </c>
      <c r="L1" s="64"/>
      <c r="M1" s="59" t="s">
        <v>2</v>
      </c>
      <c r="N1" s="60"/>
      <c r="O1" s="60"/>
      <c r="P1" s="61"/>
      <c r="Q1" s="51" t="s">
        <v>23</v>
      </c>
      <c r="R1" s="59" t="s">
        <v>24</v>
      </c>
      <c r="S1" s="61"/>
      <c r="T1" s="59" t="s">
        <v>3</v>
      </c>
      <c r="U1" s="61"/>
      <c r="V1" s="72" t="s">
        <v>191</v>
      </c>
      <c r="W1" s="59" t="s">
        <v>193</v>
      </c>
      <c r="X1" s="62"/>
      <c r="Y1" s="62"/>
      <c r="Z1" s="70" t="s">
        <v>197</v>
      </c>
      <c r="AA1" t="s">
        <v>198</v>
      </c>
      <c r="AB1" t="s">
        <v>199</v>
      </c>
      <c r="AD1" s="58" t="s">
        <v>203</v>
      </c>
      <c r="AG1" s="62"/>
      <c r="AH1" s="62"/>
      <c r="AI1" s="62"/>
      <c r="AJ1" s="62"/>
      <c r="AK1" s="62"/>
      <c r="AL1" s="62"/>
    </row>
    <row r="2" spans="1:38">
      <c r="C2" s="7" t="s">
        <v>9</v>
      </c>
      <c r="D2" s="7" t="s">
        <v>10</v>
      </c>
      <c r="E2" s="36" t="s">
        <v>11</v>
      </c>
      <c r="I2" s="8" t="s">
        <v>7</v>
      </c>
      <c r="J2" s="19" t="s">
        <v>8</v>
      </c>
      <c r="K2" s="8" t="s">
        <v>7</v>
      </c>
      <c r="L2" s="19" t="s">
        <v>8</v>
      </c>
      <c r="M2" s="7" t="s">
        <v>5</v>
      </c>
      <c r="N2" s="7" t="s">
        <v>6</v>
      </c>
      <c r="O2" s="8" t="s">
        <v>7</v>
      </c>
      <c r="P2" s="19" t="s">
        <v>8</v>
      </c>
      <c r="R2" s="8" t="s">
        <v>7</v>
      </c>
      <c r="S2" s="36" t="s">
        <v>8</v>
      </c>
      <c r="T2" s="8" t="s">
        <v>5</v>
      </c>
      <c r="U2" s="8" t="s">
        <v>6</v>
      </c>
      <c r="AC2" s="70" t="s">
        <v>204</v>
      </c>
      <c r="AD2" t="s">
        <v>205</v>
      </c>
      <c r="AE2" t="s">
        <v>206</v>
      </c>
      <c r="AG2" s="62"/>
      <c r="AH2" s="62"/>
      <c r="AI2" s="62"/>
      <c r="AJ2" s="62"/>
      <c r="AK2" s="62"/>
      <c r="AL2" s="62"/>
    </row>
    <row r="3" spans="1:38" s="1" customFormat="1">
      <c r="A3" s="23"/>
      <c r="B3" s="32"/>
      <c r="C3" s="6" t="s">
        <v>15</v>
      </c>
      <c r="D3" s="6" t="s">
        <v>15</v>
      </c>
      <c r="E3" s="23" t="s">
        <v>15</v>
      </c>
      <c r="F3" s="51"/>
      <c r="G3" s="66" t="s">
        <v>22</v>
      </c>
      <c r="H3" s="23" t="s">
        <v>14</v>
      </c>
      <c r="I3" s="9" t="s">
        <v>22</v>
      </c>
      <c r="J3" s="20" t="s">
        <v>22</v>
      </c>
      <c r="K3" s="9" t="s">
        <v>17</v>
      </c>
      <c r="L3" s="20" t="s">
        <v>17</v>
      </c>
      <c r="M3" s="6" t="s">
        <v>12</v>
      </c>
      <c r="N3" s="6" t="s">
        <v>12</v>
      </c>
      <c r="O3" s="9" t="s">
        <v>13</v>
      </c>
      <c r="P3" s="20" t="s">
        <v>13</v>
      </c>
      <c r="Q3" s="53" t="s">
        <v>15</v>
      </c>
      <c r="R3" s="9" t="s">
        <v>15</v>
      </c>
      <c r="S3" s="23" t="s">
        <v>15</v>
      </c>
      <c r="T3" s="59" t="s">
        <v>16</v>
      </c>
      <c r="U3" s="61"/>
      <c r="V3" s="74" t="s">
        <v>192</v>
      </c>
      <c r="W3" s="57" t="s">
        <v>194</v>
      </c>
      <c r="X3" s="58" t="s">
        <v>195</v>
      </c>
      <c r="Y3" s="58" t="s">
        <v>196</v>
      </c>
      <c r="Z3" s="57" t="s">
        <v>200</v>
      </c>
      <c r="AA3" s="58" t="s">
        <v>201</v>
      </c>
      <c r="AB3" s="58" t="s">
        <v>202</v>
      </c>
      <c r="AC3" s="57" t="s">
        <v>207</v>
      </c>
      <c r="AD3" s="58" t="s">
        <v>208</v>
      </c>
      <c r="AE3" s="58" t="s">
        <v>209</v>
      </c>
      <c r="AF3" s="57"/>
    </row>
    <row r="4" spans="1:38">
      <c r="A4" s="24" t="s">
        <v>25</v>
      </c>
      <c r="C4" s="8">
        <v>4000</v>
      </c>
      <c r="D4" s="8">
        <v>4500</v>
      </c>
      <c r="E4" s="19">
        <v>10000</v>
      </c>
      <c r="F4" s="75">
        <v>6</v>
      </c>
      <c r="G4" s="65">
        <f>3.9*10</f>
        <v>39</v>
      </c>
      <c r="H4" s="43" t="s">
        <v>26</v>
      </c>
      <c r="L4" s="19">
        <v>15</v>
      </c>
      <c r="N4" s="7">
        <v>1200</v>
      </c>
      <c r="Q4" s="52">
        <v>1500</v>
      </c>
      <c r="R4" s="8">
        <v>0.1</v>
      </c>
      <c r="S4" s="36">
        <v>1000</v>
      </c>
      <c r="T4" s="8">
        <v>1.4</v>
      </c>
      <c r="U4" s="8">
        <v>37</v>
      </c>
      <c r="V4" s="73">
        <f>U4/N4</f>
        <v>3.0833333333333334E-2</v>
      </c>
      <c r="W4" s="70">
        <f>U4/L4</f>
        <v>2.4666666666666668</v>
      </c>
      <c r="X4">
        <f>U4/(E4*D4)*1000000</f>
        <v>0.8222222222222223</v>
      </c>
      <c r="Y4">
        <f>U4/(D4*E4*C4)*1000000000</f>
        <v>0.20555555555555555</v>
      </c>
      <c r="Z4" s="70">
        <f>(D4*E4)/1000000/N4</f>
        <v>3.7499999999999999E-2</v>
      </c>
      <c r="AA4" s="4">
        <f>(E4*D4*C4)/1000000000/N4</f>
        <v>0.15</v>
      </c>
      <c r="AB4" s="4">
        <f>L4/N4</f>
        <v>1.2500000000000001E-2</v>
      </c>
      <c r="AC4" s="71">
        <f>N4/L4</f>
        <v>80</v>
      </c>
      <c r="AD4" s="4">
        <f>N4/(E4*D4)*1000000</f>
        <v>26.666666666666668</v>
      </c>
      <c r="AE4" s="4">
        <f>N4/(E4*D4*C4)*1000000000</f>
        <v>6.666666666666667</v>
      </c>
      <c r="AF4" s="71"/>
      <c r="AG4" s="3"/>
      <c r="AH4" s="3"/>
      <c r="AI4" s="3"/>
      <c r="AJ4" s="3"/>
      <c r="AK4" s="3"/>
      <c r="AL4" s="3"/>
    </row>
    <row r="5" spans="1:38">
      <c r="C5" s="8"/>
      <c r="D5" s="8"/>
      <c r="E5" s="19"/>
      <c r="F5" s="75"/>
      <c r="H5" s="43"/>
      <c r="AA5" s="4"/>
      <c r="AB5" s="4"/>
      <c r="AC5" s="71"/>
      <c r="AD5" s="4"/>
      <c r="AE5" s="4"/>
      <c r="AF5" s="71"/>
      <c r="AG5" s="3"/>
      <c r="AH5" s="3"/>
      <c r="AI5" s="3"/>
      <c r="AJ5" s="3"/>
      <c r="AK5" s="3"/>
      <c r="AL5" s="3"/>
    </row>
    <row r="6" spans="1:38">
      <c r="A6" s="24" t="s">
        <v>27</v>
      </c>
      <c r="C6" s="8"/>
      <c r="D6" s="8"/>
      <c r="E6" s="19"/>
      <c r="F6" s="75"/>
      <c r="H6" s="43"/>
      <c r="AA6" s="4"/>
      <c r="AB6" s="4"/>
      <c r="AC6" s="71"/>
      <c r="AD6" s="4"/>
      <c r="AE6" s="4"/>
      <c r="AF6" s="71"/>
      <c r="AG6" s="3"/>
      <c r="AH6" s="3"/>
      <c r="AI6" s="3"/>
      <c r="AJ6" s="3"/>
      <c r="AK6" s="3"/>
      <c r="AL6" s="3"/>
    </row>
    <row r="7" spans="1:38">
      <c r="A7" s="24"/>
      <c r="B7" s="31" t="s">
        <v>30</v>
      </c>
      <c r="C7" s="8">
        <v>710</v>
      </c>
      <c r="D7" s="8">
        <v>2040</v>
      </c>
      <c r="E7" s="19">
        <v>2220</v>
      </c>
      <c r="F7" s="75">
        <v>2</v>
      </c>
      <c r="G7" s="65">
        <f>1.84*0.91</f>
        <v>1.6744000000000001</v>
      </c>
      <c r="H7" s="43" t="s">
        <v>34</v>
      </c>
      <c r="J7" s="19">
        <v>1.67</v>
      </c>
      <c r="M7" s="7">
        <v>0</v>
      </c>
      <c r="N7" s="7">
        <v>32</v>
      </c>
      <c r="Q7" s="52">
        <v>150</v>
      </c>
      <c r="Z7" s="70">
        <f>(D7*E7)/1000000/N7</f>
        <v>0.14152500000000001</v>
      </c>
      <c r="AA7" s="4">
        <f>(E7*D7*C7)/1000000000/N7</f>
        <v>0.10048275</v>
      </c>
      <c r="AB7" s="4"/>
      <c r="AC7" s="71"/>
      <c r="AD7" s="4">
        <f>N7/(E7*D7)*1000000</f>
        <v>7.0658894188305954</v>
      </c>
      <c r="AE7" s="4">
        <f>N7/(E7*D7*C7)*1000000000</f>
        <v>9.9519569279304161</v>
      </c>
      <c r="AF7" s="71"/>
      <c r="AG7" s="3"/>
      <c r="AH7" s="3"/>
      <c r="AI7" s="3"/>
      <c r="AJ7" s="3"/>
      <c r="AK7" s="3"/>
      <c r="AL7" s="3"/>
    </row>
    <row r="8" spans="1:38" s="5" customFormat="1">
      <c r="A8" s="25"/>
      <c r="B8" s="33" t="s">
        <v>31</v>
      </c>
      <c r="C8" s="10">
        <v>710</v>
      </c>
      <c r="D8" s="10">
        <v>2310</v>
      </c>
      <c r="E8" s="21">
        <v>5320</v>
      </c>
      <c r="F8" s="76">
        <v>2</v>
      </c>
      <c r="G8" s="67">
        <f>4.75*1.17</f>
        <v>5.5574999999999992</v>
      </c>
      <c r="H8" s="44" t="s">
        <v>28</v>
      </c>
      <c r="I8" s="10"/>
      <c r="J8" s="21">
        <v>5.56</v>
      </c>
      <c r="K8" s="10"/>
      <c r="L8" s="21"/>
      <c r="M8" s="11">
        <v>125</v>
      </c>
      <c r="N8" s="11">
        <v>500</v>
      </c>
      <c r="O8" s="8"/>
      <c r="P8" s="19"/>
      <c r="Q8" s="52">
        <v>150</v>
      </c>
      <c r="R8" s="10"/>
      <c r="S8" s="42"/>
      <c r="T8" s="10"/>
      <c r="U8" s="10"/>
      <c r="V8" s="73"/>
      <c r="W8" s="70"/>
      <c r="X8"/>
      <c r="Y8"/>
      <c r="Z8" s="70">
        <f>(D8*E8)/1000000/N8</f>
        <v>2.4578399999999997E-2</v>
      </c>
      <c r="AA8" s="4">
        <f>(E8*D8*C8)/1000000000/N8</f>
        <v>1.7450664000000001E-2</v>
      </c>
      <c r="AB8" s="4"/>
      <c r="AC8" s="71"/>
      <c r="AD8" s="4">
        <f>N8/(E8*D8)*1000000</f>
        <v>40.686130911694825</v>
      </c>
      <c r="AE8" s="4">
        <f>N8/(E8*D8*C8)*1000000000</f>
        <v>57.304409734781437</v>
      </c>
      <c r="AF8" s="71"/>
      <c r="AG8" s="3"/>
      <c r="AH8" s="3"/>
      <c r="AI8" s="3"/>
      <c r="AJ8" s="3"/>
      <c r="AK8" s="3"/>
      <c r="AL8" s="3"/>
    </row>
    <row r="9" spans="1:38">
      <c r="B9" s="33" t="s">
        <v>32</v>
      </c>
      <c r="C9" s="10">
        <v>1020</v>
      </c>
      <c r="D9" s="10">
        <v>2040</v>
      </c>
      <c r="E9" s="21">
        <v>3205</v>
      </c>
      <c r="F9" s="76">
        <v>3</v>
      </c>
      <c r="G9" s="67">
        <f>2.75*0.91</f>
        <v>2.5024999999999999</v>
      </c>
      <c r="H9" s="43" t="s">
        <v>35</v>
      </c>
      <c r="J9" s="21">
        <v>2.5</v>
      </c>
      <c r="K9" s="10"/>
      <c r="L9" s="21"/>
      <c r="M9" s="11">
        <v>0</v>
      </c>
      <c r="N9" s="11">
        <v>32</v>
      </c>
      <c r="Q9" s="52">
        <v>150</v>
      </c>
      <c r="R9" s="10"/>
      <c r="S9" s="42"/>
      <c r="T9" s="10"/>
      <c r="U9" s="10"/>
      <c r="Z9" s="70">
        <f>(D9*E9)/1000000/N9</f>
        <v>0.20431874999999999</v>
      </c>
      <c r="AA9" s="4">
        <f>(E9*D9*C9)/1000000000/N9</f>
        <v>0.208405125</v>
      </c>
      <c r="AB9" s="4"/>
      <c r="AC9" s="71"/>
      <c r="AD9" s="4">
        <f>N9/(E9*D9)*1000000</f>
        <v>4.8943134195956075</v>
      </c>
      <c r="AE9" s="4">
        <f>N9/(E9*D9*C9)*1000000000</f>
        <v>4.7983464897996155</v>
      </c>
      <c r="AF9" s="71"/>
      <c r="AG9" s="3"/>
      <c r="AH9" s="3"/>
      <c r="AI9" s="3"/>
      <c r="AJ9" s="3"/>
      <c r="AK9" s="3"/>
      <c r="AL9" s="3"/>
    </row>
    <row r="10" spans="1:38">
      <c r="B10" s="33" t="s">
        <v>33</v>
      </c>
      <c r="C10" s="10">
        <v>1020</v>
      </c>
      <c r="D10" s="10">
        <v>2620</v>
      </c>
      <c r="E10" s="21">
        <v>4205</v>
      </c>
      <c r="F10" s="76">
        <v>3</v>
      </c>
      <c r="G10" s="67">
        <f>3.75*1.4</f>
        <v>5.25</v>
      </c>
      <c r="H10" s="43" t="s">
        <v>29</v>
      </c>
      <c r="J10" s="21">
        <v>5.25</v>
      </c>
      <c r="K10" s="10"/>
      <c r="L10" s="21"/>
      <c r="M10" s="11">
        <v>200</v>
      </c>
      <c r="N10" s="11">
        <v>420</v>
      </c>
      <c r="Q10" s="52">
        <v>150</v>
      </c>
      <c r="R10" s="10"/>
      <c r="S10" s="42"/>
      <c r="T10" s="10"/>
      <c r="U10" s="10"/>
      <c r="Z10" s="70">
        <f>(D10*E10)/1000000/N10</f>
        <v>2.6231190476190474E-2</v>
      </c>
      <c r="AA10" s="4">
        <f>(E10*D10*C10)/1000000000/N10</f>
        <v>2.6755814285714285E-2</v>
      </c>
      <c r="AB10" s="4"/>
      <c r="AC10" s="71"/>
      <c r="AD10" s="4">
        <f>N10/(E10*D10)*1000000</f>
        <v>38.122554937324701</v>
      </c>
      <c r="AE10" s="4">
        <f>N10/(E10*D10*C10)*1000000000</f>
        <v>37.375053860122264</v>
      </c>
      <c r="AF10" s="71"/>
      <c r="AG10" s="3"/>
      <c r="AH10" s="3"/>
      <c r="AI10" s="3"/>
      <c r="AJ10" s="3"/>
      <c r="AK10" s="3"/>
      <c r="AL10" s="3"/>
    </row>
    <row r="11" spans="1:38">
      <c r="B11" s="33"/>
      <c r="C11" s="10"/>
      <c r="D11" s="10"/>
      <c r="E11" s="21"/>
      <c r="F11" s="76"/>
      <c r="G11" s="67"/>
      <c r="H11" s="43"/>
      <c r="J11" s="21"/>
      <c r="K11" s="10"/>
      <c r="L11" s="21"/>
      <c r="M11" s="11"/>
      <c r="N11" s="11"/>
      <c r="Q11" s="54"/>
      <c r="R11" s="10"/>
      <c r="S11" s="42"/>
      <c r="T11" s="10"/>
      <c r="U11" s="10"/>
      <c r="AA11" s="4"/>
      <c r="AB11" s="4"/>
      <c r="AC11" s="71"/>
      <c r="AD11" s="4"/>
      <c r="AE11" s="4"/>
      <c r="AF11" s="71"/>
      <c r="AG11" s="3"/>
      <c r="AH11" s="3"/>
      <c r="AI11" s="3"/>
      <c r="AJ11" s="3"/>
      <c r="AK11" s="3"/>
      <c r="AL11" s="3"/>
    </row>
    <row r="12" spans="1:38">
      <c r="A12" s="24" t="s">
        <v>36</v>
      </c>
      <c r="B12" s="33"/>
      <c r="C12" s="10">
        <v>5000</v>
      </c>
      <c r="D12" s="10">
        <v>3500</v>
      </c>
      <c r="E12" s="21">
        <v>9000</v>
      </c>
      <c r="F12" s="76">
        <v>3</v>
      </c>
      <c r="G12" s="67">
        <v>20</v>
      </c>
      <c r="H12" s="43"/>
      <c r="J12" s="21"/>
      <c r="K12" s="10">
        <v>1</v>
      </c>
      <c r="L12" s="21">
        <v>20</v>
      </c>
      <c r="M12" s="11"/>
      <c r="N12" s="11">
        <v>1000</v>
      </c>
      <c r="Q12" s="54">
        <v>1000</v>
      </c>
      <c r="R12" s="10">
        <v>1</v>
      </c>
      <c r="S12" s="42">
        <v>300</v>
      </c>
      <c r="T12" s="10">
        <v>2</v>
      </c>
      <c r="U12" s="10">
        <v>55</v>
      </c>
      <c r="V12" s="73">
        <f t="shared" ref="V5:V68" si="0">U12/N12</f>
        <v>5.5E-2</v>
      </c>
      <c r="W12" s="70">
        <f t="shared" ref="W5:W68" si="1">U12/L12</f>
        <v>2.75</v>
      </c>
      <c r="X12">
        <f>U12/(E12*D12)*1000000</f>
        <v>1.746031746031746</v>
      </c>
      <c r="Y12">
        <f>U12/(D12*E12*C12)*1000000000</f>
        <v>0.34920634920634919</v>
      </c>
      <c r="Z12" s="70">
        <f>(D12*E12)/1000000/N12</f>
        <v>3.15E-2</v>
      </c>
      <c r="AA12" s="4">
        <f>(E12*D12*C12)/1000000000/N12</f>
        <v>0.1575</v>
      </c>
      <c r="AB12" s="4">
        <f t="shared" ref="AB5:AB68" si="2">L12/N12</f>
        <v>0.02</v>
      </c>
      <c r="AC12" s="71">
        <f t="shared" ref="AC5:AC68" si="3">N12/L12</f>
        <v>50</v>
      </c>
      <c r="AD12" s="4">
        <f>N12/(E12*D12)*1000000</f>
        <v>31.746031746031743</v>
      </c>
      <c r="AE12" s="4">
        <f>N12/(E12*D12*C12)*1000000000</f>
        <v>6.3492063492063489</v>
      </c>
      <c r="AF12" s="71"/>
      <c r="AG12" s="3"/>
      <c r="AH12" s="3"/>
      <c r="AI12" s="3"/>
      <c r="AJ12" s="3"/>
      <c r="AK12" s="3"/>
      <c r="AL12" s="3"/>
    </row>
    <row r="13" spans="1:38">
      <c r="B13" s="33"/>
      <c r="C13" s="10"/>
      <c r="D13" s="10"/>
      <c r="E13" s="21"/>
      <c r="F13" s="76"/>
      <c r="G13" s="67"/>
      <c r="H13" s="43"/>
      <c r="J13" s="21"/>
      <c r="K13" s="10"/>
      <c r="L13" s="21"/>
      <c r="M13" s="11"/>
      <c r="N13" s="11"/>
      <c r="Q13" s="54"/>
      <c r="R13" s="10"/>
      <c r="S13" s="42"/>
      <c r="T13" s="10"/>
      <c r="U13" s="10"/>
      <c r="AA13" s="4"/>
      <c r="AB13" s="4"/>
      <c r="AC13" s="71"/>
      <c r="AD13" s="4"/>
      <c r="AE13" s="4"/>
      <c r="AF13" s="71"/>
      <c r="AG13" s="3"/>
      <c r="AH13" s="3"/>
      <c r="AI13" s="3"/>
      <c r="AJ13" s="3"/>
      <c r="AK13" s="3"/>
      <c r="AL13" s="3"/>
    </row>
    <row r="14" spans="1:38">
      <c r="A14" s="24" t="s">
        <v>37</v>
      </c>
      <c r="B14" s="33"/>
      <c r="C14" s="10"/>
      <c r="D14" s="10"/>
      <c r="E14" s="21"/>
      <c r="F14" s="76"/>
      <c r="G14" s="67"/>
      <c r="H14" s="43"/>
      <c r="J14" s="21"/>
      <c r="K14" s="10"/>
      <c r="L14" s="21"/>
      <c r="M14" s="11"/>
      <c r="N14" s="11"/>
      <c r="Q14" s="54"/>
      <c r="R14" s="10"/>
      <c r="S14" s="42"/>
      <c r="T14" s="10"/>
      <c r="U14" s="10"/>
      <c r="AA14" s="4"/>
      <c r="AB14" s="4"/>
      <c r="AC14" s="71"/>
      <c r="AD14" s="4"/>
      <c r="AE14" s="4"/>
      <c r="AF14" s="71"/>
      <c r="AG14" s="3"/>
      <c r="AH14" s="3"/>
      <c r="AI14" s="3"/>
      <c r="AJ14" s="3"/>
      <c r="AK14" s="3"/>
      <c r="AL14" s="3"/>
    </row>
    <row r="15" spans="1:38" s="5" customFormat="1">
      <c r="A15" s="25"/>
      <c r="B15" s="33" t="s">
        <v>38</v>
      </c>
      <c r="C15" s="10"/>
      <c r="D15" s="10">
        <v>1600</v>
      </c>
      <c r="E15" s="21">
        <v>3300</v>
      </c>
      <c r="F15" s="76">
        <v>1</v>
      </c>
      <c r="G15" s="67">
        <v>3.6</v>
      </c>
      <c r="H15" s="44"/>
      <c r="I15" s="10"/>
      <c r="J15" s="21"/>
      <c r="K15" s="10"/>
      <c r="L15" s="21"/>
      <c r="M15" s="11"/>
      <c r="N15" s="11"/>
      <c r="O15" s="8"/>
      <c r="P15" s="19"/>
      <c r="Q15" s="54"/>
      <c r="R15" s="10"/>
      <c r="S15" s="42"/>
      <c r="T15" s="10"/>
      <c r="U15" s="10"/>
      <c r="V15" s="73"/>
      <c r="W15" s="70"/>
      <c r="X15"/>
      <c r="Y15"/>
      <c r="Z15" s="70"/>
      <c r="AA15" s="4"/>
      <c r="AB15" s="4"/>
      <c r="AC15" s="71"/>
      <c r="AD15" s="4"/>
      <c r="AE15" s="4"/>
      <c r="AF15" s="71"/>
      <c r="AG15" s="3"/>
      <c r="AH15" s="3"/>
      <c r="AI15" s="3"/>
      <c r="AJ15" s="3"/>
      <c r="AK15" s="3"/>
      <c r="AL15" s="3"/>
    </row>
    <row r="16" spans="1:38">
      <c r="A16" s="24"/>
      <c r="B16" s="33" t="s">
        <v>39</v>
      </c>
      <c r="C16" s="10"/>
      <c r="D16" s="10">
        <v>1600</v>
      </c>
      <c r="E16" s="21">
        <v>3300</v>
      </c>
      <c r="F16" s="76">
        <v>2</v>
      </c>
      <c r="G16" s="67">
        <v>7.2</v>
      </c>
      <c r="H16" s="43"/>
      <c r="J16" s="21"/>
      <c r="K16" s="10"/>
      <c r="L16" s="21"/>
      <c r="N16" s="11"/>
      <c r="Q16" s="54"/>
      <c r="R16" s="10"/>
      <c r="S16" s="42"/>
      <c r="T16" s="10"/>
      <c r="U16" s="10"/>
      <c r="AA16" s="4"/>
      <c r="AB16" s="4"/>
      <c r="AC16" s="71"/>
      <c r="AD16" s="4"/>
      <c r="AE16" s="4"/>
      <c r="AF16" s="71"/>
      <c r="AG16" s="3"/>
      <c r="AH16" s="3"/>
      <c r="AI16" s="3"/>
      <c r="AJ16" s="3"/>
      <c r="AK16" s="3"/>
      <c r="AL16" s="3"/>
    </row>
    <row r="17" spans="1:38">
      <c r="B17" s="33" t="s">
        <v>40</v>
      </c>
      <c r="C17" s="10"/>
      <c r="D17" s="10">
        <v>2400</v>
      </c>
      <c r="E17" s="21">
        <v>3300</v>
      </c>
      <c r="F17" s="76">
        <v>3</v>
      </c>
      <c r="G17" s="67">
        <v>10.8</v>
      </c>
      <c r="H17" s="43"/>
      <c r="J17" s="21"/>
      <c r="K17" s="10"/>
      <c r="L17" s="21"/>
      <c r="N17" s="11"/>
      <c r="Q17" s="54"/>
      <c r="R17" s="10"/>
      <c r="S17" s="42"/>
      <c r="T17" s="10"/>
      <c r="U17" s="10"/>
      <c r="AA17" s="4"/>
      <c r="AB17" s="4"/>
      <c r="AC17" s="71"/>
      <c r="AD17" s="4"/>
      <c r="AE17" s="4"/>
      <c r="AF17" s="71"/>
      <c r="AG17" s="3"/>
      <c r="AH17" s="3"/>
      <c r="AI17" s="3"/>
      <c r="AJ17" s="3"/>
      <c r="AK17" s="3"/>
      <c r="AL17" s="3"/>
    </row>
    <row r="18" spans="1:38">
      <c r="A18" s="24"/>
      <c r="B18" s="33" t="s">
        <v>41</v>
      </c>
      <c r="C18" s="10"/>
      <c r="D18" s="10">
        <v>2100</v>
      </c>
      <c r="E18" s="21">
        <v>4300</v>
      </c>
      <c r="F18" s="76">
        <v>1</v>
      </c>
      <c r="G18" s="67">
        <v>6</v>
      </c>
      <c r="H18" s="43"/>
      <c r="J18" s="21"/>
      <c r="K18" s="10"/>
      <c r="L18" s="21"/>
      <c r="N18" s="11"/>
      <c r="Q18" s="54"/>
      <c r="R18" s="10"/>
      <c r="S18" s="42"/>
      <c r="T18" s="10"/>
      <c r="U18" s="10"/>
      <c r="AA18" s="4"/>
      <c r="AB18" s="4"/>
      <c r="AC18" s="71"/>
      <c r="AD18" s="4"/>
      <c r="AE18" s="4"/>
      <c r="AF18" s="71"/>
      <c r="AG18" s="3"/>
      <c r="AH18" s="3"/>
      <c r="AI18" s="3"/>
      <c r="AJ18" s="3"/>
      <c r="AK18" s="3"/>
      <c r="AL18" s="3"/>
    </row>
    <row r="19" spans="1:38">
      <c r="B19" s="31" t="s">
        <v>42</v>
      </c>
      <c r="C19" s="10"/>
      <c r="D19" s="10">
        <v>2100</v>
      </c>
      <c r="E19" s="21">
        <v>4300</v>
      </c>
      <c r="F19" s="76">
        <v>2</v>
      </c>
      <c r="G19" s="67">
        <v>12</v>
      </c>
      <c r="H19" s="43"/>
      <c r="J19" s="21"/>
      <c r="K19" s="10"/>
      <c r="L19" s="21"/>
      <c r="N19" s="11"/>
      <c r="Q19" s="54"/>
      <c r="R19" s="10"/>
      <c r="S19" s="42"/>
      <c r="T19" s="10"/>
      <c r="U19" s="10"/>
      <c r="AA19" s="4"/>
      <c r="AB19" s="4"/>
      <c r="AC19" s="71"/>
      <c r="AD19" s="4"/>
      <c r="AE19" s="4"/>
      <c r="AF19" s="71"/>
      <c r="AG19" s="3"/>
      <c r="AH19" s="3"/>
      <c r="AI19" s="3"/>
      <c r="AJ19" s="3"/>
      <c r="AK19" s="3"/>
      <c r="AL19" s="3"/>
    </row>
    <row r="20" spans="1:38">
      <c r="B20" s="33" t="s">
        <v>43</v>
      </c>
      <c r="C20" s="10"/>
      <c r="D20" s="10">
        <v>2100</v>
      </c>
      <c r="E20" s="21">
        <v>4300</v>
      </c>
      <c r="F20" s="76">
        <v>3</v>
      </c>
      <c r="G20" s="67">
        <v>18</v>
      </c>
      <c r="H20" s="43"/>
      <c r="J20" s="21"/>
      <c r="K20" s="10"/>
      <c r="L20" s="21"/>
      <c r="N20" s="11"/>
      <c r="Q20" s="54"/>
      <c r="R20" s="10"/>
      <c r="S20" s="42"/>
      <c r="T20" s="10"/>
      <c r="U20" s="10"/>
      <c r="AA20" s="4"/>
      <c r="AB20" s="4"/>
      <c r="AC20" s="71"/>
      <c r="AD20" s="4"/>
      <c r="AE20" s="4"/>
      <c r="AF20" s="71"/>
      <c r="AG20" s="3"/>
      <c r="AH20" s="3"/>
      <c r="AI20" s="3"/>
      <c r="AJ20" s="3"/>
      <c r="AK20" s="3"/>
      <c r="AL20" s="3"/>
    </row>
    <row r="21" spans="1:38">
      <c r="B21" s="33" t="s">
        <v>44</v>
      </c>
      <c r="C21" s="10"/>
      <c r="D21" s="10">
        <v>2600</v>
      </c>
      <c r="E21" s="21">
        <v>5400</v>
      </c>
      <c r="F21" s="76">
        <v>1</v>
      </c>
      <c r="G21" s="67">
        <v>9</v>
      </c>
      <c r="H21" s="43"/>
      <c r="J21" s="21"/>
      <c r="K21" s="10"/>
      <c r="L21" s="21"/>
      <c r="N21" s="11"/>
      <c r="Q21" s="54"/>
      <c r="R21" s="10"/>
      <c r="S21" s="42"/>
      <c r="T21" s="10"/>
      <c r="U21" s="10"/>
      <c r="AA21" s="4"/>
      <c r="AB21" s="4"/>
      <c r="AC21" s="71"/>
      <c r="AD21" s="4"/>
      <c r="AE21" s="4"/>
      <c r="AF21" s="71"/>
      <c r="AG21" s="3"/>
      <c r="AH21" s="3"/>
      <c r="AI21" s="3"/>
      <c r="AJ21" s="3"/>
      <c r="AK21" s="3"/>
      <c r="AL21" s="3"/>
    </row>
    <row r="22" spans="1:38">
      <c r="B22" s="33" t="s">
        <v>45</v>
      </c>
      <c r="C22" s="10"/>
      <c r="D22" s="10">
        <v>2600</v>
      </c>
      <c r="E22" s="21">
        <v>5400</v>
      </c>
      <c r="F22" s="76">
        <v>2</v>
      </c>
      <c r="G22" s="67">
        <v>18</v>
      </c>
      <c r="H22" s="43"/>
      <c r="J22" s="21"/>
      <c r="K22" s="10"/>
      <c r="L22" s="21"/>
      <c r="N22" s="11"/>
      <c r="Q22" s="54"/>
      <c r="R22" s="10"/>
      <c r="S22" s="42"/>
      <c r="T22" s="10"/>
      <c r="U22" s="10"/>
      <c r="AA22" s="4"/>
      <c r="AB22" s="4"/>
      <c r="AC22" s="71"/>
      <c r="AD22" s="4"/>
      <c r="AE22" s="4"/>
      <c r="AF22" s="71"/>
      <c r="AG22" s="3"/>
      <c r="AH22" s="3"/>
      <c r="AI22" s="3"/>
      <c r="AJ22" s="3"/>
      <c r="AK22" s="3"/>
      <c r="AL22" s="3"/>
    </row>
    <row r="23" spans="1:38">
      <c r="A23" s="24"/>
      <c r="B23" s="33" t="s">
        <v>46</v>
      </c>
      <c r="C23" s="10"/>
      <c r="D23" s="10">
        <v>2600</v>
      </c>
      <c r="E23" s="21">
        <v>5400</v>
      </c>
      <c r="F23" s="76">
        <v>3</v>
      </c>
      <c r="G23" s="67">
        <v>27</v>
      </c>
      <c r="H23" s="43"/>
      <c r="J23" s="21"/>
      <c r="K23" s="10"/>
      <c r="L23" s="21"/>
      <c r="N23" s="11"/>
      <c r="Q23" s="54"/>
      <c r="R23" s="10"/>
      <c r="S23" s="42"/>
      <c r="T23" s="10"/>
      <c r="U23" s="10"/>
      <c r="AA23" s="4"/>
      <c r="AB23" s="4"/>
      <c r="AC23" s="71"/>
      <c r="AD23" s="4"/>
      <c r="AE23" s="4"/>
      <c r="AF23" s="71"/>
      <c r="AG23" s="3"/>
      <c r="AH23" s="3"/>
      <c r="AI23" s="3"/>
      <c r="AJ23" s="3"/>
      <c r="AK23" s="3"/>
      <c r="AL23" s="3"/>
    </row>
    <row r="24" spans="1:38">
      <c r="B24" s="33" t="s">
        <v>47</v>
      </c>
      <c r="C24" s="10"/>
      <c r="D24" s="10">
        <v>2900</v>
      </c>
      <c r="E24" s="21">
        <v>6500</v>
      </c>
      <c r="F24" s="76">
        <v>1</v>
      </c>
      <c r="G24" s="67">
        <v>12.6</v>
      </c>
      <c r="H24" s="43"/>
      <c r="J24" s="21"/>
      <c r="K24" s="10"/>
      <c r="L24" s="21"/>
      <c r="N24" s="11"/>
      <c r="Q24" s="54"/>
      <c r="R24" s="10"/>
      <c r="S24" s="42"/>
      <c r="U24" s="10"/>
      <c r="AA24" s="4"/>
      <c r="AB24" s="4"/>
      <c r="AC24" s="71"/>
      <c r="AD24" s="4"/>
      <c r="AE24" s="4"/>
      <c r="AF24" s="71"/>
      <c r="AG24" s="3"/>
      <c r="AH24" s="3"/>
      <c r="AI24" s="3"/>
      <c r="AJ24" s="3"/>
      <c r="AK24" s="3"/>
      <c r="AL24" s="3"/>
    </row>
    <row r="25" spans="1:38">
      <c r="B25" s="33" t="s">
        <v>48</v>
      </c>
      <c r="C25" s="12"/>
      <c r="D25" s="12">
        <v>2900</v>
      </c>
      <c r="E25" s="37">
        <v>6500</v>
      </c>
      <c r="F25" s="77">
        <v>2</v>
      </c>
      <c r="G25" s="67">
        <v>25.2</v>
      </c>
      <c r="H25" s="43"/>
      <c r="J25" s="49"/>
      <c r="K25" s="13"/>
      <c r="L25" s="21"/>
      <c r="N25" s="11"/>
      <c r="Q25" s="55"/>
      <c r="R25" s="17"/>
      <c r="S25" s="38"/>
      <c r="T25" s="17"/>
      <c r="U25" s="10"/>
      <c r="AA25" s="4"/>
      <c r="AB25" s="4"/>
      <c r="AC25" s="71"/>
      <c r="AD25" s="4"/>
      <c r="AE25" s="4"/>
      <c r="AF25" s="71"/>
      <c r="AG25" s="3"/>
      <c r="AH25" s="3"/>
      <c r="AI25" s="3"/>
      <c r="AJ25" s="3"/>
      <c r="AK25" s="3"/>
      <c r="AL25" s="3"/>
    </row>
    <row r="26" spans="1:38">
      <c r="A26" s="24"/>
      <c r="B26" s="31" t="s">
        <v>49</v>
      </c>
      <c r="C26" s="12"/>
      <c r="D26" s="12">
        <v>2900</v>
      </c>
      <c r="E26" s="37">
        <v>6500</v>
      </c>
      <c r="F26" s="77">
        <v>3</v>
      </c>
      <c r="G26" s="67">
        <v>37.799999999999997</v>
      </c>
      <c r="H26" s="41"/>
      <c r="J26" s="50"/>
      <c r="K26" s="16"/>
      <c r="L26" s="21"/>
      <c r="N26" s="11"/>
      <c r="Q26" s="55"/>
      <c r="R26" s="17"/>
      <c r="S26" s="38"/>
      <c r="T26" s="17"/>
      <c r="U26" s="10"/>
      <c r="AA26" s="4"/>
      <c r="AB26" s="4"/>
      <c r="AC26" s="71"/>
      <c r="AD26" s="4"/>
      <c r="AE26" s="4"/>
      <c r="AF26" s="71"/>
      <c r="AG26" s="3"/>
      <c r="AH26" s="3"/>
      <c r="AI26" s="3"/>
      <c r="AJ26" s="3"/>
      <c r="AK26" s="3"/>
      <c r="AL26" s="3"/>
    </row>
    <row r="27" spans="1:38">
      <c r="B27" s="31" t="s">
        <v>50</v>
      </c>
      <c r="C27" s="12"/>
      <c r="D27" s="12">
        <v>1400</v>
      </c>
      <c r="E27" s="37">
        <v>2300</v>
      </c>
      <c r="F27" s="77">
        <v>1</v>
      </c>
      <c r="G27" s="67">
        <v>2</v>
      </c>
      <c r="H27" s="43"/>
      <c r="J27" s="49"/>
      <c r="K27" s="13"/>
      <c r="L27" s="21"/>
      <c r="N27" s="11"/>
      <c r="Q27" s="55"/>
      <c r="R27" s="17"/>
      <c r="S27" s="38"/>
      <c r="T27" s="17"/>
      <c r="U27" s="10"/>
      <c r="AA27" s="4"/>
      <c r="AB27" s="4"/>
      <c r="AC27" s="71"/>
      <c r="AD27" s="4"/>
      <c r="AE27" s="4"/>
      <c r="AF27" s="71"/>
      <c r="AG27" s="3"/>
      <c r="AH27" s="3"/>
      <c r="AI27" s="3"/>
      <c r="AJ27" s="3"/>
      <c r="AK27" s="3"/>
      <c r="AL27" s="3"/>
    </row>
    <row r="28" spans="1:38">
      <c r="B28" s="33" t="s">
        <v>51</v>
      </c>
      <c r="C28" s="12"/>
      <c r="D28" s="12">
        <v>2100</v>
      </c>
      <c r="E28" s="37">
        <v>5800</v>
      </c>
      <c r="F28" s="77">
        <v>2</v>
      </c>
      <c r="G28" s="67">
        <v>15</v>
      </c>
      <c r="H28" s="43"/>
      <c r="J28" s="49"/>
      <c r="K28" s="13"/>
      <c r="L28" s="21"/>
      <c r="N28" s="11"/>
      <c r="Q28" s="55"/>
      <c r="R28" s="17"/>
      <c r="S28" s="38"/>
      <c r="T28" s="17"/>
      <c r="U28" s="10"/>
      <c r="AA28" s="4"/>
      <c r="AB28" s="4"/>
      <c r="AC28" s="71"/>
      <c r="AD28" s="4"/>
      <c r="AE28" s="4"/>
      <c r="AF28" s="71"/>
      <c r="AG28" s="3"/>
      <c r="AH28" s="3"/>
      <c r="AI28" s="3"/>
      <c r="AJ28" s="3"/>
      <c r="AK28" s="3"/>
      <c r="AL28" s="3"/>
    </row>
    <row r="29" spans="1:38">
      <c r="B29" s="31" t="s">
        <v>52</v>
      </c>
      <c r="C29" s="12"/>
      <c r="D29" s="12">
        <v>2900</v>
      </c>
      <c r="E29" s="37">
        <v>7800</v>
      </c>
      <c r="F29" s="77">
        <v>3</v>
      </c>
      <c r="G29" s="67">
        <v>29</v>
      </c>
      <c r="H29" s="43"/>
      <c r="J29" s="49"/>
      <c r="K29" s="13"/>
      <c r="L29" s="21"/>
      <c r="N29" s="11"/>
      <c r="Q29" s="55"/>
      <c r="R29" s="17"/>
      <c r="S29" s="38"/>
      <c r="T29" s="17"/>
      <c r="U29" s="10"/>
      <c r="AA29" s="4"/>
      <c r="AB29" s="4"/>
      <c r="AC29" s="71"/>
      <c r="AD29" s="4"/>
      <c r="AE29" s="4"/>
      <c r="AF29" s="71"/>
      <c r="AG29" s="3"/>
      <c r="AH29" s="3"/>
      <c r="AI29" s="3"/>
      <c r="AJ29" s="3"/>
      <c r="AK29" s="3"/>
      <c r="AL29" s="3"/>
    </row>
    <row r="30" spans="1:38">
      <c r="A30" s="25"/>
      <c r="C30" s="12"/>
      <c r="D30" s="12"/>
      <c r="E30" s="37"/>
      <c r="F30" s="77"/>
      <c r="G30" s="67"/>
      <c r="H30" s="43"/>
      <c r="J30" s="49"/>
      <c r="K30" s="13"/>
      <c r="L30" s="21"/>
      <c r="N30" s="11"/>
      <c r="Q30" s="55"/>
      <c r="R30" s="17"/>
      <c r="S30" s="38"/>
      <c r="U30" s="10"/>
      <c r="AA30" s="4"/>
      <c r="AB30" s="4"/>
      <c r="AC30" s="71"/>
      <c r="AD30" s="4"/>
      <c r="AE30" s="4"/>
      <c r="AF30" s="71"/>
      <c r="AG30" s="3"/>
      <c r="AH30" s="3"/>
      <c r="AI30" s="3"/>
      <c r="AJ30" s="3"/>
      <c r="AK30" s="3"/>
      <c r="AL30" s="3"/>
    </row>
    <row r="31" spans="1:38">
      <c r="A31" s="29" t="s">
        <v>53</v>
      </c>
      <c r="C31" s="12"/>
      <c r="D31" s="12"/>
      <c r="E31" s="37"/>
      <c r="F31" s="77"/>
      <c r="G31" s="67"/>
      <c r="H31" s="43"/>
      <c r="J31" s="49"/>
      <c r="K31" s="13"/>
      <c r="L31" s="21"/>
      <c r="N31" s="11"/>
      <c r="Q31" s="55"/>
      <c r="R31" s="17"/>
      <c r="S31" s="38"/>
      <c r="T31" s="17"/>
      <c r="U31" s="10"/>
      <c r="AA31" s="4"/>
      <c r="AB31" s="4"/>
      <c r="AC31" s="71"/>
      <c r="AD31" s="4"/>
      <c r="AE31" s="4"/>
      <c r="AF31" s="71"/>
      <c r="AG31" s="3"/>
      <c r="AH31" s="3"/>
      <c r="AI31" s="3"/>
      <c r="AJ31" s="3"/>
      <c r="AK31" s="3"/>
      <c r="AL31" s="3"/>
    </row>
    <row r="32" spans="1:38">
      <c r="A32" s="22" t="s">
        <v>54</v>
      </c>
      <c r="C32" s="12"/>
      <c r="D32" s="12"/>
      <c r="E32" s="37"/>
      <c r="F32" s="77"/>
      <c r="G32" s="67"/>
      <c r="H32" s="43"/>
      <c r="J32" s="49"/>
      <c r="K32" s="13"/>
      <c r="L32" s="21"/>
      <c r="N32" s="11"/>
      <c r="Q32" s="55"/>
      <c r="R32" s="17"/>
      <c r="S32" s="38"/>
      <c r="T32" s="17"/>
      <c r="U32" s="10"/>
      <c r="AA32" s="4"/>
      <c r="AB32" s="4"/>
      <c r="AC32" s="71"/>
      <c r="AD32" s="4"/>
      <c r="AE32" s="4"/>
      <c r="AF32" s="71"/>
      <c r="AG32" s="3"/>
      <c r="AH32" s="3"/>
      <c r="AI32" s="3"/>
      <c r="AJ32" s="3"/>
      <c r="AK32" s="3"/>
      <c r="AL32" s="3"/>
    </row>
    <row r="33" spans="1:38">
      <c r="A33" s="26"/>
      <c r="B33" s="33" t="s">
        <v>55</v>
      </c>
      <c r="C33" s="12"/>
      <c r="D33" s="12"/>
      <c r="E33" s="37"/>
      <c r="F33" s="77">
        <v>1</v>
      </c>
      <c r="G33" s="67">
        <f>1.6*3.6</f>
        <v>5.7600000000000007</v>
      </c>
      <c r="H33" s="43" t="s">
        <v>62</v>
      </c>
      <c r="J33" s="39"/>
      <c r="K33" s="17"/>
      <c r="L33" s="21"/>
      <c r="M33" s="11"/>
      <c r="N33" s="11"/>
      <c r="Q33" s="55"/>
      <c r="R33" s="17"/>
      <c r="S33" s="38"/>
      <c r="T33" s="17"/>
      <c r="U33" s="10"/>
      <c r="AA33" s="4"/>
      <c r="AB33" s="4"/>
      <c r="AC33" s="71"/>
      <c r="AD33" s="4"/>
      <c r="AE33" s="4"/>
      <c r="AF33" s="71"/>
      <c r="AG33" s="3"/>
      <c r="AH33" s="3"/>
      <c r="AI33" s="3"/>
      <c r="AJ33" s="3"/>
      <c r="AK33" s="3"/>
      <c r="AL33" s="3"/>
    </row>
    <row r="34" spans="1:38">
      <c r="A34" s="27"/>
      <c r="B34" s="31" t="s">
        <v>56</v>
      </c>
      <c r="C34" s="12"/>
      <c r="D34" s="12"/>
      <c r="E34" s="37"/>
      <c r="F34" s="77">
        <v>2</v>
      </c>
      <c r="G34" s="67">
        <f t="shared" ref="G34:G35" si="4">1.6*3.6</f>
        <v>5.7600000000000007</v>
      </c>
      <c r="H34" s="43" t="s">
        <v>62</v>
      </c>
      <c r="J34" s="39"/>
      <c r="K34" s="17"/>
      <c r="L34" s="21"/>
      <c r="N34" s="11"/>
      <c r="Q34" s="55"/>
      <c r="R34" s="17"/>
      <c r="S34" s="38"/>
      <c r="T34" s="17"/>
      <c r="U34" s="10"/>
      <c r="AA34" s="4"/>
      <c r="AB34" s="4"/>
      <c r="AC34" s="71"/>
      <c r="AD34" s="4"/>
      <c r="AE34" s="4"/>
      <c r="AF34" s="71"/>
      <c r="AG34" s="3"/>
      <c r="AH34" s="3"/>
      <c r="AI34" s="3"/>
      <c r="AJ34" s="3"/>
      <c r="AK34" s="3"/>
      <c r="AL34" s="3"/>
    </row>
    <row r="35" spans="1:38">
      <c r="A35" s="24"/>
      <c r="B35" s="31" t="s">
        <v>57</v>
      </c>
      <c r="C35" s="12"/>
      <c r="D35" s="12"/>
      <c r="E35" s="37"/>
      <c r="F35" s="77">
        <v>3</v>
      </c>
      <c r="G35" s="67">
        <f t="shared" si="4"/>
        <v>5.7600000000000007</v>
      </c>
      <c r="H35" s="43" t="s">
        <v>62</v>
      </c>
      <c r="J35" s="39"/>
      <c r="K35" s="17"/>
      <c r="L35" s="21"/>
      <c r="N35" s="11"/>
      <c r="Q35" s="55"/>
      <c r="R35" s="17"/>
      <c r="S35" s="38"/>
      <c r="T35" s="17"/>
      <c r="U35" s="10"/>
      <c r="AA35" s="4"/>
      <c r="AB35" s="4"/>
      <c r="AC35" s="71"/>
      <c r="AD35" s="4"/>
      <c r="AE35" s="4"/>
      <c r="AF35" s="71"/>
      <c r="AG35" s="3"/>
      <c r="AH35" s="3"/>
      <c r="AI35" s="3"/>
      <c r="AJ35" s="3"/>
      <c r="AK35" s="3"/>
      <c r="AL35" s="3"/>
    </row>
    <row r="36" spans="1:38">
      <c r="A36" s="22" t="s">
        <v>58</v>
      </c>
      <c r="B36" s="34"/>
      <c r="H36" s="45"/>
      <c r="I36" s="16"/>
      <c r="J36" s="50"/>
      <c r="K36" s="16"/>
      <c r="AA36" s="4"/>
      <c r="AB36" s="4"/>
      <c r="AC36" s="71"/>
      <c r="AD36" s="4"/>
      <c r="AE36" s="4"/>
      <c r="AF36" s="71"/>
      <c r="AG36" s="3"/>
      <c r="AH36" s="3"/>
      <c r="AI36" s="3"/>
      <c r="AJ36" s="3"/>
      <c r="AK36" s="3"/>
      <c r="AL36" s="3"/>
    </row>
    <row r="37" spans="1:38">
      <c r="B37" s="31" t="s">
        <v>59</v>
      </c>
      <c r="C37" s="12"/>
      <c r="D37" s="12"/>
      <c r="E37" s="37"/>
      <c r="F37" s="77">
        <v>1</v>
      </c>
      <c r="G37" s="67">
        <f>2*8</f>
        <v>16</v>
      </c>
      <c r="H37" s="43" t="s">
        <v>63</v>
      </c>
      <c r="J37" s="49"/>
      <c r="K37" s="13"/>
      <c r="L37" s="21"/>
      <c r="Q37" s="55"/>
      <c r="R37" s="17"/>
      <c r="S37" s="38"/>
      <c r="T37" s="17"/>
      <c r="U37" s="10"/>
      <c r="AA37" s="4"/>
      <c r="AB37" s="4"/>
      <c r="AC37" s="71"/>
      <c r="AD37" s="4"/>
      <c r="AE37" s="4"/>
      <c r="AF37" s="71"/>
      <c r="AG37" s="3"/>
      <c r="AH37" s="3"/>
      <c r="AI37" s="3"/>
      <c r="AJ37" s="3"/>
      <c r="AK37" s="3"/>
      <c r="AL37" s="3"/>
    </row>
    <row r="38" spans="1:38">
      <c r="A38" s="27"/>
      <c r="B38" s="31" t="s">
        <v>60</v>
      </c>
      <c r="C38" s="12"/>
      <c r="D38" s="12"/>
      <c r="E38" s="37"/>
      <c r="F38" s="77">
        <v>2</v>
      </c>
      <c r="G38" s="67">
        <f t="shared" ref="G38:G39" si="5">2*8</f>
        <v>16</v>
      </c>
      <c r="H38" s="43" t="s">
        <v>63</v>
      </c>
      <c r="J38" s="49"/>
      <c r="K38" s="13"/>
      <c r="L38" s="21"/>
      <c r="Q38" s="55"/>
      <c r="R38" s="17"/>
      <c r="S38" s="38"/>
      <c r="T38" s="17"/>
      <c r="U38" s="10"/>
      <c r="AA38" s="4"/>
      <c r="AB38" s="4"/>
      <c r="AC38" s="71"/>
      <c r="AD38" s="4"/>
      <c r="AE38" s="4"/>
      <c r="AF38" s="71"/>
      <c r="AG38" s="3"/>
      <c r="AH38" s="3"/>
      <c r="AI38" s="3"/>
      <c r="AJ38" s="3"/>
      <c r="AK38" s="3"/>
      <c r="AL38" s="3"/>
    </row>
    <row r="39" spans="1:38">
      <c r="B39" s="31" t="s">
        <v>61</v>
      </c>
      <c r="C39" s="12"/>
      <c r="D39" s="12"/>
      <c r="E39" s="37"/>
      <c r="F39" s="77">
        <v>3</v>
      </c>
      <c r="G39" s="67">
        <f t="shared" si="5"/>
        <v>16</v>
      </c>
      <c r="H39" s="43" t="s">
        <v>63</v>
      </c>
      <c r="J39" s="49"/>
      <c r="K39" s="13"/>
      <c r="L39" s="21"/>
      <c r="Q39" s="55"/>
      <c r="R39" s="17"/>
      <c r="S39" s="38"/>
      <c r="T39" s="17"/>
      <c r="U39" s="10"/>
      <c r="AA39" s="4"/>
      <c r="AB39" s="4"/>
      <c r="AC39" s="71"/>
      <c r="AD39" s="4"/>
      <c r="AE39" s="4"/>
      <c r="AF39" s="71"/>
      <c r="AG39" s="3"/>
      <c r="AH39" s="3"/>
      <c r="AI39" s="3"/>
      <c r="AJ39" s="3"/>
      <c r="AK39" s="3"/>
      <c r="AL39" s="3"/>
    </row>
    <row r="40" spans="1:38">
      <c r="C40" s="12"/>
      <c r="D40" s="12"/>
      <c r="E40" s="37"/>
      <c r="F40" s="77"/>
      <c r="G40" s="67"/>
      <c r="H40" s="43"/>
      <c r="J40" s="49"/>
      <c r="K40" s="13"/>
      <c r="L40" s="21"/>
      <c r="Q40" s="55"/>
      <c r="R40" s="17"/>
      <c r="S40" s="38"/>
      <c r="T40" s="17"/>
      <c r="U40" s="10"/>
      <c r="AA40" s="4"/>
      <c r="AB40" s="4"/>
      <c r="AC40" s="71"/>
      <c r="AD40" s="4"/>
      <c r="AE40" s="4"/>
      <c r="AF40" s="71"/>
      <c r="AG40" s="3"/>
      <c r="AH40" s="3"/>
      <c r="AI40" s="3"/>
      <c r="AJ40" s="3"/>
      <c r="AK40" s="3"/>
      <c r="AL40" s="3"/>
    </row>
    <row r="41" spans="1:38">
      <c r="A41" s="24" t="s">
        <v>64</v>
      </c>
      <c r="C41" s="12"/>
      <c r="D41" s="12"/>
      <c r="E41" s="37"/>
      <c r="F41" s="77"/>
      <c r="G41" s="67"/>
      <c r="H41" s="43"/>
      <c r="J41" s="49"/>
      <c r="K41" s="13"/>
      <c r="L41" s="21"/>
      <c r="Q41" s="55"/>
      <c r="R41" s="17"/>
      <c r="S41" s="38"/>
      <c r="T41" s="17"/>
      <c r="U41" s="10"/>
      <c r="AA41" s="4"/>
      <c r="AB41" s="4"/>
      <c r="AC41" s="71"/>
      <c r="AD41" s="4"/>
      <c r="AE41" s="4"/>
      <c r="AF41" s="71"/>
      <c r="AG41" s="3"/>
      <c r="AH41" s="3"/>
      <c r="AI41" s="3"/>
      <c r="AJ41" s="3"/>
      <c r="AK41" s="3"/>
      <c r="AL41" s="3"/>
    </row>
    <row r="42" spans="1:38">
      <c r="C42" s="12">
        <v>1500</v>
      </c>
      <c r="D42" s="12">
        <v>3300</v>
      </c>
      <c r="E42" s="37">
        <v>8000</v>
      </c>
      <c r="F42" s="77">
        <v>1</v>
      </c>
      <c r="G42" s="67">
        <f>2.5*8</f>
        <v>20</v>
      </c>
      <c r="H42" s="43" t="s">
        <v>65</v>
      </c>
      <c r="J42" s="49"/>
      <c r="K42" s="13">
        <v>1</v>
      </c>
      <c r="L42" s="21">
        <v>8</v>
      </c>
      <c r="Q42" s="55"/>
      <c r="R42" s="17"/>
      <c r="S42" s="38"/>
      <c r="T42" s="17">
        <v>4</v>
      </c>
      <c r="U42" s="10">
        <v>30</v>
      </c>
      <c r="W42" s="70">
        <f t="shared" si="1"/>
        <v>3.75</v>
      </c>
      <c r="X42">
        <f>U42/(E42*D42)*1000000</f>
        <v>1.1363636363636365</v>
      </c>
      <c r="Y42">
        <f>U42/(D42*E42*C42)*1000000000</f>
        <v>0.75757575757575757</v>
      </c>
      <c r="AA42" s="4"/>
      <c r="AB42" s="4"/>
      <c r="AC42" s="71"/>
      <c r="AD42" s="4"/>
      <c r="AE42" s="4"/>
      <c r="AF42" s="71"/>
      <c r="AG42" s="3"/>
      <c r="AH42" s="3"/>
      <c r="AI42" s="3"/>
      <c r="AJ42" s="3"/>
      <c r="AK42" s="3"/>
      <c r="AL42" s="3"/>
    </row>
    <row r="43" spans="1:38">
      <c r="A43" s="24"/>
      <c r="C43" s="12">
        <v>2000</v>
      </c>
      <c r="D43" s="12">
        <v>3300</v>
      </c>
      <c r="E43" s="37">
        <v>8000</v>
      </c>
      <c r="F43" s="77">
        <v>2</v>
      </c>
      <c r="G43" s="67">
        <f t="shared" ref="G43:G44" si="6">2.5*8</f>
        <v>20</v>
      </c>
      <c r="H43" s="43" t="s">
        <v>65</v>
      </c>
      <c r="J43" s="49"/>
      <c r="K43" s="13">
        <v>2</v>
      </c>
      <c r="L43" s="21">
        <v>16</v>
      </c>
      <c r="Q43" s="55"/>
      <c r="R43" s="17"/>
      <c r="S43" s="38"/>
      <c r="T43" s="17">
        <v>5.5</v>
      </c>
      <c r="U43" s="10">
        <v>45</v>
      </c>
      <c r="W43" s="70">
        <f t="shared" si="1"/>
        <v>2.8125</v>
      </c>
      <c r="X43">
        <f>U43/(E43*D43)*1000000</f>
        <v>1.7045454545454546</v>
      </c>
      <c r="Y43">
        <f>U43/(D43*E43*C43)*1000000000</f>
        <v>0.85227272727272729</v>
      </c>
      <c r="AA43" s="4"/>
      <c r="AB43" s="4"/>
      <c r="AC43" s="71"/>
      <c r="AD43" s="4"/>
      <c r="AE43" s="4"/>
      <c r="AF43" s="71"/>
      <c r="AG43" s="3"/>
      <c r="AH43" s="3"/>
      <c r="AI43" s="3"/>
      <c r="AJ43" s="3"/>
      <c r="AK43" s="3"/>
      <c r="AL43" s="3"/>
    </row>
    <row r="44" spans="1:38">
      <c r="A44" s="28"/>
      <c r="C44" s="8">
        <v>2000</v>
      </c>
      <c r="D44" s="8">
        <v>3300</v>
      </c>
      <c r="E44" s="19">
        <v>8000</v>
      </c>
      <c r="F44" s="75">
        <v>2.5</v>
      </c>
      <c r="G44" s="67">
        <f t="shared" si="6"/>
        <v>20</v>
      </c>
      <c r="H44" s="43" t="s">
        <v>65</v>
      </c>
      <c r="K44" s="8">
        <v>2.5</v>
      </c>
      <c r="L44" s="19">
        <v>16.5</v>
      </c>
      <c r="T44" s="8">
        <v>5.5</v>
      </c>
      <c r="U44" s="8">
        <v>45</v>
      </c>
      <c r="W44" s="70">
        <f t="shared" si="1"/>
        <v>2.7272727272727271</v>
      </c>
      <c r="X44">
        <f>U44/(E44*D44)*1000000</f>
        <v>1.7045454545454546</v>
      </c>
      <c r="Y44">
        <f>U44/(D44*E44*C44)*1000000000</f>
        <v>0.85227272727272729</v>
      </c>
      <c r="AA44" s="4"/>
      <c r="AB44" s="4"/>
      <c r="AC44" s="71"/>
      <c r="AD44" s="4"/>
      <c r="AE44" s="4"/>
      <c r="AF44" s="71"/>
      <c r="AG44" s="3"/>
      <c r="AH44" s="3"/>
      <c r="AI44" s="3"/>
      <c r="AJ44" s="3"/>
      <c r="AK44" s="3"/>
      <c r="AL44" s="3"/>
    </row>
    <row r="45" spans="1:38">
      <c r="A45" s="29"/>
      <c r="B45" s="33"/>
      <c r="C45" s="12">
        <v>2200</v>
      </c>
      <c r="D45" s="12">
        <v>3300</v>
      </c>
      <c r="E45" s="37">
        <v>7000</v>
      </c>
      <c r="F45" s="77">
        <v>3</v>
      </c>
      <c r="G45" s="67">
        <f>2.5*7</f>
        <v>17.5</v>
      </c>
      <c r="H45" s="44" t="s">
        <v>66</v>
      </c>
      <c r="I45" s="10"/>
      <c r="J45" s="21"/>
      <c r="K45" s="10">
        <v>4</v>
      </c>
      <c r="L45" s="21">
        <v>17</v>
      </c>
      <c r="M45" s="11"/>
      <c r="N45" s="11"/>
      <c r="O45" s="10"/>
      <c r="Q45" s="55"/>
      <c r="R45" s="17"/>
      <c r="S45" s="38"/>
      <c r="T45" s="17">
        <v>11</v>
      </c>
      <c r="U45" s="10">
        <v>45</v>
      </c>
      <c r="W45" s="70">
        <f t="shared" si="1"/>
        <v>2.6470588235294117</v>
      </c>
      <c r="X45">
        <f>U45/(E45*D45)*1000000</f>
        <v>1.9480519480519478</v>
      </c>
      <c r="Y45">
        <f>U45/(D45*E45*C45)*1000000000</f>
        <v>0.88547815820543097</v>
      </c>
      <c r="AA45" s="4"/>
      <c r="AB45" s="4"/>
      <c r="AC45" s="71"/>
      <c r="AD45" s="4"/>
      <c r="AE45" s="4"/>
      <c r="AF45" s="71"/>
      <c r="AG45" s="3"/>
      <c r="AH45" s="3"/>
      <c r="AI45" s="3"/>
      <c r="AJ45" s="3"/>
      <c r="AK45" s="3"/>
      <c r="AL45" s="3"/>
    </row>
    <row r="46" spans="1:38">
      <c r="B46" s="33"/>
      <c r="C46" s="14"/>
      <c r="D46" s="14"/>
      <c r="E46" s="38"/>
      <c r="F46" s="55"/>
      <c r="G46" s="68"/>
      <c r="H46" s="43"/>
      <c r="J46" s="39"/>
      <c r="K46" s="17"/>
      <c r="L46" s="39"/>
      <c r="N46" s="11"/>
      <c r="Q46" s="55"/>
      <c r="R46" s="17"/>
      <c r="S46" s="38"/>
      <c r="T46" s="10"/>
      <c r="U46" s="17"/>
      <c r="AA46" s="4"/>
      <c r="AB46" s="4"/>
      <c r="AC46" s="71"/>
      <c r="AD46" s="4"/>
      <c r="AE46" s="4"/>
      <c r="AF46" s="71"/>
      <c r="AG46" s="3"/>
      <c r="AH46" s="3"/>
      <c r="AI46" s="3"/>
      <c r="AJ46" s="3"/>
      <c r="AK46" s="3"/>
      <c r="AL46" s="3"/>
    </row>
    <row r="47" spans="1:38">
      <c r="A47" s="24" t="s">
        <v>67</v>
      </c>
      <c r="B47" s="33"/>
      <c r="C47" s="14"/>
      <c r="D47" s="14"/>
      <c r="E47" s="38"/>
      <c r="F47" s="55"/>
      <c r="G47" s="68"/>
      <c r="H47" s="43"/>
      <c r="J47" s="39"/>
      <c r="K47" s="17"/>
      <c r="L47" s="39"/>
      <c r="N47" s="11"/>
      <c r="Q47" s="55"/>
      <c r="R47" s="17"/>
      <c r="S47" s="38"/>
      <c r="T47" s="10"/>
      <c r="U47" s="17"/>
      <c r="AA47" s="4"/>
      <c r="AB47" s="4"/>
      <c r="AC47" s="71"/>
      <c r="AD47" s="4"/>
      <c r="AE47" s="4"/>
      <c r="AF47" s="71"/>
      <c r="AG47" s="3"/>
      <c r="AH47" s="3"/>
      <c r="AI47" s="3"/>
      <c r="AJ47" s="3"/>
      <c r="AK47" s="3"/>
      <c r="AL47" s="3"/>
    </row>
    <row r="48" spans="1:38">
      <c r="B48" s="33" t="s">
        <v>68</v>
      </c>
      <c r="C48" s="14">
        <v>3140</v>
      </c>
      <c r="D48" s="14">
        <v>1480</v>
      </c>
      <c r="E48" s="38">
        <v>4500</v>
      </c>
      <c r="F48" s="55">
        <v>1</v>
      </c>
      <c r="G48" s="68">
        <f>1.2*3</f>
        <v>3.5999999999999996</v>
      </c>
      <c r="H48" s="43" t="s">
        <v>70</v>
      </c>
      <c r="I48" s="8">
        <f>1.2*3*0.3</f>
        <v>1.0799999999999998</v>
      </c>
      <c r="J48" s="39">
        <f>1.2*3*0.5</f>
        <v>1.7999999999999998</v>
      </c>
      <c r="K48" s="17">
        <v>1.5</v>
      </c>
      <c r="L48" s="39">
        <v>2.5</v>
      </c>
      <c r="M48" s="7">
        <v>10</v>
      </c>
      <c r="N48" s="11">
        <v>100</v>
      </c>
      <c r="Q48" s="55">
        <v>8</v>
      </c>
      <c r="R48" s="17">
        <v>7.3999999999999996E-2</v>
      </c>
      <c r="S48" s="38">
        <v>2</v>
      </c>
      <c r="T48" s="10"/>
      <c r="U48" s="17">
        <v>3.6</v>
      </c>
      <c r="V48" s="73">
        <f t="shared" si="0"/>
        <v>3.6000000000000004E-2</v>
      </c>
      <c r="W48" s="70">
        <f t="shared" si="1"/>
        <v>1.44</v>
      </c>
      <c r="X48">
        <f>U48/(E48*D48)*1000000</f>
        <v>0.54054054054054057</v>
      </c>
      <c r="Y48">
        <f>U48/(D48*E48*C48)*1000000000</f>
        <v>0.1721466689619556</v>
      </c>
      <c r="Z48" s="70">
        <f>(D48*E48)/1000000/N48</f>
        <v>6.6600000000000006E-2</v>
      </c>
      <c r="AA48" s="4">
        <f>(E48*D48*C48)/1000000000/N48</f>
        <v>0.209124</v>
      </c>
      <c r="AB48" s="4">
        <f t="shared" si="2"/>
        <v>2.5000000000000001E-2</v>
      </c>
      <c r="AC48" s="71">
        <f t="shared" si="3"/>
        <v>40</v>
      </c>
      <c r="AD48" s="4">
        <f>N48/(E48*D48)*1000000</f>
        <v>15.015015015015015</v>
      </c>
      <c r="AE48" s="4">
        <f>N48/(E48*D48*C48)*1000000000</f>
        <v>4.7818519156098773</v>
      </c>
      <c r="AF48" s="71"/>
      <c r="AG48" s="3"/>
      <c r="AH48" s="3"/>
      <c r="AI48" s="3"/>
      <c r="AJ48" s="3"/>
      <c r="AK48" s="3"/>
      <c r="AL48" s="3"/>
    </row>
    <row r="49" spans="1:38">
      <c r="B49" s="33" t="s">
        <v>69</v>
      </c>
      <c r="C49" s="14">
        <v>3500</v>
      </c>
      <c r="D49" s="14">
        <v>1400</v>
      </c>
      <c r="E49" s="39">
        <v>4000</v>
      </c>
      <c r="F49" s="56">
        <v>2</v>
      </c>
      <c r="G49" s="68">
        <v>5.2</v>
      </c>
      <c r="H49" s="43"/>
      <c r="I49" s="8">
        <f>0.4*G49</f>
        <v>2.08</v>
      </c>
      <c r="J49" s="50">
        <f>0.65*G49</f>
        <v>3.3800000000000003</v>
      </c>
      <c r="K49" s="17">
        <v>1.5</v>
      </c>
      <c r="L49" s="39">
        <v>5</v>
      </c>
      <c r="N49" s="11"/>
      <c r="Q49" s="54">
        <v>8</v>
      </c>
      <c r="R49" s="10">
        <v>3.2000000000000001E-2</v>
      </c>
      <c r="S49" s="42">
        <v>6</v>
      </c>
      <c r="T49" s="10">
        <v>1.9</v>
      </c>
      <c r="U49" s="17">
        <v>3.5</v>
      </c>
      <c r="W49" s="70">
        <f t="shared" si="1"/>
        <v>0.7</v>
      </c>
      <c r="X49">
        <f>U49/(E49*D49)*1000000</f>
        <v>0.625</v>
      </c>
      <c r="Y49">
        <f>U49/(D49*E49*C49)*1000000000</f>
        <v>0.17857142857142858</v>
      </c>
      <c r="AA49" s="4"/>
      <c r="AB49" s="4"/>
      <c r="AC49" s="71"/>
      <c r="AD49" s="4"/>
      <c r="AE49" s="4"/>
      <c r="AF49" s="71"/>
      <c r="AG49" s="3"/>
      <c r="AH49" s="3"/>
      <c r="AI49" s="3"/>
      <c r="AJ49" s="3"/>
      <c r="AK49" s="3"/>
      <c r="AL49" s="3"/>
    </row>
    <row r="50" spans="1:38">
      <c r="A50" s="24"/>
      <c r="B50" s="33"/>
      <c r="C50" s="17"/>
      <c r="D50" s="17"/>
      <c r="E50" s="39"/>
      <c r="F50" s="56"/>
      <c r="G50" s="68"/>
      <c r="H50" s="43"/>
      <c r="J50" s="50"/>
      <c r="K50" s="16"/>
      <c r="L50" s="39"/>
      <c r="N50" s="11"/>
      <c r="Q50" s="54"/>
      <c r="R50" s="10"/>
      <c r="S50" s="42"/>
      <c r="T50" s="10"/>
      <c r="U50" s="17"/>
      <c r="AA50" s="4"/>
      <c r="AB50" s="4"/>
      <c r="AC50" s="71"/>
      <c r="AD50" s="4"/>
      <c r="AE50" s="4"/>
      <c r="AF50" s="71"/>
      <c r="AG50" s="3"/>
      <c r="AH50" s="3"/>
      <c r="AI50" s="3"/>
      <c r="AJ50" s="3"/>
      <c r="AK50" s="3"/>
      <c r="AL50" s="3"/>
    </row>
    <row r="51" spans="1:38">
      <c r="A51" s="24" t="s">
        <v>71</v>
      </c>
      <c r="B51" s="33"/>
      <c r="C51" s="17"/>
      <c r="D51" s="17"/>
      <c r="E51" s="39"/>
      <c r="F51" s="56"/>
      <c r="G51" s="68"/>
      <c r="H51" s="43"/>
      <c r="J51" s="50"/>
      <c r="K51" s="16"/>
      <c r="L51" s="39"/>
      <c r="N51" s="11"/>
      <c r="Q51" s="54"/>
      <c r="R51" s="10"/>
      <c r="S51" s="42"/>
      <c r="T51" s="10"/>
      <c r="U51" s="17"/>
      <c r="AA51" s="4"/>
      <c r="AB51" s="4"/>
      <c r="AC51" s="71"/>
      <c r="AD51" s="4"/>
      <c r="AE51" s="4"/>
      <c r="AF51" s="71"/>
      <c r="AG51" s="3"/>
      <c r="AH51" s="3"/>
      <c r="AI51" s="3"/>
      <c r="AJ51" s="3"/>
      <c r="AK51" s="3"/>
      <c r="AL51" s="3"/>
    </row>
    <row r="52" spans="1:38">
      <c r="A52" s="25"/>
      <c r="B52" s="33" t="s">
        <v>72</v>
      </c>
      <c r="C52" s="17">
        <v>6477</v>
      </c>
      <c r="D52" s="17">
        <v>18374</v>
      </c>
      <c r="E52" s="39">
        <v>18211</v>
      </c>
      <c r="F52" s="56">
        <v>2</v>
      </c>
      <c r="G52" s="68">
        <f>3.048*1.524</f>
        <v>4.6451520000000004</v>
      </c>
      <c r="H52" s="44" t="s">
        <v>79</v>
      </c>
      <c r="I52" s="10"/>
      <c r="J52" s="21">
        <v>3.6</v>
      </c>
      <c r="K52" s="10"/>
      <c r="L52" s="39">
        <v>34</v>
      </c>
      <c r="M52" s="11"/>
      <c r="N52" s="11"/>
      <c r="Q52" s="54"/>
      <c r="R52" s="10"/>
      <c r="S52" s="42"/>
      <c r="T52" s="10"/>
      <c r="U52" s="17">
        <v>74.900000000000006</v>
      </c>
      <c r="W52" s="70">
        <f t="shared" si="1"/>
        <v>2.2029411764705884</v>
      </c>
      <c r="X52">
        <f>U52/(E52*D52)*1000000</f>
        <v>0.22384340902525987</v>
      </c>
      <c r="Y52">
        <f>U52/(D52*E52*C52)*1000000000</f>
        <v>3.4559735838391212E-2</v>
      </c>
      <c r="AA52" s="4"/>
      <c r="AB52" s="4"/>
      <c r="AC52" s="71"/>
      <c r="AD52" s="4"/>
      <c r="AE52" s="4"/>
      <c r="AF52" s="71"/>
      <c r="AG52" s="3"/>
      <c r="AH52" s="3"/>
      <c r="AI52" s="3"/>
      <c r="AJ52" s="3"/>
      <c r="AK52" s="3"/>
      <c r="AL52" s="3"/>
    </row>
    <row r="53" spans="1:38">
      <c r="B53" s="33" t="s">
        <v>73</v>
      </c>
      <c r="C53" s="17">
        <v>6676</v>
      </c>
      <c r="D53" s="17">
        <v>18374</v>
      </c>
      <c r="E53" s="21">
        <v>18211</v>
      </c>
      <c r="F53" s="76">
        <v>2</v>
      </c>
      <c r="G53" s="68">
        <f>3.048*1.524</f>
        <v>4.6451520000000004</v>
      </c>
      <c r="H53" s="43" t="s">
        <v>79</v>
      </c>
      <c r="J53" s="50">
        <v>3.6</v>
      </c>
      <c r="K53" s="16"/>
      <c r="L53" s="21">
        <v>32</v>
      </c>
      <c r="Q53" s="56"/>
      <c r="R53" s="17"/>
      <c r="S53" s="39"/>
      <c r="T53" s="10"/>
      <c r="U53" s="10">
        <v>74.900000000000006</v>
      </c>
      <c r="W53" s="70">
        <f t="shared" si="1"/>
        <v>2.3406250000000002</v>
      </c>
      <c r="X53">
        <f>U53/(E53*D53)*1000000</f>
        <v>0.22384340902525987</v>
      </c>
      <c r="Y53">
        <f>U53/(D53*E53*C53)*1000000000</f>
        <v>3.352956995585079E-2</v>
      </c>
      <c r="AA53" s="4"/>
      <c r="AB53" s="4"/>
      <c r="AC53" s="71"/>
      <c r="AD53" s="4"/>
      <c r="AE53" s="4"/>
      <c r="AF53" s="71"/>
      <c r="AG53" s="3"/>
      <c r="AH53" s="3"/>
      <c r="AI53" s="3"/>
      <c r="AJ53" s="3"/>
      <c r="AK53" s="3"/>
      <c r="AL53" s="3"/>
    </row>
    <row r="54" spans="1:38">
      <c r="B54" s="33" t="s">
        <v>74</v>
      </c>
      <c r="C54" s="17">
        <v>6165</v>
      </c>
      <c r="D54" s="17">
        <v>16829</v>
      </c>
      <c r="E54" s="21">
        <v>17835</v>
      </c>
      <c r="F54" s="76">
        <v>2</v>
      </c>
      <c r="G54" s="67">
        <f>2.439*1.524</f>
        <v>3.7170360000000002</v>
      </c>
      <c r="H54" s="43" t="s">
        <v>80</v>
      </c>
      <c r="J54" s="50">
        <v>3.6</v>
      </c>
      <c r="K54" s="16"/>
      <c r="L54" s="21">
        <v>28</v>
      </c>
      <c r="Q54" s="56"/>
      <c r="R54" s="17"/>
      <c r="S54" s="39"/>
      <c r="T54" s="10"/>
      <c r="U54" s="10">
        <v>74.900000000000006</v>
      </c>
      <c r="W54" s="70">
        <f t="shared" si="1"/>
        <v>2.6750000000000003</v>
      </c>
      <c r="X54">
        <f>U54/(E54*D54)*1000000</f>
        <v>0.24954587398636358</v>
      </c>
      <c r="Y54">
        <f>U54/(D54*E54*C54)*1000000000</f>
        <v>4.0477838440610474E-2</v>
      </c>
      <c r="AA54" s="4"/>
      <c r="AB54" s="4"/>
      <c r="AC54" s="71"/>
      <c r="AD54" s="4"/>
      <c r="AE54" s="4"/>
      <c r="AF54" s="71"/>
      <c r="AG54" s="3"/>
      <c r="AH54" s="3"/>
      <c r="AI54" s="3"/>
      <c r="AJ54" s="3"/>
      <c r="AK54" s="3"/>
      <c r="AL54" s="3"/>
    </row>
    <row r="55" spans="1:38">
      <c r="B55" s="33" t="s">
        <v>75</v>
      </c>
      <c r="C55" s="17">
        <v>5559</v>
      </c>
      <c r="D55" s="17">
        <v>16829</v>
      </c>
      <c r="E55" s="21">
        <v>15864</v>
      </c>
      <c r="F55" s="76">
        <v>2</v>
      </c>
      <c r="G55" s="67">
        <f>1.524*1.524</f>
        <v>2.3225760000000002</v>
      </c>
      <c r="H55" s="43" t="s">
        <v>81</v>
      </c>
      <c r="J55" s="50">
        <v>2.8</v>
      </c>
      <c r="K55" s="16"/>
      <c r="L55" s="21">
        <v>27.27</v>
      </c>
      <c r="Q55" s="56"/>
      <c r="R55" s="17"/>
      <c r="S55" s="39"/>
      <c r="T55" s="10"/>
      <c r="U55" s="10">
        <v>74.900000000000006</v>
      </c>
      <c r="W55" s="70">
        <f t="shared" si="1"/>
        <v>2.7466079941327468</v>
      </c>
      <c r="X55">
        <f>U55/(E55*D55)*1000000</f>
        <v>0.28055034433603093</v>
      </c>
      <c r="Y55">
        <f>U55/(D55*E55*C55)*1000000000</f>
        <v>5.0467771961869204E-2</v>
      </c>
      <c r="AA55" s="4"/>
      <c r="AB55" s="4"/>
      <c r="AC55" s="71"/>
      <c r="AD55" s="4"/>
      <c r="AE55" s="4"/>
      <c r="AF55" s="71"/>
      <c r="AG55" s="3"/>
      <c r="AH55" s="3"/>
      <c r="AI55" s="3"/>
      <c r="AJ55" s="3"/>
      <c r="AK55" s="3"/>
      <c r="AL55" s="3"/>
    </row>
    <row r="56" spans="1:38">
      <c r="B56" s="33" t="s">
        <v>76</v>
      </c>
      <c r="C56" s="17">
        <v>5174</v>
      </c>
      <c r="D56" s="17">
        <v>16829</v>
      </c>
      <c r="E56" s="21">
        <v>15143</v>
      </c>
      <c r="F56" s="76">
        <v>2</v>
      </c>
      <c r="G56" s="67">
        <f>3.048*1.524</f>
        <v>4.6451520000000004</v>
      </c>
      <c r="H56" s="43" t="s">
        <v>79</v>
      </c>
      <c r="J56" s="49">
        <v>2.8</v>
      </c>
      <c r="K56" s="13"/>
      <c r="L56" s="21">
        <v>22</v>
      </c>
      <c r="Q56" s="56"/>
      <c r="R56" s="17"/>
      <c r="S56" s="39"/>
      <c r="T56" s="10"/>
      <c r="U56" s="10">
        <v>74.900000000000006</v>
      </c>
      <c r="W56" s="70">
        <f t="shared" si="1"/>
        <v>3.4045454545454548</v>
      </c>
      <c r="X56">
        <f>U56/(E56*D56)*1000000</f>
        <v>0.29390812009157991</v>
      </c>
      <c r="Y56">
        <f>U56/(D56*E56*C56)*1000000000</f>
        <v>5.680481640734053E-2</v>
      </c>
      <c r="AA56" s="4"/>
      <c r="AB56" s="4"/>
      <c r="AC56" s="71"/>
      <c r="AD56" s="4"/>
      <c r="AE56" s="4"/>
      <c r="AF56" s="71"/>
      <c r="AG56" s="3"/>
      <c r="AH56" s="3"/>
      <c r="AI56" s="3"/>
      <c r="AJ56" s="3"/>
      <c r="AK56" s="3"/>
      <c r="AL56" s="3"/>
    </row>
    <row r="57" spans="1:38">
      <c r="B57" s="33" t="s">
        <v>77</v>
      </c>
      <c r="C57" s="17">
        <v>6209</v>
      </c>
      <c r="D57" s="17">
        <v>16300</v>
      </c>
      <c r="E57" s="21">
        <v>18243</v>
      </c>
      <c r="F57" s="76"/>
      <c r="G57" s="67">
        <f>5.48*1.5</f>
        <v>8.2200000000000006</v>
      </c>
      <c r="H57" s="43" t="s">
        <v>82</v>
      </c>
      <c r="J57" s="49">
        <v>8</v>
      </c>
      <c r="K57" s="13"/>
      <c r="L57" s="21">
        <v>30.9</v>
      </c>
      <c r="Q57" s="56"/>
      <c r="R57" s="17"/>
      <c r="S57" s="39"/>
      <c r="T57" s="10"/>
      <c r="U57" s="10">
        <v>99</v>
      </c>
      <c r="W57" s="70">
        <f t="shared" si="1"/>
        <v>3.2038834951456314</v>
      </c>
      <c r="X57">
        <f>U57/(E57*D57)*1000000</f>
        <v>0.33292877442864882</v>
      </c>
      <c r="Y57">
        <f>U57/(D57*E57*C57)*1000000000</f>
        <v>5.3620353427065358E-2</v>
      </c>
      <c r="AA57" s="4"/>
      <c r="AB57" s="4"/>
      <c r="AC57" s="71"/>
      <c r="AD57" s="4"/>
      <c r="AE57" s="4"/>
      <c r="AF57" s="71"/>
      <c r="AG57" s="3"/>
      <c r="AH57" s="3"/>
      <c r="AI57" s="3"/>
      <c r="AJ57" s="3"/>
      <c r="AK57" s="3"/>
      <c r="AL57" s="3"/>
    </row>
    <row r="58" spans="1:38">
      <c r="A58" s="24"/>
      <c r="B58" s="33" t="s">
        <v>78</v>
      </c>
      <c r="C58" s="17">
        <v>5050</v>
      </c>
      <c r="D58" s="17">
        <v>15300</v>
      </c>
      <c r="E58" s="21">
        <v>15805</v>
      </c>
      <c r="F58" s="76">
        <v>2</v>
      </c>
      <c r="G58" s="67">
        <f>3.6*1.5</f>
        <v>5.4</v>
      </c>
      <c r="H58" s="43" t="s">
        <v>83</v>
      </c>
      <c r="J58" s="49">
        <v>8</v>
      </c>
      <c r="K58" s="13"/>
      <c r="L58" s="21">
        <v>26</v>
      </c>
      <c r="Q58" s="56"/>
      <c r="R58" s="17"/>
      <c r="S58" s="39"/>
      <c r="U58" s="10">
        <v>74</v>
      </c>
      <c r="W58" s="70">
        <f t="shared" si="1"/>
        <v>2.8461538461538463</v>
      </c>
      <c r="X58">
        <f>U58/(E58*D58)*1000000</f>
        <v>0.30601716590886063</v>
      </c>
      <c r="Y58">
        <f>U58/(D58*E58*C58)*1000000000</f>
        <v>6.0597458595813988E-2</v>
      </c>
      <c r="AA58" s="4"/>
      <c r="AB58" s="4"/>
      <c r="AC58" s="71"/>
      <c r="AD58" s="4"/>
      <c r="AE58" s="4"/>
      <c r="AF58" s="71"/>
      <c r="AG58" s="3"/>
      <c r="AH58" s="3"/>
      <c r="AI58" s="3"/>
      <c r="AJ58" s="3"/>
      <c r="AK58" s="3"/>
      <c r="AL58" s="3"/>
    </row>
    <row r="59" spans="1:38">
      <c r="B59" s="33"/>
      <c r="C59" s="10"/>
      <c r="D59" s="10"/>
      <c r="E59" s="21"/>
      <c r="F59" s="76"/>
      <c r="G59" s="67"/>
      <c r="H59" s="43"/>
      <c r="J59" s="49"/>
      <c r="K59" s="13"/>
      <c r="L59" s="21"/>
      <c r="Q59" s="56"/>
      <c r="R59" s="17"/>
      <c r="S59" s="39"/>
      <c r="U59" s="10"/>
      <c r="AA59" s="4"/>
      <c r="AB59" s="4"/>
      <c r="AC59" s="71"/>
      <c r="AD59" s="4"/>
      <c r="AE59" s="4"/>
      <c r="AF59" s="71"/>
      <c r="AG59" s="3"/>
      <c r="AH59" s="3"/>
      <c r="AI59" s="3"/>
      <c r="AJ59" s="3"/>
      <c r="AK59" s="3"/>
      <c r="AL59" s="3"/>
    </row>
    <row r="60" spans="1:38">
      <c r="A60" s="24" t="s">
        <v>84</v>
      </c>
      <c r="B60" s="33"/>
      <c r="C60" s="10"/>
      <c r="D60" s="10"/>
      <c r="E60" s="21"/>
      <c r="F60" s="76"/>
      <c r="G60" s="67"/>
      <c r="H60" s="43"/>
      <c r="J60" s="49"/>
      <c r="K60" s="13"/>
      <c r="L60" s="40"/>
      <c r="Q60" s="56"/>
      <c r="R60" s="17"/>
      <c r="S60" s="39"/>
      <c r="U60" s="10"/>
      <c r="AA60" s="4"/>
      <c r="AB60" s="4"/>
      <c r="AC60" s="71"/>
      <c r="AD60" s="4"/>
      <c r="AE60" s="4"/>
      <c r="AF60" s="71"/>
      <c r="AG60" s="3"/>
      <c r="AH60" s="3"/>
      <c r="AI60" s="3"/>
      <c r="AJ60" s="3"/>
      <c r="AK60" s="3"/>
      <c r="AL60" s="3"/>
    </row>
    <row r="61" spans="1:38" s="2" customFormat="1">
      <c r="A61" s="30"/>
      <c r="B61" s="35" t="s">
        <v>85</v>
      </c>
      <c r="C61" s="10">
        <v>3300</v>
      </c>
      <c r="D61" s="18">
        <v>15300</v>
      </c>
      <c r="E61" s="40">
        <v>15800</v>
      </c>
      <c r="F61" s="78">
        <v>2</v>
      </c>
      <c r="G61" s="69">
        <f>1.5*3.65</f>
        <v>5.4749999999999996</v>
      </c>
      <c r="H61" s="43" t="s">
        <v>89</v>
      </c>
      <c r="I61" s="8"/>
      <c r="J61" s="49"/>
      <c r="K61" s="13"/>
      <c r="L61" s="19">
        <v>26</v>
      </c>
      <c r="M61" s="7"/>
      <c r="N61" s="7"/>
      <c r="O61" s="8"/>
      <c r="P61" s="19"/>
      <c r="Q61" s="56"/>
      <c r="R61" s="17"/>
      <c r="S61" s="39"/>
      <c r="T61" s="8"/>
      <c r="U61" s="8">
        <v>77</v>
      </c>
      <c r="V61" s="73"/>
      <c r="W61" s="70">
        <f t="shared" si="1"/>
        <v>2.9615384615384617</v>
      </c>
      <c r="X61">
        <f>U61/(E61*D61)*1000000</f>
        <v>0.31852403408620833</v>
      </c>
      <c r="Y61">
        <f>U61/(D61*E61*C61)*1000000000</f>
        <v>9.6522434571578275E-2</v>
      </c>
      <c r="Z61" s="70"/>
      <c r="AA61" s="4"/>
      <c r="AB61" s="4"/>
      <c r="AC61" s="71"/>
      <c r="AD61" s="4"/>
      <c r="AE61" s="4"/>
      <c r="AF61" s="71"/>
      <c r="AG61" s="3"/>
      <c r="AH61" s="3"/>
      <c r="AI61" s="3"/>
      <c r="AJ61" s="3"/>
      <c r="AK61" s="3"/>
      <c r="AL61" s="3"/>
    </row>
    <row r="62" spans="1:38">
      <c r="B62" s="31" t="s">
        <v>86</v>
      </c>
      <c r="C62" s="10">
        <v>3800</v>
      </c>
      <c r="D62" s="15">
        <v>16200</v>
      </c>
      <c r="E62" s="41">
        <v>18240</v>
      </c>
      <c r="F62" s="79">
        <v>2</v>
      </c>
      <c r="G62" s="69">
        <f>1.5*5.5</f>
        <v>8.25</v>
      </c>
      <c r="H62" s="46" t="s">
        <v>90</v>
      </c>
      <c r="J62" s="49"/>
      <c r="K62" s="13"/>
      <c r="L62" s="40">
        <v>34</v>
      </c>
      <c r="Q62" s="56"/>
      <c r="R62" s="17"/>
      <c r="S62" s="39"/>
      <c r="U62" s="18">
        <v>77</v>
      </c>
      <c r="W62" s="70">
        <f t="shared" si="1"/>
        <v>2.2647058823529411</v>
      </c>
      <c r="X62">
        <f>U62/(E62*D62)*1000000</f>
        <v>0.26058587827593677</v>
      </c>
      <c r="Y62">
        <f>U62/(D62*E62*C62)*1000000000</f>
        <v>6.8575231125246508E-2</v>
      </c>
      <c r="AA62" s="4"/>
      <c r="AB62" s="4"/>
      <c r="AC62" s="71"/>
      <c r="AD62" s="4"/>
      <c r="AE62" s="4"/>
      <c r="AF62" s="71"/>
      <c r="AG62" s="3"/>
      <c r="AH62" s="3"/>
      <c r="AI62" s="3"/>
      <c r="AJ62" s="3"/>
      <c r="AK62" s="3"/>
      <c r="AL62" s="3"/>
    </row>
    <row r="63" spans="1:38">
      <c r="A63" s="24"/>
      <c r="B63" s="31" t="s">
        <v>87</v>
      </c>
      <c r="C63" s="10">
        <v>2300</v>
      </c>
      <c r="D63" s="10">
        <v>16300</v>
      </c>
      <c r="E63" s="21">
        <v>14870</v>
      </c>
      <c r="F63" s="76">
        <v>2</v>
      </c>
      <c r="G63" s="67">
        <f>1.5*6.341</f>
        <v>9.5114999999999998</v>
      </c>
      <c r="H63" s="46" t="s">
        <v>91</v>
      </c>
      <c r="J63" s="50"/>
      <c r="K63" s="16"/>
      <c r="L63" s="21">
        <v>30</v>
      </c>
      <c r="U63" s="8">
        <v>94</v>
      </c>
      <c r="W63" s="70">
        <f t="shared" si="1"/>
        <v>3.1333333333333333</v>
      </c>
      <c r="X63">
        <f>U63/(E63*D63)*1000000</f>
        <v>0.38781917724574122</v>
      </c>
      <c r="Y63">
        <f>U63/(D63*E63*C63)*1000000000</f>
        <v>0.16861703358510488</v>
      </c>
      <c r="AA63" s="4"/>
      <c r="AB63" s="4"/>
      <c r="AC63" s="71"/>
      <c r="AD63" s="4"/>
      <c r="AE63" s="4"/>
      <c r="AF63" s="71"/>
      <c r="AG63" s="3"/>
      <c r="AH63" s="3"/>
      <c r="AI63" s="3"/>
      <c r="AJ63" s="3"/>
      <c r="AK63" s="3"/>
      <c r="AL63" s="3"/>
    </row>
    <row r="64" spans="1:38">
      <c r="A64" s="24"/>
      <c r="B64" s="31" t="s">
        <v>88</v>
      </c>
      <c r="C64" s="10">
        <v>4300</v>
      </c>
      <c r="D64" s="10">
        <v>14300</v>
      </c>
      <c r="E64" s="42">
        <v>13000</v>
      </c>
      <c r="F64" s="54">
        <v>2</v>
      </c>
      <c r="G64" s="67">
        <f>1.5*3.65</f>
        <v>5.4749999999999996</v>
      </c>
      <c r="H64" s="46" t="s">
        <v>89</v>
      </c>
      <c r="I64" s="16"/>
      <c r="J64" s="50"/>
      <c r="K64" s="16"/>
      <c r="L64" s="21">
        <v>29</v>
      </c>
      <c r="U64" s="8">
        <v>74</v>
      </c>
      <c r="W64" s="70">
        <f t="shared" si="1"/>
        <v>2.5517241379310347</v>
      </c>
      <c r="X64">
        <f>U64/(E64*D64)*1000000</f>
        <v>0.39806347498655192</v>
      </c>
      <c r="Y64">
        <f>U64/(D64*E64*C64)*1000000000</f>
        <v>9.257290115966324E-2</v>
      </c>
      <c r="AA64" s="4"/>
      <c r="AB64" s="4"/>
      <c r="AC64" s="71"/>
      <c r="AD64" s="4"/>
      <c r="AE64" s="4"/>
      <c r="AF64" s="71"/>
      <c r="AG64" s="3"/>
      <c r="AH64" s="3"/>
      <c r="AI64" s="3"/>
      <c r="AJ64" s="3"/>
      <c r="AK64" s="3"/>
      <c r="AL64" s="3"/>
    </row>
    <row r="65" spans="1:38">
      <c r="A65" s="24"/>
      <c r="C65" s="10"/>
      <c r="D65" s="10"/>
      <c r="E65" s="21"/>
      <c r="F65" s="76"/>
      <c r="G65" s="67"/>
      <c r="H65" s="46"/>
      <c r="J65" s="50"/>
      <c r="K65" s="16"/>
      <c r="L65" s="21"/>
      <c r="AA65" s="4"/>
      <c r="AB65" s="4"/>
      <c r="AC65" s="71"/>
      <c r="AD65" s="4"/>
      <c r="AE65" s="4"/>
      <c r="AF65" s="71"/>
      <c r="AG65" s="3"/>
      <c r="AH65" s="3"/>
      <c r="AI65" s="3"/>
      <c r="AJ65" s="3"/>
      <c r="AK65" s="3"/>
      <c r="AL65" s="3"/>
    </row>
    <row r="66" spans="1:38">
      <c r="A66" s="24" t="s">
        <v>92</v>
      </c>
      <c r="D66" s="10"/>
      <c r="E66" s="21"/>
      <c r="F66" s="76"/>
      <c r="G66" s="67"/>
      <c r="H66" s="41"/>
      <c r="AA66" s="4"/>
      <c r="AB66" s="4"/>
      <c r="AC66" s="71"/>
      <c r="AD66" s="4"/>
      <c r="AE66" s="4"/>
      <c r="AF66" s="71"/>
      <c r="AG66" s="3"/>
      <c r="AH66" s="3"/>
      <c r="AI66" s="3"/>
      <c r="AJ66" s="3"/>
      <c r="AK66" s="3"/>
      <c r="AL66" s="3"/>
    </row>
    <row r="67" spans="1:38">
      <c r="B67" s="31" t="s">
        <v>93</v>
      </c>
      <c r="C67" s="10">
        <v>4500</v>
      </c>
      <c r="D67" s="10">
        <v>5000</v>
      </c>
      <c r="E67" s="42">
        <v>9000</v>
      </c>
      <c r="F67" s="54">
        <v>5</v>
      </c>
      <c r="G67" s="67">
        <f>3*8</f>
        <v>24</v>
      </c>
      <c r="H67" s="46" t="s">
        <v>96</v>
      </c>
      <c r="I67" s="8">
        <f>0.35*3*8</f>
        <v>8.3999999999999986</v>
      </c>
      <c r="J67" s="50">
        <f>0.6*3*8</f>
        <v>14.399999999999999</v>
      </c>
      <c r="K67" s="16">
        <v>0.12</v>
      </c>
      <c r="L67" s="21">
        <v>25</v>
      </c>
      <c r="N67" s="7">
        <v>1000</v>
      </c>
      <c r="Q67" s="52">
        <v>300</v>
      </c>
      <c r="T67" s="8">
        <v>1.5</v>
      </c>
      <c r="U67" s="8">
        <v>45</v>
      </c>
      <c r="V67" s="73">
        <f t="shared" si="0"/>
        <v>4.4999999999999998E-2</v>
      </c>
      <c r="W67" s="70">
        <f t="shared" si="1"/>
        <v>1.8</v>
      </c>
      <c r="X67">
        <f>U67/(E67*D67)*1000000</f>
        <v>1</v>
      </c>
      <c r="Y67">
        <f>U67/(D67*E67*C67)*1000000000</f>
        <v>0.22222222222222221</v>
      </c>
      <c r="Z67" s="70">
        <f>(D67*E67)/1000000/N67</f>
        <v>4.4999999999999998E-2</v>
      </c>
      <c r="AA67" s="4">
        <f>(E67*D67*C67)/1000000000/N67</f>
        <v>0.20250000000000001</v>
      </c>
      <c r="AB67" s="4">
        <f t="shared" si="2"/>
        <v>2.5000000000000001E-2</v>
      </c>
      <c r="AC67" s="71">
        <f t="shared" si="3"/>
        <v>40</v>
      </c>
      <c r="AD67" s="4">
        <f>N67/(E67*D67)*1000000</f>
        <v>22.222222222222225</v>
      </c>
      <c r="AE67" s="4">
        <f>N67/(E67*D67*C67)*1000000000</f>
        <v>4.9382716049382713</v>
      </c>
      <c r="AF67" s="71"/>
      <c r="AG67" s="3"/>
      <c r="AH67" s="3"/>
      <c r="AI67" s="3"/>
      <c r="AJ67" s="3"/>
      <c r="AK67" s="3"/>
      <c r="AL67" s="3"/>
    </row>
    <row r="68" spans="1:38">
      <c r="B68" s="31" t="s">
        <v>94</v>
      </c>
      <c r="C68" s="10">
        <v>4300</v>
      </c>
      <c r="D68" s="10">
        <v>5000</v>
      </c>
      <c r="E68" s="21">
        <v>9000</v>
      </c>
      <c r="F68" s="76">
        <v>4</v>
      </c>
      <c r="G68" s="67">
        <f>2.7*8</f>
        <v>21.6</v>
      </c>
      <c r="H68" s="46" t="s">
        <v>97</v>
      </c>
      <c r="I68" s="8">
        <f>0.35*2.7*8</f>
        <v>7.56</v>
      </c>
      <c r="J68" s="50">
        <f>0.6*2.7*8</f>
        <v>12.96</v>
      </c>
      <c r="K68" s="16">
        <v>1.9</v>
      </c>
      <c r="L68" s="21">
        <v>32</v>
      </c>
      <c r="N68" s="7">
        <v>3000</v>
      </c>
      <c r="Q68" s="52">
        <v>1500</v>
      </c>
      <c r="T68" s="8">
        <v>7.5</v>
      </c>
      <c r="U68" s="8">
        <v>90</v>
      </c>
      <c r="V68" s="73">
        <f t="shared" si="0"/>
        <v>0.03</v>
      </c>
      <c r="W68" s="70">
        <f t="shared" si="1"/>
        <v>2.8125</v>
      </c>
      <c r="X68">
        <f>U68/(E68*D68)*1000000</f>
        <v>2</v>
      </c>
      <c r="Y68">
        <f>U68/(D68*E68*C68)*1000000000</f>
        <v>0.46511627906976744</v>
      </c>
      <c r="Z68" s="70">
        <f>(D68*E68)/1000000/N68</f>
        <v>1.4999999999999999E-2</v>
      </c>
      <c r="AA68" s="4">
        <f>(E68*D68*C68)/1000000000/N68</f>
        <v>6.4500000000000002E-2</v>
      </c>
      <c r="AB68" s="4">
        <f t="shared" si="2"/>
        <v>1.0666666666666666E-2</v>
      </c>
      <c r="AC68" s="71">
        <f t="shared" si="3"/>
        <v>93.75</v>
      </c>
      <c r="AD68" s="4">
        <f>N68/(E68*D68)*1000000</f>
        <v>66.666666666666671</v>
      </c>
      <c r="AE68" s="4">
        <f>N68/(E68*D68*C68)*1000000000</f>
        <v>15.503875968992249</v>
      </c>
      <c r="AF68" s="71"/>
      <c r="AG68" s="3"/>
      <c r="AH68" s="3"/>
      <c r="AI68" s="3"/>
      <c r="AJ68" s="3"/>
      <c r="AK68" s="3"/>
      <c r="AL68" s="3"/>
    </row>
    <row r="69" spans="1:38">
      <c r="B69" s="31" t="s">
        <v>95</v>
      </c>
      <c r="C69" s="10">
        <v>2600</v>
      </c>
      <c r="D69" s="10">
        <v>2100</v>
      </c>
      <c r="E69" s="21">
        <v>3250</v>
      </c>
      <c r="F69" s="76">
        <v>1</v>
      </c>
      <c r="G69" s="67">
        <f>1.5*3</f>
        <v>4.5</v>
      </c>
      <c r="H69" s="46" t="s">
        <v>98</v>
      </c>
      <c r="I69" s="8">
        <f>0.35*1.5*3</f>
        <v>1.5749999999999997</v>
      </c>
      <c r="J69" s="50">
        <f>0.6*1.5*3</f>
        <v>2.6999999999999997</v>
      </c>
      <c r="K69" s="16">
        <v>1.2</v>
      </c>
      <c r="L69" s="21">
        <v>1.4</v>
      </c>
      <c r="N69" s="7">
        <v>80</v>
      </c>
      <c r="Q69" s="52">
        <v>25</v>
      </c>
      <c r="T69" s="8">
        <v>0.9</v>
      </c>
      <c r="U69" s="8">
        <v>1.3</v>
      </c>
      <c r="V69" s="73">
        <f t="shared" ref="V69:V132" si="7">U69/N69</f>
        <v>1.6250000000000001E-2</v>
      </c>
      <c r="W69" s="70">
        <f t="shared" ref="W69:W132" si="8">U69/L69</f>
        <v>0.92857142857142871</v>
      </c>
      <c r="X69">
        <f>U69/(E69*D69)*1000000</f>
        <v>0.19047619047619049</v>
      </c>
      <c r="Y69">
        <f>U69/(D69*E69*C69)*1000000000</f>
        <v>7.3260073260073263E-2</v>
      </c>
      <c r="Z69" s="70">
        <f>(D69*E69)/1000000/N69</f>
        <v>8.5312499999999999E-2</v>
      </c>
      <c r="AA69" s="4">
        <f>(E69*D69*C69)/1000000000/N69</f>
        <v>0.22181250000000002</v>
      </c>
      <c r="AB69" s="4">
        <f t="shared" ref="AB69:AB132" si="9">L69/N69</f>
        <v>1.7499999999999998E-2</v>
      </c>
      <c r="AC69" s="71">
        <f t="shared" ref="AC69:AC132" si="10">N69/L69</f>
        <v>57.142857142857146</v>
      </c>
      <c r="AD69" s="4">
        <f>N69/(E69*D69)*1000000</f>
        <v>11.721611721611721</v>
      </c>
      <c r="AE69" s="4">
        <f>N69/(E69*D69*C69)*1000000000</f>
        <v>4.5083122006198932</v>
      </c>
      <c r="AF69" s="71"/>
      <c r="AG69" s="3"/>
      <c r="AH69" s="3"/>
      <c r="AI69" s="3"/>
      <c r="AJ69" s="3"/>
      <c r="AK69" s="3"/>
      <c r="AL69" s="3"/>
    </row>
    <row r="70" spans="1:38">
      <c r="A70" s="24"/>
      <c r="C70" s="10"/>
      <c r="D70" s="10"/>
      <c r="E70" s="21"/>
      <c r="F70" s="76"/>
      <c r="G70" s="67"/>
      <c r="H70" s="46"/>
      <c r="J70" s="50"/>
      <c r="K70" s="16"/>
      <c r="L70" s="21"/>
      <c r="AA70" s="4"/>
      <c r="AB70" s="4"/>
      <c r="AC70" s="71"/>
      <c r="AD70" s="4"/>
      <c r="AE70" s="4"/>
      <c r="AF70" s="71"/>
      <c r="AG70" s="3"/>
      <c r="AH70" s="3"/>
      <c r="AI70" s="3"/>
      <c r="AJ70" s="3"/>
      <c r="AK70" s="3"/>
      <c r="AL70" s="3"/>
    </row>
    <row r="71" spans="1:38">
      <c r="A71" s="24" t="s">
        <v>99</v>
      </c>
      <c r="C71" s="10"/>
      <c r="D71" s="10"/>
      <c r="E71" s="21"/>
      <c r="F71" s="76"/>
      <c r="G71" s="67"/>
      <c r="H71" s="46"/>
      <c r="L71" s="21"/>
      <c r="AA71" s="4"/>
      <c r="AB71" s="4"/>
      <c r="AC71" s="71"/>
      <c r="AD71" s="4"/>
      <c r="AE71" s="4"/>
      <c r="AF71" s="71"/>
      <c r="AG71" s="3"/>
      <c r="AH71" s="3"/>
      <c r="AI71" s="3"/>
      <c r="AJ71" s="3"/>
      <c r="AK71" s="3"/>
      <c r="AL71" s="3"/>
    </row>
    <row r="72" spans="1:38">
      <c r="A72" s="24"/>
      <c r="B72" s="31" t="s">
        <v>100</v>
      </c>
      <c r="C72" s="10">
        <v>1800</v>
      </c>
      <c r="D72" s="10">
        <v>2900</v>
      </c>
      <c r="E72" s="21">
        <v>8000</v>
      </c>
      <c r="F72" s="76">
        <v>2</v>
      </c>
      <c r="G72" s="67">
        <f>2.4*7</f>
        <v>16.8</v>
      </c>
      <c r="H72" s="46" t="s">
        <v>101</v>
      </c>
      <c r="K72" s="10">
        <v>1</v>
      </c>
      <c r="L72" s="21">
        <v>9</v>
      </c>
      <c r="U72" s="8">
        <v>30</v>
      </c>
      <c r="W72" s="70">
        <f t="shared" si="8"/>
        <v>3.3333333333333335</v>
      </c>
      <c r="X72">
        <f>U72/(E72*D72)*1000000</f>
        <v>1.2931034482758621</v>
      </c>
      <c r="Y72">
        <f>U72/(D72*E72*C72)*1000000000</f>
        <v>0.7183908045977011</v>
      </c>
      <c r="AA72" s="4"/>
      <c r="AB72" s="4"/>
      <c r="AC72" s="71"/>
      <c r="AD72" s="4"/>
      <c r="AE72" s="4"/>
      <c r="AF72" s="71"/>
      <c r="AG72" s="3"/>
      <c r="AH72" s="3"/>
      <c r="AI72" s="3"/>
      <c r="AJ72" s="3"/>
      <c r="AK72" s="3"/>
      <c r="AL72" s="3"/>
    </row>
    <row r="73" spans="1:38">
      <c r="A73" s="27"/>
      <c r="C73" s="10"/>
      <c r="D73" s="10"/>
      <c r="E73" s="21"/>
      <c r="F73" s="76"/>
      <c r="G73" s="67"/>
      <c r="H73" s="46"/>
      <c r="L73" s="21"/>
      <c r="AA73" s="4"/>
      <c r="AB73" s="4"/>
      <c r="AC73" s="71"/>
      <c r="AD73" s="4"/>
      <c r="AE73" s="4"/>
      <c r="AF73" s="71"/>
      <c r="AG73" s="3"/>
      <c r="AH73" s="3"/>
      <c r="AI73" s="3"/>
      <c r="AJ73" s="3"/>
      <c r="AK73" s="3"/>
      <c r="AL73" s="3"/>
    </row>
    <row r="74" spans="1:38">
      <c r="A74" s="24" t="s">
        <v>102</v>
      </c>
      <c r="C74" s="10"/>
      <c r="D74" s="10"/>
      <c r="E74" s="21"/>
      <c r="F74" s="76"/>
      <c r="G74" s="67"/>
      <c r="H74" s="46"/>
      <c r="J74" s="50"/>
      <c r="K74" s="16"/>
      <c r="L74" s="21"/>
      <c r="AA74" s="4"/>
      <c r="AB74" s="4"/>
      <c r="AC74" s="71"/>
      <c r="AD74" s="4"/>
      <c r="AE74" s="4"/>
      <c r="AF74" s="71"/>
      <c r="AG74" s="3"/>
      <c r="AH74" s="3"/>
      <c r="AI74" s="3"/>
      <c r="AJ74" s="3"/>
      <c r="AK74" s="3"/>
      <c r="AL74" s="3"/>
    </row>
    <row r="75" spans="1:38">
      <c r="B75" s="31" t="s">
        <v>103</v>
      </c>
      <c r="C75" s="10">
        <v>3200</v>
      </c>
      <c r="D75" s="10">
        <v>2550</v>
      </c>
      <c r="E75" s="21">
        <v>11100</v>
      </c>
      <c r="F75" s="76">
        <v>2</v>
      </c>
      <c r="G75" s="67">
        <f>3*1.25</f>
        <v>3.75</v>
      </c>
      <c r="H75" s="46" t="s">
        <v>104</v>
      </c>
      <c r="J75" s="49"/>
      <c r="K75" s="13"/>
      <c r="L75" s="21">
        <v>15.5</v>
      </c>
      <c r="N75" s="7">
        <v>200</v>
      </c>
      <c r="Q75" s="52">
        <v>250</v>
      </c>
      <c r="R75" s="8">
        <v>4</v>
      </c>
      <c r="S75" s="36">
        <v>100</v>
      </c>
      <c r="U75" s="8">
        <v>41.5</v>
      </c>
      <c r="V75" s="73">
        <f t="shared" si="7"/>
        <v>0.20749999999999999</v>
      </c>
      <c r="W75" s="70">
        <f t="shared" si="8"/>
        <v>2.6774193548387095</v>
      </c>
      <c r="X75">
        <f>U75/(E75*D75)*1000000</f>
        <v>1.4661720544073487</v>
      </c>
      <c r="Y75">
        <f>U75/(D75*E75*C75)*1000000000</f>
        <v>0.45817876700229637</v>
      </c>
      <c r="Z75" s="70">
        <f>(D75*E75)/1000000/N75</f>
        <v>0.14152500000000001</v>
      </c>
      <c r="AA75" s="4">
        <f>(E75*D75*C75)/1000000000/N75</f>
        <v>0.45287999999999995</v>
      </c>
      <c r="AB75" s="4">
        <f t="shared" si="9"/>
        <v>7.7499999999999999E-2</v>
      </c>
      <c r="AC75" s="71">
        <f t="shared" si="10"/>
        <v>12.903225806451612</v>
      </c>
      <c r="AD75" s="4">
        <f>N75/(E75*D75)*1000000</f>
        <v>7.0658894188305954</v>
      </c>
      <c r="AE75" s="4">
        <f>N75/(E75*D75*C75)*1000000000</f>
        <v>2.208090443384561</v>
      </c>
      <c r="AF75" s="71"/>
      <c r="AG75" s="3"/>
      <c r="AH75" s="3"/>
      <c r="AI75" s="3"/>
      <c r="AJ75" s="3"/>
      <c r="AK75" s="3"/>
      <c r="AL75" s="3"/>
    </row>
    <row r="76" spans="1:38">
      <c r="H76" s="41"/>
      <c r="AA76" s="4"/>
      <c r="AB76" s="4"/>
      <c r="AC76" s="71"/>
      <c r="AD76" s="4"/>
      <c r="AE76" s="4"/>
      <c r="AF76" s="71"/>
      <c r="AG76" s="3"/>
      <c r="AH76" s="3"/>
      <c r="AI76" s="3"/>
      <c r="AJ76" s="3"/>
      <c r="AK76" s="3"/>
      <c r="AL76" s="3"/>
    </row>
    <row r="77" spans="1:38">
      <c r="A77" s="24" t="s">
        <v>105</v>
      </c>
      <c r="C77" s="8"/>
      <c r="D77" s="8"/>
      <c r="E77" s="19"/>
      <c r="F77" s="75"/>
      <c r="H77" s="46"/>
      <c r="J77" s="49"/>
      <c r="K77" s="13"/>
      <c r="AA77" s="4"/>
      <c r="AB77" s="4"/>
      <c r="AC77" s="71"/>
      <c r="AD77" s="4"/>
      <c r="AE77" s="4"/>
      <c r="AF77" s="71"/>
      <c r="AG77" s="3"/>
      <c r="AH77" s="3"/>
      <c r="AI77" s="3"/>
      <c r="AJ77" s="3"/>
      <c r="AK77" s="3"/>
      <c r="AL77" s="3"/>
    </row>
    <row r="78" spans="1:38">
      <c r="A78" s="22" t="s">
        <v>106</v>
      </c>
      <c r="H78" s="41"/>
      <c r="AA78" s="4"/>
      <c r="AB78" s="4"/>
      <c r="AC78" s="71"/>
      <c r="AD78" s="4"/>
      <c r="AE78" s="4"/>
      <c r="AF78" s="71"/>
      <c r="AG78" s="3"/>
      <c r="AH78" s="3"/>
      <c r="AI78" s="3"/>
      <c r="AJ78" s="3"/>
      <c r="AK78" s="3"/>
      <c r="AL78" s="3"/>
    </row>
    <row r="79" spans="1:38">
      <c r="B79" s="31" t="s">
        <v>107</v>
      </c>
      <c r="C79" s="8"/>
      <c r="D79" s="8"/>
      <c r="E79" s="19"/>
      <c r="F79" s="75">
        <v>1</v>
      </c>
      <c r="G79" s="65">
        <f>1.4*3</f>
        <v>4.1999999999999993</v>
      </c>
      <c r="H79" s="41" t="s">
        <v>116</v>
      </c>
      <c r="I79" s="8">
        <v>0.18</v>
      </c>
      <c r="J79" s="50">
        <v>4.2</v>
      </c>
      <c r="K79" s="16">
        <v>0.2</v>
      </c>
      <c r="L79" s="19">
        <v>1.5</v>
      </c>
      <c r="N79" s="11">
        <v>350</v>
      </c>
      <c r="Q79" s="52">
        <v>200</v>
      </c>
      <c r="T79" s="8">
        <v>0.6</v>
      </c>
      <c r="U79" s="8">
        <v>9.5</v>
      </c>
      <c r="V79" s="73">
        <f t="shared" si="7"/>
        <v>2.7142857142857142E-2</v>
      </c>
      <c r="W79" s="70">
        <f t="shared" si="8"/>
        <v>6.333333333333333</v>
      </c>
      <c r="AA79" s="4"/>
      <c r="AB79" s="4">
        <f t="shared" si="9"/>
        <v>4.2857142857142859E-3</v>
      </c>
      <c r="AC79" s="71">
        <f t="shared" si="10"/>
        <v>233.33333333333334</v>
      </c>
      <c r="AD79" s="4"/>
      <c r="AE79" s="4"/>
      <c r="AF79" s="71"/>
      <c r="AG79" s="3"/>
      <c r="AH79" s="3"/>
      <c r="AI79" s="3"/>
      <c r="AJ79" s="3"/>
      <c r="AK79" s="3"/>
      <c r="AL79" s="3"/>
    </row>
    <row r="80" spans="1:38">
      <c r="B80" s="31" t="s">
        <v>108</v>
      </c>
      <c r="C80" s="8"/>
      <c r="D80" s="8"/>
      <c r="E80" s="19"/>
      <c r="F80" s="75">
        <v>2</v>
      </c>
      <c r="G80" s="65">
        <f>1.4*3</f>
        <v>4.1999999999999993</v>
      </c>
      <c r="H80" s="41" t="s">
        <v>116</v>
      </c>
      <c r="I80" s="8">
        <v>0.3</v>
      </c>
      <c r="J80" s="19">
        <v>8.4</v>
      </c>
      <c r="K80" s="8">
        <v>0.3</v>
      </c>
      <c r="L80" s="19">
        <v>2.6</v>
      </c>
      <c r="N80" s="11">
        <v>350</v>
      </c>
      <c r="Q80" s="52">
        <v>200</v>
      </c>
      <c r="T80" s="8">
        <v>0.8</v>
      </c>
      <c r="U80" s="8">
        <v>9.5</v>
      </c>
      <c r="V80" s="73">
        <f t="shared" si="7"/>
        <v>2.7142857142857142E-2</v>
      </c>
      <c r="W80" s="70">
        <f t="shared" si="8"/>
        <v>3.6538461538461537</v>
      </c>
      <c r="AA80" s="4"/>
      <c r="AB80" s="4">
        <f t="shared" si="9"/>
        <v>7.4285714285714285E-3</v>
      </c>
      <c r="AC80" s="71">
        <f t="shared" si="10"/>
        <v>134.61538461538461</v>
      </c>
      <c r="AD80" s="4"/>
      <c r="AE80" s="4"/>
      <c r="AF80" s="71"/>
      <c r="AG80" s="3"/>
      <c r="AH80" s="3"/>
      <c r="AI80" s="3"/>
      <c r="AJ80" s="3"/>
      <c r="AK80" s="3"/>
      <c r="AL80" s="3"/>
    </row>
    <row r="81" spans="1:38">
      <c r="A81" s="24"/>
      <c r="B81" s="31" t="s">
        <v>109</v>
      </c>
      <c r="C81" s="8"/>
      <c r="D81" s="8"/>
      <c r="E81" s="19"/>
      <c r="F81" s="75">
        <v>3</v>
      </c>
      <c r="G81" s="65">
        <f>1.2*2.5</f>
        <v>3</v>
      </c>
      <c r="H81" s="41" t="s">
        <v>117</v>
      </c>
      <c r="I81" s="8">
        <v>0.54</v>
      </c>
      <c r="J81" s="19">
        <v>9</v>
      </c>
      <c r="K81" s="8">
        <v>0.4</v>
      </c>
      <c r="L81" s="19">
        <v>2.8</v>
      </c>
      <c r="N81" s="11">
        <v>250</v>
      </c>
      <c r="Q81" s="52">
        <v>200</v>
      </c>
      <c r="T81" s="8">
        <v>1.2</v>
      </c>
      <c r="U81" s="8">
        <v>9.5</v>
      </c>
      <c r="V81" s="73">
        <f t="shared" si="7"/>
        <v>3.7999999999999999E-2</v>
      </c>
      <c r="W81" s="70">
        <f t="shared" si="8"/>
        <v>3.3928571428571432</v>
      </c>
      <c r="AA81" s="4"/>
      <c r="AB81" s="4">
        <f t="shared" si="9"/>
        <v>1.12E-2</v>
      </c>
      <c r="AC81" s="71">
        <f t="shared" si="10"/>
        <v>89.285714285714292</v>
      </c>
      <c r="AD81" s="4"/>
      <c r="AE81" s="4"/>
      <c r="AF81" s="71"/>
      <c r="AG81" s="3"/>
      <c r="AH81" s="3"/>
      <c r="AI81" s="3"/>
      <c r="AJ81" s="3"/>
      <c r="AK81" s="3"/>
      <c r="AL81" s="3"/>
    </row>
    <row r="82" spans="1:38">
      <c r="B82" s="31" t="s">
        <v>110</v>
      </c>
      <c r="C82" s="8"/>
      <c r="D82" s="8"/>
      <c r="E82" s="19"/>
      <c r="F82" s="75">
        <v>4</v>
      </c>
      <c r="G82" s="65">
        <f>1.2*2.5</f>
        <v>3</v>
      </c>
      <c r="H82" s="41" t="s">
        <v>117</v>
      </c>
      <c r="I82" s="10">
        <v>0.72</v>
      </c>
      <c r="J82" s="19">
        <v>12</v>
      </c>
      <c r="K82" s="10">
        <v>0.5</v>
      </c>
      <c r="L82" s="19">
        <v>3</v>
      </c>
      <c r="N82" s="11">
        <v>250</v>
      </c>
      <c r="Q82" s="52">
        <v>200</v>
      </c>
      <c r="T82" s="10">
        <v>1.2</v>
      </c>
      <c r="U82" s="8">
        <v>9.5</v>
      </c>
      <c r="V82" s="73">
        <f t="shared" si="7"/>
        <v>3.7999999999999999E-2</v>
      </c>
      <c r="W82" s="70">
        <f t="shared" si="8"/>
        <v>3.1666666666666665</v>
      </c>
      <c r="AA82" s="4"/>
      <c r="AB82" s="4">
        <f t="shared" si="9"/>
        <v>1.2E-2</v>
      </c>
      <c r="AC82" s="71">
        <f t="shared" si="10"/>
        <v>83.333333333333329</v>
      </c>
      <c r="AD82" s="4"/>
      <c r="AE82" s="4"/>
      <c r="AF82" s="71"/>
      <c r="AG82" s="3"/>
      <c r="AH82" s="3"/>
      <c r="AI82" s="3"/>
      <c r="AJ82" s="3"/>
      <c r="AK82" s="3"/>
      <c r="AL82" s="3"/>
    </row>
    <row r="83" spans="1:38">
      <c r="A83" s="22" t="s">
        <v>111</v>
      </c>
      <c r="C83" s="8"/>
      <c r="D83" s="8"/>
      <c r="E83" s="19"/>
      <c r="F83" s="75"/>
      <c r="H83" s="41"/>
      <c r="AA83" s="4"/>
      <c r="AB83" s="4"/>
      <c r="AC83" s="71"/>
      <c r="AD83" s="4"/>
      <c r="AE83" s="4"/>
      <c r="AF83" s="71"/>
      <c r="AG83" s="3"/>
      <c r="AH83" s="3"/>
      <c r="AI83" s="3"/>
      <c r="AJ83" s="3"/>
      <c r="AK83" s="3"/>
      <c r="AL83" s="3"/>
    </row>
    <row r="84" spans="1:38">
      <c r="A84" s="27"/>
      <c r="B84" s="31" t="s">
        <v>112</v>
      </c>
      <c r="C84" s="8"/>
      <c r="D84" s="8"/>
      <c r="E84" s="19"/>
      <c r="F84" s="75">
        <v>1</v>
      </c>
      <c r="G84" s="65">
        <f>3.5*7</f>
        <v>24.5</v>
      </c>
      <c r="H84" s="41" t="s">
        <v>118</v>
      </c>
      <c r="I84" s="10">
        <v>2</v>
      </c>
      <c r="J84" s="19">
        <v>24.5</v>
      </c>
      <c r="K84" s="10">
        <v>0.9</v>
      </c>
      <c r="L84" s="19">
        <v>6.5</v>
      </c>
      <c r="N84" s="11">
        <v>2000</v>
      </c>
      <c r="Q84" s="52">
        <v>300</v>
      </c>
      <c r="T84" s="10">
        <v>4</v>
      </c>
      <c r="U84" s="8">
        <v>18.5</v>
      </c>
      <c r="V84" s="73">
        <f t="shared" si="7"/>
        <v>9.2499999999999995E-3</v>
      </c>
      <c r="W84" s="70">
        <f t="shared" si="8"/>
        <v>2.8461538461538463</v>
      </c>
      <c r="AA84" s="4"/>
      <c r="AB84" s="4">
        <f t="shared" si="9"/>
        <v>3.2499999999999999E-3</v>
      </c>
      <c r="AC84" s="71">
        <f t="shared" si="10"/>
        <v>307.69230769230768</v>
      </c>
      <c r="AD84" s="4"/>
      <c r="AE84" s="4"/>
      <c r="AF84" s="71"/>
      <c r="AG84" s="3"/>
      <c r="AH84" s="3"/>
      <c r="AI84" s="3"/>
      <c r="AJ84" s="3"/>
      <c r="AK84" s="3"/>
      <c r="AL84" s="3"/>
    </row>
    <row r="85" spans="1:38">
      <c r="A85" s="24"/>
      <c r="B85" s="31" t="s">
        <v>113</v>
      </c>
      <c r="C85" s="8"/>
      <c r="D85" s="8"/>
      <c r="E85" s="19"/>
      <c r="F85" s="75">
        <v>2</v>
      </c>
      <c r="G85" s="65">
        <f>3.5*7</f>
        <v>24.5</v>
      </c>
      <c r="H85" s="41" t="s">
        <v>118</v>
      </c>
      <c r="J85" s="50">
        <v>4</v>
      </c>
      <c r="K85" s="17">
        <v>1.3</v>
      </c>
      <c r="L85" s="19">
        <v>9.8000000000000007</v>
      </c>
      <c r="N85" s="11">
        <v>2000</v>
      </c>
      <c r="Q85" s="52">
        <v>300</v>
      </c>
      <c r="T85" s="10">
        <v>4</v>
      </c>
      <c r="U85" s="8">
        <v>30</v>
      </c>
      <c r="V85" s="73">
        <f t="shared" si="7"/>
        <v>1.4999999999999999E-2</v>
      </c>
      <c r="W85" s="70">
        <f t="shared" si="8"/>
        <v>3.0612244897959182</v>
      </c>
      <c r="AA85" s="4"/>
      <c r="AB85" s="4">
        <f t="shared" si="9"/>
        <v>4.9000000000000007E-3</v>
      </c>
      <c r="AC85" s="71">
        <f t="shared" si="10"/>
        <v>204.08163265306121</v>
      </c>
      <c r="AD85" s="4"/>
      <c r="AE85" s="4"/>
      <c r="AF85" s="71"/>
      <c r="AG85" s="3"/>
      <c r="AH85" s="3"/>
      <c r="AI85" s="3"/>
      <c r="AJ85" s="3"/>
      <c r="AK85" s="3"/>
      <c r="AL85" s="3"/>
    </row>
    <row r="86" spans="1:38">
      <c r="B86" s="31" t="s">
        <v>114</v>
      </c>
      <c r="C86" s="8"/>
      <c r="D86" s="8"/>
      <c r="E86" s="19"/>
      <c r="F86" s="75">
        <v>3</v>
      </c>
      <c r="G86" s="65">
        <f>2.5*6</f>
        <v>15</v>
      </c>
      <c r="H86" s="41" t="s">
        <v>119</v>
      </c>
      <c r="J86" s="49">
        <v>6</v>
      </c>
      <c r="K86" s="17">
        <v>1.7</v>
      </c>
      <c r="L86" s="19">
        <v>9.5</v>
      </c>
      <c r="N86" s="11">
        <v>1100</v>
      </c>
      <c r="Q86" s="52">
        <v>300</v>
      </c>
      <c r="T86" s="10">
        <v>5.5</v>
      </c>
      <c r="U86" s="8">
        <v>30</v>
      </c>
      <c r="V86" s="73">
        <f t="shared" si="7"/>
        <v>2.7272727272727271E-2</v>
      </c>
      <c r="W86" s="70">
        <f t="shared" si="8"/>
        <v>3.1578947368421053</v>
      </c>
      <c r="AA86" s="4"/>
      <c r="AB86" s="4">
        <f t="shared" si="9"/>
        <v>8.6363636363636365E-3</v>
      </c>
      <c r="AC86" s="71">
        <f t="shared" si="10"/>
        <v>115.78947368421052</v>
      </c>
      <c r="AD86" s="4"/>
      <c r="AE86" s="4"/>
      <c r="AF86" s="71"/>
      <c r="AG86" s="3"/>
      <c r="AH86" s="3"/>
      <c r="AI86" s="3"/>
      <c r="AJ86" s="3"/>
      <c r="AK86" s="3"/>
      <c r="AL86" s="3"/>
    </row>
    <row r="87" spans="1:38">
      <c r="A87" s="24"/>
      <c r="B87" s="31" t="s">
        <v>115</v>
      </c>
      <c r="C87" s="8"/>
      <c r="D87" s="8"/>
      <c r="E87" s="19"/>
      <c r="F87" s="75">
        <v>4</v>
      </c>
      <c r="G87" s="65">
        <f>2.5*6</f>
        <v>15</v>
      </c>
      <c r="H87" s="41" t="s">
        <v>119</v>
      </c>
      <c r="J87" s="19">
        <v>8</v>
      </c>
      <c r="K87" s="17">
        <v>2</v>
      </c>
      <c r="L87" s="19">
        <v>10.5</v>
      </c>
      <c r="N87" s="11">
        <v>1100</v>
      </c>
      <c r="Q87" s="52">
        <v>300</v>
      </c>
      <c r="T87" s="10">
        <v>5.5</v>
      </c>
      <c r="U87" s="8">
        <v>30</v>
      </c>
      <c r="V87" s="73">
        <f t="shared" si="7"/>
        <v>2.7272727272727271E-2</v>
      </c>
      <c r="W87" s="70">
        <f t="shared" si="8"/>
        <v>2.8571428571428572</v>
      </c>
      <c r="AA87" s="4"/>
      <c r="AB87" s="4">
        <f t="shared" si="9"/>
        <v>9.5454545454545462E-3</v>
      </c>
      <c r="AC87" s="71">
        <f t="shared" si="10"/>
        <v>104.76190476190476</v>
      </c>
      <c r="AD87" s="4"/>
      <c r="AE87" s="4"/>
      <c r="AF87" s="71"/>
      <c r="AG87" s="3"/>
      <c r="AH87" s="3"/>
      <c r="AI87" s="3"/>
      <c r="AJ87" s="3"/>
      <c r="AK87" s="3"/>
      <c r="AL87" s="3"/>
    </row>
    <row r="88" spans="1:38">
      <c r="H88" s="41"/>
      <c r="AA88" s="4"/>
      <c r="AB88" s="4"/>
      <c r="AC88" s="71"/>
      <c r="AD88" s="4"/>
      <c r="AE88" s="4"/>
      <c r="AF88" s="71"/>
      <c r="AG88" s="3"/>
      <c r="AH88" s="3"/>
      <c r="AI88" s="3"/>
      <c r="AJ88" s="3"/>
      <c r="AK88" s="3"/>
      <c r="AL88" s="3"/>
    </row>
    <row r="89" spans="1:38">
      <c r="A89" s="24" t="s">
        <v>120</v>
      </c>
      <c r="C89" s="8"/>
      <c r="D89" s="8"/>
      <c r="E89" s="19"/>
      <c r="F89" s="75"/>
      <c r="H89" s="41"/>
      <c r="J89" s="50"/>
      <c r="K89" s="16"/>
      <c r="AA89" s="4"/>
      <c r="AB89" s="4"/>
      <c r="AC89" s="71"/>
      <c r="AD89" s="4"/>
      <c r="AE89" s="4"/>
      <c r="AF89" s="71"/>
      <c r="AG89" s="3"/>
      <c r="AH89" s="3"/>
      <c r="AI89" s="3"/>
      <c r="AJ89" s="3"/>
      <c r="AK89" s="3"/>
      <c r="AL89" s="3"/>
    </row>
    <row r="90" spans="1:38">
      <c r="B90" s="31" t="s">
        <v>121</v>
      </c>
      <c r="C90" s="8">
        <v>2400</v>
      </c>
      <c r="D90" s="8">
        <v>2350</v>
      </c>
      <c r="E90" s="19">
        <v>5000</v>
      </c>
      <c r="F90" s="75">
        <v>1</v>
      </c>
      <c r="G90" s="65">
        <f>1.2*1.8</f>
        <v>2.16</v>
      </c>
      <c r="H90" s="41" t="s">
        <v>123</v>
      </c>
      <c r="J90" s="50"/>
      <c r="K90" s="16"/>
      <c r="L90" s="19">
        <v>2</v>
      </c>
      <c r="N90" s="11">
        <v>180</v>
      </c>
      <c r="Q90" s="52">
        <v>100</v>
      </c>
      <c r="R90" s="8">
        <v>4</v>
      </c>
      <c r="Z90" s="70">
        <f>(D90*E90)/1000000/N90</f>
        <v>6.5277777777777782E-2</v>
      </c>
      <c r="AA90" s="4">
        <f>(E90*D90*C90)/1000000000/N90</f>
        <v>0.15666666666666668</v>
      </c>
      <c r="AB90" s="4">
        <f t="shared" si="9"/>
        <v>1.1111111111111112E-2</v>
      </c>
      <c r="AC90" s="71">
        <f t="shared" si="10"/>
        <v>90</v>
      </c>
      <c r="AD90" s="4">
        <f>N90/(E90*D90)*1000000</f>
        <v>15.319148936170214</v>
      </c>
      <c r="AE90" s="4">
        <f>N90/(E90*D90*C90)*1000000000</f>
        <v>6.3829787234042552</v>
      </c>
      <c r="AF90" s="71"/>
      <c r="AG90" s="3"/>
      <c r="AH90" s="3"/>
      <c r="AI90" s="3"/>
      <c r="AJ90" s="3"/>
      <c r="AK90" s="3"/>
      <c r="AL90" s="3"/>
    </row>
    <row r="91" spans="1:38">
      <c r="B91" s="31" t="s">
        <v>122</v>
      </c>
      <c r="C91" s="8">
        <v>2580</v>
      </c>
      <c r="D91" s="8">
        <v>2330</v>
      </c>
      <c r="E91" s="19">
        <v>8600</v>
      </c>
      <c r="F91" s="75">
        <v>2</v>
      </c>
      <c r="G91" s="65">
        <f>1.2*2.4</f>
        <v>2.88</v>
      </c>
      <c r="H91" s="41" t="s">
        <v>124</v>
      </c>
      <c r="J91" s="50"/>
      <c r="K91" s="16"/>
      <c r="L91" s="19">
        <v>10.5</v>
      </c>
      <c r="N91" s="11">
        <v>200</v>
      </c>
      <c r="Q91" s="52">
        <v>100</v>
      </c>
      <c r="R91" s="8">
        <v>4</v>
      </c>
      <c r="Z91" s="70">
        <f>(D91*E91)/1000000/N91</f>
        <v>0.10019</v>
      </c>
      <c r="AA91" s="4">
        <f>(E91*D91*C91)/1000000000/N91</f>
        <v>0.2584902</v>
      </c>
      <c r="AB91" s="4">
        <f t="shared" si="9"/>
        <v>5.2499999999999998E-2</v>
      </c>
      <c r="AC91" s="71">
        <f t="shared" si="10"/>
        <v>19.047619047619047</v>
      </c>
      <c r="AD91" s="4">
        <f>N91/(E91*D91)*1000000</f>
        <v>9.9810360315400732</v>
      </c>
      <c r="AE91" s="4">
        <f>N91/(E91*D91*C91)*1000000000</f>
        <v>3.868618616875998</v>
      </c>
      <c r="AF91" s="71"/>
      <c r="AG91" s="3"/>
      <c r="AH91" s="3"/>
      <c r="AI91" s="3"/>
      <c r="AJ91" s="3"/>
      <c r="AK91" s="3"/>
      <c r="AL91" s="3"/>
    </row>
    <row r="92" spans="1:38">
      <c r="C92" s="8"/>
      <c r="D92" s="8"/>
      <c r="E92" s="19"/>
      <c r="F92" s="75"/>
      <c r="H92" s="41"/>
      <c r="J92" s="50"/>
      <c r="K92" s="16"/>
      <c r="AA92" s="4"/>
      <c r="AB92" s="4"/>
      <c r="AC92" s="71"/>
      <c r="AD92" s="4"/>
      <c r="AE92" s="4"/>
      <c r="AF92" s="71"/>
      <c r="AG92" s="3"/>
      <c r="AH92" s="3"/>
      <c r="AI92" s="3"/>
      <c r="AJ92" s="3"/>
      <c r="AK92" s="3"/>
      <c r="AL92" s="3"/>
    </row>
    <row r="93" spans="1:38">
      <c r="A93" s="24" t="s">
        <v>125</v>
      </c>
      <c r="C93" s="8"/>
      <c r="D93" s="8"/>
      <c r="E93" s="19"/>
      <c r="F93" s="75"/>
      <c r="H93" s="41"/>
      <c r="J93" s="49"/>
      <c r="K93" s="13"/>
      <c r="AA93" s="4"/>
      <c r="AB93" s="4"/>
      <c r="AC93" s="71"/>
      <c r="AD93" s="4"/>
      <c r="AE93" s="4"/>
      <c r="AF93" s="71"/>
      <c r="AG93" s="3"/>
      <c r="AH93" s="3"/>
      <c r="AI93" s="3"/>
      <c r="AJ93" s="3"/>
      <c r="AK93" s="3"/>
      <c r="AL93" s="3"/>
    </row>
    <row r="94" spans="1:38">
      <c r="B94" s="31" t="s">
        <v>132</v>
      </c>
      <c r="C94" s="8"/>
      <c r="D94" s="8"/>
      <c r="E94" s="19"/>
      <c r="F94" s="75">
        <v>4</v>
      </c>
      <c r="G94" s="65">
        <f>2.83*6.1</f>
        <v>17.262999999999998</v>
      </c>
      <c r="H94" s="41" t="s">
        <v>129</v>
      </c>
      <c r="J94" s="49"/>
      <c r="K94" s="13">
        <v>3.1</v>
      </c>
      <c r="L94" s="19">
        <v>15</v>
      </c>
      <c r="N94" s="7">
        <v>1000</v>
      </c>
      <c r="Q94" s="36">
        <v>200</v>
      </c>
      <c r="R94" s="8">
        <v>2</v>
      </c>
      <c r="S94" s="36">
        <v>70</v>
      </c>
      <c r="T94" s="10">
        <v>15</v>
      </c>
      <c r="U94" s="8">
        <v>30</v>
      </c>
      <c r="V94" s="73">
        <f t="shared" si="7"/>
        <v>0.03</v>
      </c>
      <c r="W94" s="70">
        <f t="shared" si="8"/>
        <v>2</v>
      </c>
      <c r="AA94" s="4"/>
      <c r="AB94" s="4">
        <f t="shared" si="9"/>
        <v>1.4999999999999999E-2</v>
      </c>
      <c r="AC94" s="71">
        <f t="shared" si="10"/>
        <v>66.666666666666671</v>
      </c>
      <c r="AD94" s="4"/>
      <c r="AE94" s="4"/>
      <c r="AF94" s="71"/>
      <c r="AG94" s="3"/>
      <c r="AH94" s="3"/>
      <c r="AI94" s="3"/>
      <c r="AJ94" s="3"/>
      <c r="AK94" s="3"/>
      <c r="AL94" s="3"/>
    </row>
    <row r="95" spans="1:38">
      <c r="B95" s="31" t="s">
        <v>133</v>
      </c>
      <c r="C95" s="8"/>
      <c r="D95" s="8"/>
      <c r="E95" s="19"/>
      <c r="F95" s="75">
        <v>2</v>
      </c>
      <c r="G95" s="65">
        <f>2.83*6.1</f>
        <v>17.262999999999998</v>
      </c>
      <c r="H95" s="41" t="s">
        <v>129</v>
      </c>
      <c r="J95" s="49"/>
      <c r="K95" s="13">
        <v>3.1</v>
      </c>
      <c r="L95" s="19">
        <v>15</v>
      </c>
      <c r="N95" s="11">
        <v>1000</v>
      </c>
      <c r="Q95" s="36">
        <v>400</v>
      </c>
      <c r="R95" s="10">
        <v>2</v>
      </c>
      <c r="S95" s="36">
        <v>150</v>
      </c>
      <c r="T95" s="10">
        <v>15</v>
      </c>
      <c r="U95" s="8">
        <v>30</v>
      </c>
      <c r="V95" s="73">
        <f t="shared" si="7"/>
        <v>0.03</v>
      </c>
      <c r="W95" s="70">
        <f t="shared" si="8"/>
        <v>2</v>
      </c>
      <c r="AA95" s="4"/>
      <c r="AB95" s="4">
        <f t="shared" si="9"/>
        <v>1.4999999999999999E-2</v>
      </c>
      <c r="AC95" s="71">
        <f t="shared" si="10"/>
        <v>66.666666666666671</v>
      </c>
      <c r="AD95" s="4"/>
      <c r="AE95" s="4"/>
      <c r="AF95" s="71"/>
      <c r="AG95" s="3"/>
      <c r="AH95" s="3"/>
      <c r="AI95" s="3"/>
      <c r="AJ95" s="3"/>
      <c r="AK95" s="3"/>
      <c r="AL95" s="3"/>
    </row>
    <row r="96" spans="1:38">
      <c r="A96" s="24"/>
      <c r="B96" s="31" t="s">
        <v>126</v>
      </c>
      <c r="F96" s="52">
        <v>2</v>
      </c>
      <c r="G96" s="65">
        <f>3*7.3</f>
        <v>21.9</v>
      </c>
      <c r="H96" s="41" t="s">
        <v>130</v>
      </c>
      <c r="J96" s="50"/>
      <c r="K96" s="16">
        <v>4.5</v>
      </c>
      <c r="L96" s="19">
        <v>22.5</v>
      </c>
      <c r="N96" s="11">
        <v>2000</v>
      </c>
      <c r="Q96" s="36">
        <v>300</v>
      </c>
      <c r="R96" s="10">
        <v>2</v>
      </c>
      <c r="S96" s="36">
        <v>150</v>
      </c>
      <c r="T96" s="10">
        <v>15</v>
      </c>
      <c r="U96" s="8">
        <v>60</v>
      </c>
      <c r="V96" s="73">
        <f t="shared" si="7"/>
        <v>0.03</v>
      </c>
      <c r="W96" s="70">
        <f t="shared" si="8"/>
        <v>2.6666666666666665</v>
      </c>
      <c r="AA96" s="4"/>
      <c r="AB96" s="4">
        <f t="shared" si="9"/>
        <v>1.125E-2</v>
      </c>
      <c r="AC96" s="71">
        <f t="shared" si="10"/>
        <v>88.888888888888886</v>
      </c>
      <c r="AD96" s="4"/>
      <c r="AE96" s="4"/>
      <c r="AF96" s="71"/>
      <c r="AG96" s="3"/>
      <c r="AH96" s="3"/>
      <c r="AI96" s="3"/>
      <c r="AJ96" s="3"/>
      <c r="AK96" s="3"/>
      <c r="AL96" s="3"/>
    </row>
    <row r="97" spans="1:38">
      <c r="B97" s="31" t="s">
        <v>127</v>
      </c>
      <c r="C97" s="8"/>
      <c r="D97" s="8"/>
      <c r="E97" s="19"/>
      <c r="F97" s="75">
        <v>3</v>
      </c>
      <c r="G97" s="65">
        <f>2.4*7.3</f>
        <v>17.52</v>
      </c>
      <c r="H97" s="41" t="s">
        <v>131</v>
      </c>
      <c r="J97" s="49"/>
      <c r="K97" s="13">
        <v>5</v>
      </c>
      <c r="L97" s="19">
        <v>20.5</v>
      </c>
      <c r="N97" s="11">
        <v>2000</v>
      </c>
      <c r="Q97" s="36">
        <v>500</v>
      </c>
      <c r="R97" s="10">
        <v>2</v>
      </c>
      <c r="S97" s="36">
        <v>150</v>
      </c>
      <c r="T97" s="10">
        <v>15</v>
      </c>
      <c r="U97" s="8">
        <v>60</v>
      </c>
      <c r="V97" s="73">
        <f t="shared" si="7"/>
        <v>0.03</v>
      </c>
      <c r="W97" s="70">
        <f t="shared" si="8"/>
        <v>2.9268292682926829</v>
      </c>
      <c r="AA97" s="4"/>
      <c r="AB97" s="4">
        <f t="shared" si="9"/>
        <v>1.025E-2</v>
      </c>
      <c r="AC97" s="71">
        <f t="shared" si="10"/>
        <v>97.560975609756099</v>
      </c>
      <c r="AD97" s="4"/>
      <c r="AE97" s="4"/>
      <c r="AF97" s="71"/>
      <c r="AG97" s="3"/>
      <c r="AH97" s="3"/>
      <c r="AI97" s="3"/>
      <c r="AJ97" s="3"/>
      <c r="AK97" s="3"/>
      <c r="AL97" s="3"/>
    </row>
    <row r="98" spans="1:38">
      <c r="B98" s="31" t="s">
        <v>128</v>
      </c>
      <c r="C98" s="8"/>
      <c r="D98" s="8"/>
      <c r="E98" s="19"/>
      <c r="F98" s="75"/>
      <c r="G98" s="65">
        <f>2.5*7</f>
        <v>17.5</v>
      </c>
      <c r="H98" s="41" t="s">
        <v>66</v>
      </c>
      <c r="K98" s="17">
        <v>0.8</v>
      </c>
      <c r="L98" s="19">
        <v>13</v>
      </c>
      <c r="N98" s="11">
        <v>1000</v>
      </c>
      <c r="Q98" s="36">
        <v>500</v>
      </c>
      <c r="R98" s="10">
        <v>2</v>
      </c>
      <c r="S98" s="36">
        <v>150</v>
      </c>
      <c r="T98" s="10">
        <v>4</v>
      </c>
      <c r="U98" s="8">
        <v>37</v>
      </c>
      <c r="V98" s="73">
        <f t="shared" si="7"/>
        <v>3.6999999999999998E-2</v>
      </c>
      <c r="W98" s="70">
        <f t="shared" si="8"/>
        <v>2.8461538461538463</v>
      </c>
      <c r="AA98" s="4"/>
      <c r="AB98" s="4">
        <f t="shared" si="9"/>
        <v>1.2999999999999999E-2</v>
      </c>
      <c r="AC98" s="71">
        <f t="shared" si="10"/>
        <v>76.92307692307692</v>
      </c>
      <c r="AD98" s="4"/>
      <c r="AE98" s="4"/>
      <c r="AF98" s="71"/>
      <c r="AG98" s="3"/>
      <c r="AH98" s="3"/>
      <c r="AI98" s="3"/>
      <c r="AJ98" s="3"/>
      <c r="AK98" s="3"/>
      <c r="AL98" s="3"/>
    </row>
    <row r="99" spans="1:38">
      <c r="C99" s="8"/>
      <c r="D99" s="8"/>
      <c r="E99" s="19"/>
      <c r="F99" s="75"/>
      <c r="H99" s="41"/>
      <c r="J99" s="49"/>
      <c r="K99" s="13"/>
      <c r="AA99" s="4"/>
      <c r="AB99" s="4"/>
      <c r="AC99" s="71"/>
      <c r="AD99" s="4"/>
      <c r="AE99" s="4"/>
      <c r="AF99" s="71"/>
      <c r="AG99" s="3"/>
      <c r="AH99" s="3"/>
      <c r="AI99" s="3"/>
      <c r="AJ99" s="3"/>
      <c r="AK99" s="3"/>
      <c r="AL99" s="3"/>
    </row>
    <row r="100" spans="1:38">
      <c r="A100" s="24" t="s">
        <v>134</v>
      </c>
      <c r="C100" s="8">
        <v>3000</v>
      </c>
      <c r="D100" s="8">
        <v>3500</v>
      </c>
      <c r="E100" s="19">
        <v>8000</v>
      </c>
      <c r="F100" s="75">
        <v>4</v>
      </c>
      <c r="G100" s="65">
        <f>2.4*7</f>
        <v>16.8</v>
      </c>
      <c r="H100" s="41" t="s">
        <v>101</v>
      </c>
      <c r="J100" s="49"/>
      <c r="K100" s="17">
        <v>1.2</v>
      </c>
      <c r="L100" s="19">
        <v>15</v>
      </c>
      <c r="N100" s="11">
        <v>1200</v>
      </c>
      <c r="Q100" s="52">
        <v>1000</v>
      </c>
      <c r="U100" s="8">
        <v>37</v>
      </c>
      <c r="V100" s="73">
        <f t="shared" si="7"/>
        <v>3.0833333333333334E-2</v>
      </c>
      <c r="W100" s="70">
        <f t="shared" si="8"/>
        <v>2.4666666666666668</v>
      </c>
      <c r="X100">
        <f>U100/(E100*D100)*1000000</f>
        <v>1.3214285714285716</v>
      </c>
      <c r="Y100">
        <f>U100/(D100*E100*C100)*1000000000</f>
        <v>0.44047619047619047</v>
      </c>
      <c r="Z100" s="70">
        <f>(D100*E100)/1000000/N100</f>
        <v>2.3333333333333334E-2</v>
      </c>
      <c r="AA100" s="4">
        <f>(E100*D100*C100)/1000000000/N100</f>
        <v>7.0000000000000007E-2</v>
      </c>
      <c r="AB100" s="4">
        <f t="shared" si="9"/>
        <v>1.2500000000000001E-2</v>
      </c>
      <c r="AC100" s="71">
        <f t="shared" si="10"/>
        <v>80</v>
      </c>
      <c r="AD100" s="4">
        <f>N100/(E100*D100)*1000000</f>
        <v>42.857142857142854</v>
      </c>
      <c r="AE100" s="4">
        <f>N100/(E100*D100*C100)*1000000000</f>
        <v>14.285714285714286</v>
      </c>
      <c r="AF100" s="71"/>
      <c r="AG100" s="3"/>
      <c r="AH100" s="3"/>
      <c r="AI100" s="3"/>
      <c r="AJ100" s="3"/>
      <c r="AK100" s="3"/>
      <c r="AL100" s="3"/>
    </row>
    <row r="101" spans="1:38">
      <c r="C101" s="8"/>
      <c r="D101" s="8"/>
      <c r="E101" s="19"/>
      <c r="F101" s="75"/>
      <c r="H101" s="47"/>
      <c r="I101" s="13"/>
      <c r="J101" s="49"/>
      <c r="K101" s="13"/>
      <c r="AA101" s="4"/>
      <c r="AB101" s="4"/>
      <c r="AC101" s="71"/>
      <c r="AD101" s="4"/>
      <c r="AE101" s="4"/>
      <c r="AF101" s="71"/>
      <c r="AG101" s="3"/>
      <c r="AH101" s="3"/>
      <c r="AI101" s="3"/>
      <c r="AJ101" s="3"/>
      <c r="AK101" s="3"/>
      <c r="AL101" s="3"/>
    </row>
    <row r="102" spans="1:38">
      <c r="A102" s="24" t="s">
        <v>135</v>
      </c>
      <c r="C102" s="8"/>
      <c r="D102" s="8"/>
      <c r="E102" s="19"/>
      <c r="F102" s="75"/>
      <c r="H102" s="41"/>
      <c r="J102" s="49"/>
      <c r="K102" s="13"/>
      <c r="AA102" s="4"/>
      <c r="AB102" s="4"/>
      <c r="AC102" s="71"/>
      <c r="AD102" s="4"/>
      <c r="AE102" s="4"/>
      <c r="AF102" s="71"/>
      <c r="AG102" s="3"/>
      <c r="AH102" s="3"/>
      <c r="AI102" s="3"/>
      <c r="AJ102" s="3"/>
      <c r="AK102" s="3"/>
      <c r="AL102" s="3"/>
    </row>
    <row r="103" spans="1:38">
      <c r="B103" s="31" t="s">
        <v>136</v>
      </c>
      <c r="C103" s="8">
        <v>2500</v>
      </c>
      <c r="D103" s="8">
        <v>3000</v>
      </c>
      <c r="E103" s="19">
        <v>2000</v>
      </c>
      <c r="F103" s="75">
        <v>4</v>
      </c>
      <c r="G103" s="65">
        <f>1.3*6</f>
        <v>7.8000000000000007</v>
      </c>
      <c r="H103" s="41" t="s">
        <v>137</v>
      </c>
      <c r="J103" s="50"/>
      <c r="K103" s="16">
        <v>0.8</v>
      </c>
      <c r="L103" s="19">
        <v>2</v>
      </c>
      <c r="Q103" s="52">
        <v>50</v>
      </c>
      <c r="R103" s="8">
        <v>0.2</v>
      </c>
      <c r="S103" s="36">
        <v>50</v>
      </c>
      <c r="T103" s="10">
        <v>1</v>
      </c>
      <c r="U103" s="8">
        <v>7</v>
      </c>
      <c r="W103" s="70">
        <f t="shared" si="8"/>
        <v>3.5</v>
      </c>
      <c r="X103">
        <f>U103/(E103*D103)*1000000</f>
        <v>1.1666666666666665</v>
      </c>
      <c r="Y103">
        <f>U103/(D103*E103*C103)*1000000000</f>
        <v>0.46666666666666673</v>
      </c>
      <c r="AA103" s="4"/>
      <c r="AB103" s="4"/>
      <c r="AC103" s="71"/>
      <c r="AD103" s="4"/>
      <c r="AE103" s="4"/>
      <c r="AF103" s="71"/>
      <c r="AG103" s="3"/>
      <c r="AH103" s="3"/>
      <c r="AI103" s="3"/>
      <c r="AJ103" s="3"/>
      <c r="AK103" s="3"/>
      <c r="AL103" s="3"/>
    </row>
    <row r="104" spans="1:38">
      <c r="C104" s="8"/>
      <c r="D104" s="8"/>
      <c r="E104" s="19"/>
      <c r="F104" s="75"/>
      <c r="H104" s="41"/>
      <c r="J104" s="49"/>
      <c r="K104" s="13"/>
      <c r="AA104" s="4"/>
      <c r="AB104" s="4"/>
      <c r="AC104" s="71"/>
      <c r="AD104" s="4"/>
      <c r="AE104" s="4"/>
      <c r="AF104" s="71"/>
      <c r="AG104" s="3"/>
      <c r="AH104" s="3"/>
      <c r="AI104" s="3"/>
      <c r="AJ104" s="3"/>
      <c r="AK104" s="3"/>
      <c r="AL104" s="3"/>
    </row>
    <row r="105" spans="1:38">
      <c r="A105" s="24" t="s">
        <v>18</v>
      </c>
      <c r="C105" s="8"/>
      <c r="D105" s="8"/>
      <c r="E105" s="19"/>
      <c r="F105" s="75"/>
      <c r="H105" s="41"/>
      <c r="J105" s="49"/>
      <c r="K105" s="13"/>
      <c r="AA105" s="4"/>
      <c r="AB105" s="4"/>
      <c r="AC105" s="71"/>
      <c r="AD105" s="4"/>
      <c r="AE105" s="4"/>
      <c r="AF105" s="71"/>
      <c r="AG105" s="3"/>
      <c r="AH105" s="3"/>
      <c r="AI105" s="3"/>
      <c r="AJ105" s="3"/>
      <c r="AK105" s="3"/>
      <c r="AL105" s="3"/>
    </row>
    <row r="106" spans="1:38">
      <c r="A106" s="22" t="s">
        <v>138</v>
      </c>
      <c r="C106" s="8"/>
      <c r="D106" s="8"/>
      <c r="E106" s="19"/>
      <c r="F106" s="75"/>
      <c r="H106" s="41"/>
      <c r="J106" s="49"/>
      <c r="K106" s="13"/>
      <c r="AA106" s="4"/>
      <c r="AB106" s="4"/>
      <c r="AC106" s="71"/>
      <c r="AD106" s="4"/>
      <c r="AE106" s="4"/>
      <c r="AF106" s="71"/>
      <c r="AG106" s="3"/>
      <c r="AH106" s="3"/>
      <c r="AI106" s="3"/>
      <c r="AJ106" s="3"/>
      <c r="AK106" s="3"/>
      <c r="AL106" s="3"/>
    </row>
    <row r="107" spans="1:38">
      <c r="A107" s="24"/>
      <c r="B107" s="31" t="s">
        <v>139</v>
      </c>
      <c r="C107" s="8"/>
      <c r="D107" s="8"/>
      <c r="E107" s="19"/>
      <c r="F107" s="75">
        <v>2</v>
      </c>
      <c r="G107" s="65">
        <f>1.5*3.6</f>
        <v>5.4</v>
      </c>
      <c r="H107" s="41" t="s">
        <v>142</v>
      </c>
      <c r="J107" s="49">
        <v>5.4</v>
      </c>
      <c r="K107" s="13"/>
      <c r="N107" s="7">
        <v>100</v>
      </c>
      <c r="Q107" s="52">
        <v>100</v>
      </c>
      <c r="S107" s="36">
        <v>100</v>
      </c>
      <c r="AA107" s="4"/>
      <c r="AB107" s="4"/>
      <c r="AC107" s="71"/>
      <c r="AD107" s="4"/>
      <c r="AE107" s="4"/>
      <c r="AF107" s="71"/>
      <c r="AG107" s="3"/>
      <c r="AH107" s="3"/>
      <c r="AI107" s="3"/>
      <c r="AJ107" s="3"/>
      <c r="AK107" s="3"/>
      <c r="AL107" s="3"/>
    </row>
    <row r="108" spans="1:38">
      <c r="A108" s="27"/>
      <c r="B108" s="31" t="s">
        <v>140</v>
      </c>
      <c r="C108" s="8"/>
      <c r="D108" s="8"/>
      <c r="E108" s="19"/>
      <c r="F108" s="75">
        <v>3</v>
      </c>
      <c r="G108" s="65">
        <f>1.5*3.6</f>
        <v>5.4</v>
      </c>
      <c r="H108" s="41" t="s">
        <v>142</v>
      </c>
      <c r="J108" s="49">
        <v>5.4</v>
      </c>
      <c r="K108" s="13"/>
      <c r="L108" s="19">
        <v>20</v>
      </c>
      <c r="N108" s="7">
        <v>100</v>
      </c>
      <c r="Q108" s="52">
        <v>100</v>
      </c>
      <c r="S108" s="36">
        <v>100</v>
      </c>
      <c r="U108" s="8">
        <v>44</v>
      </c>
      <c r="V108" s="73">
        <f t="shared" si="7"/>
        <v>0.44</v>
      </c>
      <c r="W108" s="70">
        <f t="shared" si="8"/>
        <v>2.2000000000000002</v>
      </c>
      <c r="AA108" s="4"/>
      <c r="AB108" s="4">
        <f t="shared" si="9"/>
        <v>0.2</v>
      </c>
      <c r="AC108" s="71">
        <f t="shared" si="10"/>
        <v>5</v>
      </c>
      <c r="AD108" s="4"/>
      <c r="AE108" s="4"/>
      <c r="AF108" s="71"/>
      <c r="AG108" s="3"/>
      <c r="AH108" s="3"/>
      <c r="AI108" s="3"/>
      <c r="AJ108" s="3"/>
      <c r="AK108" s="3"/>
      <c r="AL108" s="3"/>
    </row>
    <row r="109" spans="1:38">
      <c r="B109" s="31" t="s">
        <v>141</v>
      </c>
      <c r="C109" s="8"/>
      <c r="D109" s="8"/>
      <c r="E109" s="19"/>
      <c r="F109" s="75">
        <v>3</v>
      </c>
      <c r="G109" s="65">
        <f>1.8*6</f>
        <v>10.8</v>
      </c>
      <c r="H109" s="41" t="s">
        <v>143</v>
      </c>
      <c r="J109" s="49">
        <v>10.8</v>
      </c>
      <c r="K109" s="13"/>
      <c r="L109" s="19">
        <v>35</v>
      </c>
      <c r="N109" s="7">
        <v>250</v>
      </c>
      <c r="U109" s="8">
        <v>62.8</v>
      </c>
      <c r="V109" s="73">
        <f t="shared" si="7"/>
        <v>0.25119999999999998</v>
      </c>
      <c r="W109" s="70">
        <f t="shared" si="8"/>
        <v>1.7942857142857143</v>
      </c>
      <c r="AA109" s="4"/>
      <c r="AB109" s="4">
        <f t="shared" si="9"/>
        <v>0.14000000000000001</v>
      </c>
      <c r="AC109" s="71">
        <f t="shared" si="10"/>
        <v>7.1428571428571432</v>
      </c>
      <c r="AD109" s="4"/>
      <c r="AE109" s="4"/>
      <c r="AF109" s="71"/>
      <c r="AG109" s="3"/>
      <c r="AH109" s="3"/>
      <c r="AI109" s="3"/>
      <c r="AJ109" s="3"/>
      <c r="AK109" s="3"/>
      <c r="AL109" s="3"/>
    </row>
    <row r="110" spans="1:38">
      <c r="C110" s="8"/>
      <c r="D110" s="8"/>
      <c r="E110" s="19"/>
      <c r="F110" s="75"/>
      <c r="H110" s="41"/>
      <c r="J110" s="49"/>
      <c r="K110" s="13"/>
      <c r="AA110" s="4"/>
      <c r="AB110" s="4"/>
      <c r="AC110" s="71"/>
      <c r="AD110" s="4"/>
      <c r="AE110" s="4"/>
      <c r="AF110" s="71"/>
      <c r="AG110" s="3"/>
      <c r="AH110" s="3"/>
      <c r="AI110" s="3"/>
      <c r="AJ110" s="3"/>
      <c r="AK110" s="3"/>
      <c r="AL110" s="3"/>
    </row>
    <row r="111" spans="1:38">
      <c r="A111" s="24" t="s">
        <v>144</v>
      </c>
      <c r="C111" s="8"/>
      <c r="D111" s="8"/>
      <c r="E111" s="19"/>
      <c r="F111" s="75"/>
      <c r="H111" s="41"/>
      <c r="J111" s="49"/>
      <c r="K111" s="13"/>
      <c r="AA111" s="4"/>
      <c r="AB111" s="4"/>
      <c r="AC111" s="71"/>
      <c r="AD111" s="4"/>
      <c r="AE111" s="4"/>
      <c r="AF111" s="71"/>
      <c r="AG111" s="3"/>
      <c r="AH111" s="3"/>
      <c r="AI111" s="3"/>
      <c r="AJ111" s="3"/>
      <c r="AK111" s="3"/>
      <c r="AL111" s="3"/>
    </row>
    <row r="112" spans="1:38">
      <c r="A112" s="22" t="s">
        <v>145</v>
      </c>
      <c r="C112" s="8">
        <v>1500</v>
      </c>
      <c r="D112" s="8">
        <v>2200</v>
      </c>
      <c r="E112" s="19">
        <v>3800</v>
      </c>
      <c r="F112" s="75">
        <v>2</v>
      </c>
      <c r="G112" s="65">
        <f>1.5*3</f>
        <v>4.5</v>
      </c>
      <c r="H112" s="41" t="s">
        <v>98</v>
      </c>
      <c r="J112" s="49"/>
      <c r="K112" s="13"/>
      <c r="L112" s="19">
        <v>3</v>
      </c>
      <c r="N112" s="11">
        <v>100</v>
      </c>
      <c r="Q112" s="52">
        <v>80</v>
      </c>
      <c r="R112" s="8">
        <v>5</v>
      </c>
      <c r="S112" s="36">
        <v>50</v>
      </c>
      <c r="U112" s="8">
        <v>10</v>
      </c>
      <c r="V112" s="73">
        <f t="shared" si="7"/>
        <v>0.1</v>
      </c>
      <c r="W112" s="70">
        <f t="shared" si="8"/>
        <v>3.3333333333333335</v>
      </c>
      <c r="X112">
        <f>U112/(E112*D112)*1000000</f>
        <v>1.1961722488038278</v>
      </c>
      <c r="Y112">
        <f>U112/(D112*E112*C112)*1000000000</f>
        <v>0.79744816586921852</v>
      </c>
      <c r="Z112" s="70">
        <f>(D112*E112)/1000000/N112</f>
        <v>8.3599999999999994E-2</v>
      </c>
      <c r="AA112" s="4">
        <f>(E112*D112*C112)/1000000000/N112</f>
        <v>0.12539999999999998</v>
      </c>
      <c r="AB112" s="4">
        <f t="shared" si="9"/>
        <v>0.03</v>
      </c>
      <c r="AC112" s="71">
        <f t="shared" si="10"/>
        <v>33.333333333333336</v>
      </c>
      <c r="AD112" s="4">
        <f>N112/(E112*D112)*1000000</f>
        <v>11.961722488038278</v>
      </c>
      <c r="AE112" s="4">
        <f>N112/(E112*D112*C112)*1000000000</f>
        <v>7.9744816586921852</v>
      </c>
      <c r="AF112" s="71"/>
      <c r="AG112" s="3"/>
      <c r="AH112" s="3"/>
      <c r="AI112" s="3"/>
      <c r="AJ112" s="3"/>
      <c r="AK112" s="3"/>
      <c r="AL112" s="3"/>
    </row>
    <row r="113" spans="1:38">
      <c r="A113" s="24"/>
      <c r="C113" s="8">
        <v>3200</v>
      </c>
      <c r="D113" s="8">
        <v>2300</v>
      </c>
      <c r="E113" s="19">
        <v>5000</v>
      </c>
      <c r="F113" s="75">
        <v>3</v>
      </c>
      <c r="G113" s="65">
        <f>1.6*4.5</f>
        <v>7.2</v>
      </c>
      <c r="H113" s="41" t="s">
        <v>146</v>
      </c>
      <c r="J113" s="49"/>
      <c r="K113" s="13"/>
      <c r="L113" s="19">
        <v>5</v>
      </c>
      <c r="N113" s="11">
        <v>86</v>
      </c>
      <c r="Q113" s="52">
        <v>400</v>
      </c>
      <c r="R113" s="8">
        <v>24</v>
      </c>
      <c r="S113" s="36">
        <v>60</v>
      </c>
      <c r="U113" s="8">
        <v>12</v>
      </c>
      <c r="V113" s="73">
        <f t="shared" si="7"/>
        <v>0.13953488372093023</v>
      </c>
      <c r="W113" s="70">
        <f t="shared" si="8"/>
        <v>2.4</v>
      </c>
      <c r="X113">
        <f>U113/(E113*D113)*1000000</f>
        <v>1.0434782608695652</v>
      </c>
      <c r="Y113">
        <f>U113/(D113*E113*C113)*1000000000</f>
        <v>0.32608695652173914</v>
      </c>
      <c r="Z113" s="70">
        <f>(D113*E113)/1000000/N113</f>
        <v>0.13372093023255813</v>
      </c>
      <c r="AA113" s="4">
        <f>(E113*D113*C113)/1000000000/N113</f>
        <v>0.42790697674418604</v>
      </c>
      <c r="AB113" s="4">
        <f t="shared" si="9"/>
        <v>5.8139534883720929E-2</v>
      </c>
      <c r="AC113" s="71">
        <f t="shared" si="10"/>
        <v>17.2</v>
      </c>
      <c r="AD113" s="4">
        <f>N113/(E113*D113)*1000000</f>
        <v>7.4782608695652177</v>
      </c>
      <c r="AE113" s="4">
        <f>N113/(E113*D113*C113)*1000000000</f>
        <v>2.3369565217391304</v>
      </c>
      <c r="AF113" s="71"/>
      <c r="AG113" s="3"/>
      <c r="AH113" s="3"/>
      <c r="AI113" s="3"/>
      <c r="AJ113" s="3"/>
      <c r="AK113" s="3"/>
      <c r="AL113" s="3"/>
    </row>
    <row r="114" spans="1:38">
      <c r="A114" s="24"/>
      <c r="C114" s="8">
        <v>3200</v>
      </c>
      <c r="D114" s="8">
        <v>2500</v>
      </c>
      <c r="E114" s="19">
        <v>5000</v>
      </c>
      <c r="F114" s="75">
        <v>2</v>
      </c>
      <c r="G114" s="65">
        <f>1.8*4.5</f>
        <v>8.1</v>
      </c>
      <c r="H114" s="40" t="s">
        <v>147</v>
      </c>
      <c r="J114" s="49"/>
      <c r="K114" s="13"/>
      <c r="L114" s="19">
        <v>5.5</v>
      </c>
      <c r="N114" s="11">
        <v>200</v>
      </c>
      <c r="Q114" s="52">
        <v>45</v>
      </c>
      <c r="R114" s="8">
        <v>2</v>
      </c>
      <c r="S114" s="36">
        <v>32</v>
      </c>
      <c r="U114" s="8">
        <v>15</v>
      </c>
      <c r="V114" s="73">
        <f t="shared" si="7"/>
        <v>7.4999999999999997E-2</v>
      </c>
      <c r="W114" s="70">
        <f t="shared" si="8"/>
        <v>2.7272727272727271</v>
      </c>
      <c r="X114">
        <f>U114/(E114*D114)*1000000</f>
        <v>1.2</v>
      </c>
      <c r="Y114">
        <f>U114/(D114*E114*C114)*1000000000</f>
        <v>0.375</v>
      </c>
      <c r="Z114" s="70">
        <f>(D114*E114)/1000000/N114</f>
        <v>6.25E-2</v>
      </c>
      <c r="AA114" s="4">
        <f>(E114*D114*C114)/1000000000/N114</f>
        <v>0.2</v>
      </c>
      <c r="AB114" s="4">
        <f t="shared" si="9"/>
        <v>2.75E-2</v>
      </c>
      <c r="AC114" s="71">
        <f t="shared" si="10"/>
        <v>36.363636363636367</v>
      </c>
      <c r="AD114" s="4">
        <f>N114/(E114*D114)*1000000</f>
        <v>16</v>
      </c>
      <c r="AE114" s="4">
        <f>N114/(E114*D114*C114)*1000000000</f>
        <v>5</v>
      </c>
      <c r="AF114" s="71"/>
      <c r="AG114" s="3"/>
      <c r="AH114" s="3"/>
      <c r="AI114" s="3"/>
      <c r="AJ114" s="3"/>
      <c r="AK114" s="3"/>
      <c r="AL114" s="3"/>
    </row>
    <row r="115" spans="1:38">
      <c r="C115" s="10">
        <v>3000</v>
      </c>
      <c r="D115" s="10">
        <v>2500</v>
      </c>
      <c r="E115" s="19">
        <v>5500</v>
      </c>
      <c r="F115" s="75">
        <v>2.5</v>
      </c>
      <c r="G115" s="65">
        <f>1.8*5</f>
        <v>9</v>
      </c>
      <c r="H115" s="46" t="s">
        <v>148</v>
      </c>
      <c r="J115" s="49"/>
      <c r="K115" s="13"/>
      <c r="L115" s="19">
        <v>6.5</v>
      </c>
      <c r="N115" s="11">
        <v>140</v>
      </c>
      <c r="Q115" s="52">
        <v>32</v>
      </c>
      <c r="R115" s="10">
        <v>2</v>
      </c>
      <c r="S115" s="36">
        <v>16</v>
      </c>
      <c r="U115" s="8">
        <v>5.2</v>
      </c>
      <c r="V115" s="73">
        <f t="shared" si="7"/>
        <v>3.7142857142857144E-2</v>
      </c>
      <c r="W115" s="70">
        <f t="shared" si="8"/>
        <v>0.8</v>
      </c>
      <c r="X115">
        <f>U115/(E115*D115)*1000000</f>
        <v>0.37818181818181823</v>
      </c>
      <c r="Y115">
        <f>U115/(D115*E115*C115)*1000000000</f>
        <v>0.12606060606060604</v>
      </c>
      <c r="Z115" s="70">
        <f>(D115*E115)/1000000/N115</f>
        <v>9.8214285714285712E-2</v>
      </c>
      <c r="AA115" s="4">
        <f>(E115*D115*C115)/1000000000/N115</f>
        <v>0.29464285714285715</v>
      </c>
      <c r="AB115" s="4">
        <f t="shared" si="9"/>
        <v>4.642857142857143E-2</v>
      </c>
      <c r="AC115" s="71">
        <f t="shared" si="10"/>
        <v>21.53846153846154</v>
      </c>
      <c r="AD115" s="4">
        <f>N115/(E115*D115)*1000000</f>
        <v>10.181818181818182</v>
      </c>
      <c r="AE115" s="4">
        <f>N115/(E115*D115*C115)*1000000000</f>
        <v>3.393939393939394</v>
      </c>
      <c r="AF115" s="71"/>
      <c r="AG115" s="3"/>
      <c r="AH115" s="3"/>
      <c r="AI115" s="3"/>
      <c r="AJ115" s="3"/>
      <c r="AK115" s="3"/>
      <c r="AL115" s="3"/>
    </row>
    <row r="116" spans="1:38">
      <c r="A116" s="24"/>
      <c r="C116" s="10">
        <v>1300</v>
      </c>
      <c r="D116" s="10">
        <v>1800</v>
      </c>
      <c r="E116" s="19">
        <v>2500</v>
      </c>
      <c r="F116" s="75">
        <v>1</v>
      </c>
      <c r="G116" s="65">
        <f>12.5*2</f>
        <v>25</v>
      </c>
      <c r="H116" s="46" t="s">
        <v>149</v>
      </c>
      <c r="J116" s="49"/>
      <c r="K116" s="13"/>
      <c r="L116" s="19">
        <v>2</v>
      </c>
      <c r="N116" s="11">
        <v>20</v>
      </c>
      <c r="Q116" s="52">
        <v>30</v>
      </c>
      <c r="S116" s="36">
        <v>10</v>
      </c>
      <c r="U116" s="8">
        <v>7.5</v>
      </c>
      <c r="V116" s="73">
        <f t="shared" si="7"/>
        <v>0.375</v>
      </c>
      <c r="W116" s="70">
        <f t="shared" si="8"/>
        <v>3.75</v>
      </c>
      <c r="X116">
        <f>U116/(E116*D116)*1000000</f>
        <v>1.6666666666666667</v>
      </c>
      <c r="Y116">
        <f>U116/(D116*E116*C116)*1000000000</f>
        <v>1.2820512820512819</v>
      </c>
      <c r="Z116" s="70">
        <f>(D116*E116)/1000000/N116</f>
        <v>0.22500000000000001</v>
      </c>
      <c r="AA116" s="4">
        <f>(E116*D116*C116)/1000000000/N116</f>
        <v>0.29249999999999998</v>
      </c>
      <c r="AB116" s="4">
        <f t="shared" si="9"/>
        <v>0.1</v>
      </c>
      <c r="AC116" s="71">
        <f t="shared" si="10"/>
        <v>10</v>
      </c>
      <c r="AD116" s="4">
        <f>N116/(E116*D116)*1000000</f>
        <v>4.4444444444444438</v>
      </c>
      <c r="AE116" s="4">
        <f>N116/(E116*D116*C116)*1000000000</f>
        <v>3.4188034188034191</v>
      </c>
      <c r="AF116" s="71"/>
      <c r="AG116" s="3"/>
      <c r="AH116" s="3"/>
      <c r="AI116" s="3"/>
      <c r="AJ116" s="3"/>
      <c r="AK116" s="3"/>
      <c r="AL116" s="3"/>
    </row>
    <row r="117" spans="1:38">
      <c r="A117" s="24"/>
      <c r="C117" s="8"/>
      <c r="D117" s="8"/>
      <c r="E117" s="19"/>
      <c r="F117" s="75"/>
      <c r="H117" s="46"/>
      <c r="J117" s="49"/>
      <c r="K117" s="13"/>
      <c r="AA117" s="4"/>
      <c r="AB117" s="4"/>
      <c r="AC117" s="71"/>
      <c r="AD117" s="4"/>
      <c r="AE117" s="4"/>
      <c r="AF117" s="71"/>
      <c r="AG117" s="3"/>
      <c r="AH117" s="3"/>
      <c r="AI117" s="3"/>
      <c r="AJ117" s="3"/>
      <c r="AK117" s="3"/>
      <c r="AL117" s="3"/>
    </row>
    <row r="118" spans="1:38">
      <c r="A118" s="24" t="s">
        <v>150</v>
      </c>
      <c r="C118" s="8"/>
      <c r="D118" s="8"/>
      <c r="E118" s="19"/>
      <c r="F118" s="75"/>
      <c r="H118" s="46"/>
      <c r="J118" s="49"/>
      <c r="K118" s="13"/>
      <c r="AA118" s="4"/>
      <c r="AB118" s="4"/>
      <c r="AC118" s="71"/>
      <c r="AD118" s="4"/>
      <c r="AE118" s="4"/>
      <c r="AF118" s="71"/>
      <c r="AG118" s="3"/>
      <c r="AH118" s="3"/>
      <c r="AI118" s="3"/>
      <c r="AJ118" s="3"/>
      <c r="AK118" s="3"/>
      <c r="AL118" s="3"/>
    </row>
    <row r="119" spans="1:38">
      <c r="B119" s="31" t="s">
        <v>151</v>
      </c>
      <c r="C119" s="10">
        <v>3177</v>
      </c>
      <c r="D119" s="10">
        <v>1500</v>
      </c>
      <c r="E119" s="19">
        <v>4000</v>
      </c>
      <c r="F119" s="75">
        <v>2</v>
      </c>
      <c r="H119" s="46"/>
      <c r="I119" s="10">
        <v>4.3</v>
      </c>
      <c r="J119" s="50">
        <v>6</v>
      </c>
      <c r="K119" s="17">
        <v>4.33</v>
      </c>
      <c r="L119" s="19">
        <v>9.41</v>
      </c>
      <c r="Q119" s="52">
        <v>1200</v>
      </c>
      <c r="T119" s="10">
        <v>18.5</v>
      </c>
      <c r="U119" s="8">
        <v>22</v>
      </c>
      <c r="W119" s="70">
        <f t="shared" si="8"/>
        <v>2.3379383634431457</v>
      </c>
      <c r="X119">
        <f>U119/(E119*D119)*1000000</f>
        <v>3.6666666666666665</v>
      </c>
      <c r="Y119">
        <f>U119/(D119*E119*C119)*1000000000</f>
        <v>1.1541286328821738</v>
      </c>
      <c r="AA119" s="4"/>
      <c r="AB119" s="4"/>
      <c r="AC119" s="71"/>
      <c r="AD119" s="4"/>
      <c r="AE119" s="4"/>
      <c r="AF119" s="71"/>
      <c r="AG119" s="3"/>
      <c r="AH119" s="3"/>
      <c r="AI119" s="3"/>
      <c r="AJ119" s="3"/>
      <c r="AK119" s="3"/>
      <c r="AL119" s="3"/>
    </row>
    <row r="120" spans="1:38">
      <c r="B120" s="31" t="s">
        <v>152</v>
      </c>
      <c r="C120" s="10">
        <v>4565</v>
      </c>
      <c r="D120" s="10">
        <v>2400</v>
      </c>
      <c r="E120" s="19">
        <v>6000</v>
      </c>
      <c r="F120" s="75">
        <v>3</v>
      </c>
      <c r="H120" s="46"/>
      <c r="I120" s="10">
        <v>4.3</v>
      </c>
      <c r="J120" s="49">
        <v>14.4</v>
      </c>
      <c r="K120" s="17">
        <v>3.48</v>
      </c>
      <c r="L120" s="19">
        <v>10.5</v>
      </c>
      <c r="Q120" s="52">
        <v>400</v>
      </c>
      <c r="R120" s="8">
        <v>22</v>
      </c>
      <c r="S120" s="36">
        <v>140</v>
      </c>
      <c r="T120" s="10">
        <v>11</v>
      </c>
      <c r="U120" s="8">
        <v>60</v>
      </c>
      <c r="W120" s="70">
        <f t="shared" si="8"/>
        <v>5.7142857142857144</v>
      </c>
      <c r="X120">
        <f>U120/(E120*D120)*1000000</f>
        <v>4.166666666666667</v>
      </c>
      <c r="Y120">
        <f>U120/(D120*E120*C120)*1000000000</f>
        <v>0.91274187659729822</v>
      </c>
      <c r="AA120" s="4"/>
      <c r="AB120" s="4"/>
      <c r="AC120" s="71"/>
      <c r="AD120" s="4"/>
      <c r="AE120" s="4"/>
      <c r="AF120" s="71"/>
      <c r="AG120" s="3"/>
      <c r="AH120" s="3"/>
      <c r="AI120" s="3"/>
      <c r="AJ120" s="3"/>
      <c r="AK120" s="3"/>
      <c r="AL120" s="3"/>
    </row>
    <row r="121" spans="1:38">
      <c r="A121" s="25"/>
      <c r="B121" s="33" t="s">
        <v>153</v>
      </c>
      <c r="C121" s="10">
        <v>5580</v>
      </c>
      <c r="D121" s="10">
        <v>2700</v>
      </c>
      <c r="E121" s="19">
        <v>8000</v>
      </c>
      <c r="F121" s="75">
        <v>4</v>
      </c>
      <c r="H121" s="48"/>
      <c r="I121" s="10">
        <v>2.7</v>
      </c>
      <c r="J121" s="39">
        <v>21.6</v>
      </c>
      <c r="K121" s="17">
        <v>1.7</v>
      </c>
      <c r="L121" s="19">
        <v>19.440000000000001</v>
      </c>
      <c r="M121" s="11"/>
      <c r="N121" s="11"/>
      <c r="Q121" s="54">
        <v>150</v>
      </c>
      <c r="R121" s="10">
        <v>2</v>
      </c>
      <c r="S121" s="42">
        <v>80</v>
      </c>
      <c r="T121" s="10">
        <v>5.5</v>
      </c>
      <c r="U121" s="8">
        <v>60</v>
      </c>
      <c r="W121" s="70">
        <f t="shared" si="8"/>
        <v>3.0864197530864197</v>
      </c>
      <c r="X121">
        <f>U121/(E121*D121)*1000000</f>
        <v>2.7777777777777781</v>
      </c>
      <c r="Y121">
        <f>U121/(D121*E121*C121)*1000000000</f>
        <v>0.4978096375945838</v>
      </c>
      <c r="AA121" s="4"/>
      <c r="AB121" s="4"/>
      <c r="AC121" s="71"/>
      <c r="AD121" s="4"/>
      <c r="AE121" s="4"/>
      <c r="AF121" s="71"/>
      <c r="AG121" s="3"/>
      <c r="AH121" s="3"/>
      <c r="AI121" s="3"/>
      <c r="AJ121" s="3"/>
      <c r="AK121" s="3"/>
      <c r="AL121" s="3"/>
    </row>
    <row r="122" spans="1:38">
      <c r="A122" s="29"/>
      <c r="B122" s="33" t="s">
        <v>154</v>
      </c>
      <c r="C122" s="10">
        <v>2555</v>
      </c>
      <c r="D122" s="10">
        <v>2420</v>
      </c>
      <c r="E122" s="19">
        <v>7000</v>
      </c>
      <c r="F122" s="75">
        <v>3</v>
      </c>
      <c r="H122" s="48"/>
      <c r="I122" s="10">
        <v>3</v>
      </c>
      <c r="J122" s="39">
        <v>16.8</v>
      </c>
      <c r="K122" s="17">
        <v>1.63</v>
      </c>
      <c r="L122" s="19">
        <v>11.55</v>
      </c>
      <c r="M122" s="11"/>
      <c r="N122" s="11"/>
      <c r="Q122" s="54">
        <v>300</v>
      </c>
      <c r="R122" s="10">
        <v>2</v>
      </c>
      <c r="S122" s="42">
        <v>140</v>
      </c>
      <c r="T122" s="10">
        <v>5.5</v>
      </c>
      <c r="U122" s="8">
        <v>30</v>
      </c>
      <c r="W122" s="70">
        <f t="shared" si="8"/>
        <v>2.5974025974025974</v>
      </c>
      <c r="X122">
        <f>U122/(E122*D122)*1000000</f>
        <v>1.7709563164108617</v>
      </c>
      <c r="Y122">
        <f>U122/(D122*E122*C122)*1000000000</f>
        <v>0.69313358763634514</v>
      </c>
      <c r="AA122" s="4"/>
      <c r="AB122" s="4"/>
      <c r="AC122" s="71"/>
      <c r="AD122" s="4"/>
      <c r="AE122" s="4"/>
      <c r="AF122" s="71"/>
      <c r="AG122" s="3"/>
      <c r="AH122" s="3"/>
      <c r="AI122" s="3"/>
      <c r="AJ122" s="3"/>
      <c r="AK122" s="3"/>
      <c r="AL122" s="3"/>
    </row>
    <row r="123" spans="1:38">
      <c r="A123" s="25"/>
      <c r="B123" s="33"/>
      <c r="C123" s="8"/>
      <c r="D123" s="8"/>
      <c r="E123" s="19"/>
      <c r="F123" s="75"/>
      <c r="H123" s="48"/>
      <c r="I123" s="10"/>
      <c r="J123" s="39"/>
      <c r="K123" s="17"/>
      <c r="M123" s="11"/>
      <c r="N123" s="11"/>
      <c r="Q123" s="54"/>
      <c r="R123" s="10"/>
      <c r="S123" s="42"/>
      <c r="AA123" s="4"/>
      <c r="AB123" s="4"/>
      <c r="AC123" s="71"/>
      <c r="AD123" s="4"/>
      <c r="AE123" s="4"/>
      <c r="AF123" s="71"/>
      <c r="AG123" s="3"/>
      <c r="AH123" s="3"/>
      <c r="AI123" s="3"/>
      <c r="AJ123" s="3"/>
      <c r="AK123" s="3"/>
      <c r="AL123" s="3"/>
    </row>
    <row r="124" spans="1:38">
      <c r="A124" s="29" t="s">
        <v>155</v>
      </c>
      <c r="B124" s="33"/>
      <c r="C124" s="10">
        <v>1300</v>
      </c>
      <c r="D124" s="10">
        <v>1620</v>
      </c>
      <c r="E124" s="19">
        <v>2700</v>
      </c>
      <c r="F124" s="75">
        <v>1</v>
      </c>
      <c r="G124" s="65">
        <f>0.9*2</f>
        <v>1.8</v>
      </c>
      <c r="H124" s="48" t="s">
        <v>156</v>
      </c>
      <c r="I124" s="10">
        <v>1.8</v>
      </c>
      <c r="J124" s="39"/>
      <c r="K124" s="17"/>
      <c r="M124" s="11"/>
      <c r="N124" s="11"/>
      <c r="Q124" s="54">
        <v>150</v>
      </c>
      <c r="R124" s="10"/>
      <c r="S124" s="42"/>
      <c r="T124" s="10"/>
      <c r="AA124" s="4"/>
      <c r="AB124" s="4"/>
      <c r="AC124" s="71"/>
      <c r="AD124" s="4"/>
      <c r="AE124" s="4"/>
      <c r="AF124" s="71"/>
      <c r="AG124" s="3"/>
      <c r="AH124" s="3"/>
      <c r="AI124" s="3"/>
      <c r="AJ124" s="3"/>
      <c r="AK124" s="3"/>
      <c r="AL124" s="3"/>
    </row>
    <row r="125" spans="1:38">
      <c r="C125" s="10">
        <v>2350</v>
      </c>
      <c r="D125" s="10">
        <v>1920</v>
      </c>
      <c r="E125" s="19">
        <v>3700</v>
      </c>
      <c r="F125" s="75">
        <v>2.5</v>
      </c>
      <c r="G125" s="65">
        <f>1.2*3</f>
        <v>3.5999999999999996</v>
      </c>
      <c r="H125" s="46" t="s">
        <v>70</v>
      </c>
      <c r="I125" s="10">
        <v>3.6</v>
      </c>
      <c r="J125" s="39"/>
      <c r="K125" s="17"/>
      <c r="N125" s="11"/>
      <c r="Q125" s="54">
        <v>150</v>
      </c>
      <c r="R125" s="10"/>
      <c r="S125" s="42"/>
      <c r="T125" s="10"/>
      <c r="AA125" s="4"/>
      <c r="AB125" s="4"/>
      <c r="AC125" s="71"/>
      <c r="AD125" s="4"/>
      <c r="AE125" s="4"/>
      <c r="AF125" s="71"/>
      <c r="AG125" s="3"/>
      <c r="AH125" s="3"/>
      <c r="AI125" s="3"/>
      <c r="AJ125" s="3"/>
      <c r="AK125" s="3"/>
      <c r="AL125" s="3"/>
    </row>
    <row r="126" spans="1:38">
      <c r="A126" s="24"/>
      <c r="C126" s="10">
        <v>2600</v>
      </c>
      <c r="D126" s="10">
        <v>1920</v>
      </c>
      <c r="E126" s="19">
        <v>4700</v>
      </c>
      <c r="F126" s="75">
        <v>2.5</v>
      </c>
      <c r="G126" s="65">
        <f>1.2*4</f>
        <v>4.8</v>
      </c>
      <c r="H126" s="46" t="s">
        <v>157</v>
      </c>
      <c r="I126" s="10">
        <v>4.8</v>
      </c>
      <c r="J126" s="39"/>
      <c r="K126" s="17"/>
      <c r="N126" s="11"/>
      <c r="Q126" s="54">
        <v>150</v>
      </c>
      <c r="R126" s="10"/>
      <c r="S126" s="42"/>
      <c r="T126" s="10"/>
      <c r="AA126" s="4"/>
      <c r="AB126" s="4"/>
      <c r="AC126" s="71"/>
      <c r="AD126" s="4"/>
      <c r="AE126" s="4"/>
      <c r="AF126" s="71"/>
      <c r="AG126" s="3"/>
      <c r="AH126" s="3"/>
      <c r="AI126" s="3"/>
      <c r="AJ126" s="3"/>
      <c r="AK126" s="3"/>
      <c r="AL126" s="3"/>
    </row>
    <row r="127" spans="1:38">
      <c r="C127" s="10">
        <v>2600</v>
      </c>
      <c r="D127" s="10">
        <v>2220</v>
      </c>
      <c r="E127" s="19">
        <v>4700</v>
      </c>
      <c r="F127" s="75">
        <v>2.5</v>
      </c>
      <c r="G127" s="65">
        <f>1.5*4</f>
        <v>6</v>
      </c>
      <c r="H127" s="46" t="s">
        <v>158</v>
      </c>
      <c r="I127" s="10">
        <v>6</v>
      </c>
      <c r="J127" s="39"/>
      <c r="K127" s="17"/>
      <c r="N127" s="11"/>
      <c r="Q127" s="54">
        <v>150</v>
      </c>
      <c r="R127" s="10"/>
      <c r="S127" s="42"/>
      <c r="T127" s="10"/>
      <c r="AA127" s="4"/>
      <c r="AB127" s="4"/>
      <c r="AC127" s="71"/>
      <c r="AD127" s="4"/>
      <c r="AE127" s="4"/>
      <c r="AF127" s="71"/>
      <c r="AG127" s="3"/>
      <c r="AH127" s="3"/>
      <c r="AI127" s="3"/>
      <c r="AJ127" s="3"/>
      <c r="AK127" s="3"/>
      <c r="AL127" s="3"/>
    </row>
    <row r="128" spans="1:38">
      <c r="C128" s="10">
        <v>2600</v>
      </c>
      <c r="D128" s="10">
        <v>2520</v>
      </c>
      <c r="E128" s="21">
        <v>4700</v>
      </c>
      <c r="F128" s="76">
        <v>2.5</v>
      </c>
      <c r="G128" s="67">
        <f>1.8*4</f>
        <v>7.2</v>
      </c>
      <c r="H128" s="46" t="s">
        <v>159</v>
      </c>
      <c r="I128" s="10">
        <v>7.2</v>
      </c>
      <c r="J128" s="39"/>
      <c r="K128" s="17"/>
      <c r="L128" s="21"/>
      <c r="N128" s="11"/>
      <c r="Q128" s="54">
        <v>150</v>
      </c>
      <c r="R128" s="10"/>
      <c r="S128" s="42"/>
      <c r="T128" s="10"/>
      <c r="U128" s="10"/>
      <c r="AA128" s="4"/>
      <c r="AB128" s="4"/>
      <c r="AC128" s="71"/>
      <c r="AD128" s="4"/>
      <c r="AE128" s="4"/>
      <c r="AF128" s="71"/>
      <c r="AG128" s="3"/>
      <c r="AH128" s="3"/>
      <c r="AI128" s="3"/>
      <c r="AJ128" s="3"/>
      <c r="AK128" s="3"/>
      <c r="AL128" s="3"/>
    </row>
    <row r="129" spans="1:38">
      <c r="C129" s="10">
        <v>2900</v>
      </c>
      <c r="D129" s="10">
        <v>2220</v>
      </c>
      <c r="E129" s="21">
        <v>5700</v>
      </c>
      <c r="F129" s="76">
        <v>3.5</v>
      </c>
      <c r="G129" s="67">
        <f>1.5*5</f>
        <v>7.5</v>
      </c>
      <c r="H129" s="46" t="s">
        <v>160</v>
      </c>
      <c r="I129" s="10">
        <v>7.5</v>
      </c>
      <c r="J129" s="39"/>
      <c r="K129" s="17"/>
      <c r="L129" s="21"/>
      <c r="N129" s="11"/>
      <c r="Q129" s="54">
        <v>150</v>
      </c>
      <c r="R129" s="10"/>
      <c r="S129" s="42"/>
      <c r="T129" s="10"/>
      <c r="U129" s="10"/>
      <c r="AA129" s="4"/>
      <c r="AB129" s="4"/>
      <c r="AC129" s="71"/>
      <c r="AD129" s="4"/>
      <c r="AE129" s="4"/>
      <c r="AF129" s="71"/>
      <c r="AG129" s="3"/>
      <c r="AH129" s="3"/>
      <c r="AI129" s="3"/>
      <c r="AJ129" s="3"/>
      <c r="AK129" s="3"/>
      <c r="AL129" s="3"/>
    </row>
    <row r="130" spans="1:38">
      <c r="C130" s="10">
        <v>2900</v>
      </c>
      <c r="D130" s="10">
        <v>2520</v>
      </c>
      <c r="E130" s="21">
        <v>5700</v>
      </c>
      <c r="F130" s="76">
        <v>3.5</v>
      </c>
      <c r="G130" s="67">
        <f>1.8*5</f>
        <v>9</v>
      </c>
      <c r="H130" s="46" t="s">
        <v>148</v>
      </c>
      <c r="I130" s="10">
        <v>9</v>
      </c>
      <c r="J130" s="39"/>
      <c r="K130" s="17"/>
      <c r="L130" s="21"/>
      <c r="N130" s="11"/>
      <c r="Q130" s="54">
        <v>150</v>
      </c>
      <c r="R130" s="10"/>
      <c r="S130" s="42"/>
      <c r="T130" s="10"/>
      <c r="U130" s="10"/>
      <c r="AA130" s="4"/>
      <c r="AB130" s="4"/>
      <c r="AC130" s="71"/>
      <c r="AD130" s="4"/>
      <c r="AE130" s="4"/>
      <c r="AF130" s="71"/>
      <c r="AG130" s="3"/>
      <c r="AH130" s="3"/>
      <c r="AI130" s="3"/>
      <c r="AJ130" s="3"/>
      <c r="AK130" s="3"/>
      <c r="AL130" s="3"/>
    </row>
    <row r="131" spans="1:38">
      <c r="C131" s="10">
        <v>2900</v>
      </c>
      <c r="D131" s="10">
        <v>2820</v>
      </c>
      <c r="E131" s="21">
        <v>5700</v>
      </c>
      <c r="F131" s="76">
        <v>3.5</v>
      </c>
      <c r="G131" s="67">
        <f>2.1*5</f>
        <v>10.5</v>
      </c>
      <c r="H131" s="46" t="s">
        <v>161</v>
      </c>
      <c r="I131" s="10">
        <v>10.5</v>
      </c>
      <c r="J131" s="49"/>
      <c r="K131" s="13"/>
      <c r="L131" s="21"/>
      <c r="Q131" s="54">
        <v>150</v>
      </c>
      <c r="R131" s="10"/>
      <c r="S131" s="42"/>
      <c r="T131" s="10"/>
      <c r="U131" s="10"/>
      <c r="AA131" s="4"/>
      <c r="AB131" s="4"/>
      <c r="AC131" s="71"/>
      <c r="AD131" s="4"/>
      <c r="AE131" s="4"/>
      <c r="AF131" s="71"/>
      <c r="AG131" s="3"/>
      <c r="AH131" s="3"/>
      <c r="AI131" s="3"/>
      <c r="AJ131" s="3"/>
      <c r="AK131" s="3"/>
      <c r="AL131" s="3"/>
    </row>
    <row r="132" spans="1:38">
      <c r="C132" s="10">
        <v>3150</v>
      </c>
      <c r="D132" s="10">
        <v>2520</v>
      </c>
      <c r="E132" s="21">
        <v>6700</v>
      </c>
      <c r="F132" s="76">
        <v>3.5</v>
      </c>
      <c r="G132" s="67">
        <f>1.8*6</f>
        <v>10.8</v>
      </c>
      <c r="H132" s="46" t="s">
        <v>143</v>
      </c>
      <c r="I132" s="10">
        <v>10.8</v>
      </c>
      <c r="J132" s="49"/>
      <c r="K132" s="13"/>
      <c r="L132" s="21"/>
      <c r="Q132" s="54">
        <v>150</v>
      </c>
      <c r="R132" s="10"/>
      <c r="S132" s="42"/>
      <c r="U132" s="10"/>
      <c r="AA132" s="4"/>
      <c r="AB132" s="4"/>
      <c r="AC132" s="71"/>
      <c r="AD132" s="4"/>
      <c r="AE132" s="4"/>
      <c r="AF132" s="71"/>
      <c r="AG132" s="3"/>
      <c r="AH132" s="3"/>
      <c r="AI132" s="3"/>
      <c r="AJ132" s="3"/>
      <c r="AK132" s="3"/>
      <c r="AL132" s="3"/>
    </row>
    <row r="133" spans="1:38">
      <c r="C133" s="10">
        <v>3150</v>
      </c>
      <c r="D133" s="10">
        <v>2820</v>
      </c>
      <c r="E133" s="21">
        <v>6700</v>
      </c>
      <c r="F133" s="76">
        <v>3.5</v>
      </c>
      <c r="G133" s="67">
        <f>2.1*6</f>
        <v>12.600000000000001</v>
      </c>
      <c r="H133" s="46" t="s">
        <v>162</v>
      </c>
      <c r="I133" s="10">
        <v>12.6</v>
      </c>
      <c r="J133" s="49"/>
      <c r="K133" s="13"/>
      <c r="L133" s="21"/>
      <c r="Q133" s="54">
        <v>150</v>
      </c>
      <c r="R133" s="10"/>
      <c r="S133" s="42"/>
      <c r="U133" s="10"/>
      <c r="AA133" s="4"/>
      <c r="AB133" s="4"/>
      <c r="AC133" s="71"/>
      <c r="AD133" s="4"/>
      <c r="AE133" s="4"/>
      <c r="AF133" s="71"/>
      <c r="AG133" s="3"/>
      <c r="AH133" s="3"/>
      <c r="AI133" s="3"/>
      <c r="AJ133" s="3"/>
      <c r="AK133" s="3"/>
      <c r="AL133" s="3"/>
    </row>
    <row r="134" spans="1:38">
      <c r="C134" s="17">
        <v>3150</v>
      </c>
      <c r="D134" s="17">
        <v>3150</v>
      </c>
      <c r="E134" s="39">
        <v>6700</v>
      </c>
      <c r="F134" s="76">
        <v>3.5</v>
      </c>
      <c r="G134" s="68">
        <f>2.4*6</f>
        <v>14.399999999999999</v>
      </c>
      <c r="H134" s="46" t="s">
        <v>163</v>
      </c>
      <c r="I134" s="17">
        <v>14.4</v>
      </c>
      <c r="J134" s="49"/>
      <c r="K134" s="13"/>
      <c r="L134" s="39"/>
      <c r="Q134" s="54">
        <v>150</v>
      </c>
      <c r="R134" s="17"/>
      <c r="S134" s="39"/>
      <c r="T134" s="13"/>
      <c r="U134" s="17"/>
      <c r="AA134" s="4"/>
      <c r="AB134" s="4"/>
      <c r="AC134" s="71"/>
      <c r="AD134" s="4"/>
      <c r="AE134" s="4"/>
      <c r="AF134" s="71"/>
      <c r="AG134" s="3"/>
      <c r="AH134" s="3"/>
      <c r="AI134" s="3"/>
      <c r="AJ134" s="3"/>
      <c r="AK134" s="3"/>
      <c r="AL134" s="3"/>
    </row>
    <row r="135" spans="1:38">
      <c r="A135" s="24"/>
      <c r="C135" s="17">
        <v>3400</v>
      </c>
      <c r="D135" s="17">
        <v>2850</v>
      </c>
      <c r="E135" s="39">
        <v>7700</v>
      </c>
      <c r="F135" s="56">
        <v>3</v>
      </c>
      <c r="G135" s="68">
        <f>2.1*7</f>
        <v>14.700000000000001</v>
      </c>
      <c r="H135" s="46" t="s">
        <v>164</v>
      </c>
      <c r="I135" s="17">
        <v>14.7</v>
      </c>
      <c r="J135" s="49"/>
      <c r="K135" s="13"/>
      <c r="L135" s="39"/>
      <c r="Q135" s="54">
        <v>150</v>
      </c>
      <c r="R135" s="17"/>
      <c r="S135" s="39"/>
      <c r="U135" s="17"/>
      <c r="AA135" s="4"/>
      <c r="AB135" s="4"/>
      <c r="AC135" s="71"/>
      <c r="AD135" s="4"/>
      <c r="AE135" s="4"/>
      <c r="AF135" s="71"/>
      <c r="AG135" s="3"/>
      <c r="AH135" s="3"/>
      <c r="AI135" s="3"/>
      <c r="AJ135" s="3"/>
      <c r="AK135" s="3"/>
      <c r="AL135" s="3"/>
    </row>
    <row r="136" spans="1:38">
      <c r="C136" s="17">
        <v>3400</v>
      </c>
      <c r="D136" s="17">
        <v>3200</v>
      </c>
      <c r="E136" s="39">
        <v>7700</v>
      </c>
      <c r="F136" s="56">
        <v>3</v>
      </c>
      <c r="G136" s="68">
        <f>2.4*7</f>
        <v>16.8</v>
      </c>
      <c r="H136" s="46" t="s">
        <v>101</v>
      </c>
      <c r="I136" s="17">
        <v>16.8</v>
      </c>
      <c r="J136" s="49"/>
      <c r="K136" s="13"/>
      <c r="L136" s="39"/>
      <c r="Q136" s="54">
        <v>150</v>
      </c>
      <c r="R136" s="17"/>
      <c r="S136" s="39"/>
      <c r="U136" s="17"/>
      <c r="AA136" s="4"/>
      <c r="AB136" s="4"/>
      <c r="AC136" s="71"/>
      <c r="AD136" s="4"/>
      <c r="AE136" s="4"/>
      <c r="AF136" s="71"/>
      <c r="AG136" s="3"/>
      <c r="AH136" s="3"/>
      <c r="AI136" s="3"/>
      <c r="AJ136" s="3"/>
      <c r="AK136" s="3"/>
      <c r="AL136" s="3"/>
    </row>
    <row r="137" spans="1:38">
      <c r="C137" s="17">
        <v>3400</v>
      </c>
      <c r="D137" s="17">
        <v>3500</v>
      </c>
      <c r="E137" s="39">
        <v>7700</v>
      </c>
      <c r="F137" s="56">
        <v>3</v>
      </c>
      <c r="G137" s="68">
        <f>2.7*7</f>
        <v>18.900000000000002</v>
      </c>
      <c r="H137" s="46" t="s">
        <v>165</v>
      </c>
      <c r="I137" s="17">
        <v>18.899999999999999</v>
      </c>
      <c r="J137" s="49"/>
      <c r="K137" s="13"/>
      <c r="L137" s="39"/>
      <c r="Q137" s="54">
        <v>150</v>
      </c>
      <c r="R137" s="17"/>
      <c r="S137" s="39"/>
      <c r="U137" s="17"/>
      <c r="AA137" s="4"/>
      <c r="AB137" s="4"/>
      <c r="AC137" s="71"/>
      <c r="AD137" s="4"/>
      <c r="AE137" s="4"/>
      <c r="AF137" s="71"/>
      <c r="AG137" s="3"/>
      <c r="AH137" s="3"/>
      <c r="AI137" s="3"/>
      <c r="AJ137" s="3"/>
      <c r="AK137" s="3"/>
      <c r="AL137" s="3"/>
    </row>
    <row r="138" spans="1:38">
      <c r="C138" s="17"/>
      <c r="D138" s="17"/>
      <c r="E138" s="39"/>
      <c r="F138" s="56"/>
      <c r="G138" s="68">
        <f>2.4*8</f>
        <v>19.2</v>
      </c>
      <c r="H138" s="46" t="s">
        <v>166</v>
      </c>
      <c r="I138" s="17">
        <v>19.2</v>
      </c>
      <c r="J138" s="49"/>
      <c r="K138" s="13"/>
      <c r="L138" s="39"/>
      <c r="Q138" s="54">
        <v>150</v>
      </c>
      <c r="R138" s="17"/>
      <c r="S138" s="39"/>
      <c r="U138" s="17"/>
      <c r="AA138" s="4"/>
      <c r="AB138" s="4"/>
      <c r="AC138" s="71"/>
      <c r="AD138" s="4"/>
      <c r="AE138" s="4"/>
      <c r="AF138" s="71"/>
      <c r="AG138" s="3"/>
      <c r="AH138" s="3"/>
      <c r="AI138" s="3"/>
      <c r="AJ138" s="3"/>
      <c r="AK138" s="3"/>
      <c r="AL138" s="3"/>
    </row>
    <row r="139" spans="1:38">
      <c r="C139" s="17"/>
      <c r="D139" s="17"/>
      <c r="E139" s="39"/>
      <c r="F139" s="56"/>
      <c r="G139" s="68">
        <f>2.7*8</f>
        <v>21.6</v>
      </c>
      <c r="H139" s="46" t="s">
        <v>97</v>
      </c>
      <c r="I139" s="17">
        <v>21.6</v>
      </c>
      <c r="J139" s="49"/>
      <c r="K139" s="13"/>
      <c r="L139" s="39"/>
      <c r="Q139" s="54">
        <v>150</v>
      </c>
      <c r="R139" s="17"/>
      <c r="S139" s="39"/>
      <c r="U139" s="17"/>
      <c r="AA139" s="4"/>
      <c r="AB139" s="4"/>
      <c r="AC139" s="71"/>
      <c r="AD139" s="4"/>
      <c r="AE139" s="4"/>
      <c r="AF139" s="71"/>
      <c r="AG139" s="3"/>
      <c r="AH139" s="3"/>
      <c r="AI139" s="3"/>
      <c r="AJ139" s="3"/>
      <c r="AK139" s="3"/>
      <c r="AL139" s="3"/>
    </row>
    <row r="140" spans="1:38">
      <c r="A140" s="24"/>
      <c r="C140" s="17"/>
      <c r="D140" s="17"/>
      <c r="E140" s="39"/>
      <c r="F140" s="56"/>
      <c r="G140" s="68">
        <f>3*8</f>
        <v>24</v>
      </c>
      <c r="H140" s="46" t="s">
        <v>96</v>
      </c>
      <c r="I140" s="17">
        <v>24</v>
      </c>
      <c r="J140" s="49"/>
      <c r="K140" s="13"/>
      <c r="L140" s="39"/>
      <c r="Q140" s="54">
        <v>150</v>
      </c>
      <c r="R140" s="17"/>
      <c r="S140" s="39"/>
      <c r="U140" s="17"/>
      <c r="AA140" s="4"/>
      <c r="AB140" s="4"/>
      <c r="AC140" s="71"/>
      <c r="AD140" s="4"/>
      <c r="AE140" s="4"/>
      <c r="AF140" s="71"/>
      <c r="AG140" s="3"/>
      <c r="AH140" s="3"/>
      <c r="AI140" s="3"/>
      <c r="AJ140" s="3"/>
      <c r="AK140" s="3"/>
      <c r="AL140" s="3"/>
    </row>
    <row r="141" spans="1:38">
      <c r="C141" s="17"/>
      <c r="D141" s="17"/>
      <c r="E141" s="39"/>
      <c r="F141" s="56"/>
      <c r="G141" s="68"/>
      <c r="H141" s="46"/>
      <c r="J141" s="49"/>
      <c r="K141" s="13"/>
      <c r="L141" s="39"/>
      <c r="Q141" s="56"/>
      <c r="R141" s="17"/>
      <c r="S141" s="39"/>
      <c r="U141" s="17"/>
      <c r="AA141" s="4"/>
      <c r="AB141" s="4"/>
      <c r="AC141" s="71"/>
      <c r="AD141" s="4"/>
      <c r="AE141" s="4"/>
      <c r="AF141" s="71"/>
      <c r="AG141" s="3"/>
      <c r="AH141" s="3"/>
      <c r="AI141" s="3"/>
      <c r="AJ141" s="3"/>
      <c r="AK141" s="3"/>
      <c r="AL141" s="3"/>
    </row>
    <row r="142" spans="1:38">
      <c r="A142" s="24" t="s">
        <v>167</v>
      </c>
      <c r="C142" s="17"/>
      <c r="D142" s="17"/>
      <c r="E142" s="39"/>
      <c r="F142" s="56"/>
      <c r="G142" s="68"/>
      <c r="H142" s="46"/>
      <c r="J142" s="49"/>
      <c r="K142" s="13"/>
      <c r="L142" s="39"/>
      <c r="Q142" s="56"/>
      <c r="R142" s="17"/>
      <c r="S142" s="39"/>
      <c r="U142" s="17"/>
      <c r="AA142" s="4"/>
      <c r="AB142" s="4"/>
      <c r="AC142" s="71"/>
      <c r="AD142" s="4"/>
      <c r="AE142" s="4"/>
      <c r="AF142" s="71"/>
      <c r="AG142" s="3"/>
      <c r="AH142" s="3"/>
      <c r="AI142" s="3"/>
      <c r="AJ142" s="3"/>
      <c r="AK142" s="3"/>
      <c r="AL142" s="3"/>
    </row>
    <row r="143" spans="1:38">
      <c r="B143" s="31" t="s">
        <v>168</v>
      </c>
      <c r="C143" s="17">
        <v>2500</v>
      </c>
      <c r="D143" s="17">
        <v>3900</v>
      </c>
      <c r="E143" s="39">
        <v>8690</v>
      </c>
      <c r="F143" s="56">
        <v>3</v>
      </c>
      <c r="G143" s="68">
        <f>3.1*8</f>
        <v>24.8</v>
      </c>
      <c r="H143" s="46" t="s">
        <v>169</v>
      </c>
      <c r="I143" s="17">
        <v>5.2</v>
      </c>
      <c r="J143" s="49">
        <v>24.8</v>
      </c>
      <c r="K143" s="17">
        <v>2.5</v>
      </c>
      <c r="L143" s="39">
        <v>12</v>
      </c>
      <c r="Q143" s="56">
        <v>1000</v>
      </c>
      <c r="R143" s="17">
        <v>1</v>
      </c>
      <c r="S143" s="39">
        <v>1000</v>
      </c>
      <c r="T143" s="17">
        <v>7.5</v>
      </c>
      <c r="U143" s="17">
        <v>37</v>
      </c>
      <c r="W143" s="70">
        <f t="shared" ref="W133:W170" si="11">U143/L143</f>
        <v>3.0833333333333335</v>
      </c>
      <c r="X143">
        <f>U143/(E143*D143)*1000000</f>
        <v>1.0917352689504587</v>
      </c>
      <c r="Y143">
        <f>U143/(D143*E143*C143)*1000000000</f>
        <v>0.43669410758018357</v>
      </c>
      <c r="AA143" s="4"/>
      <c r="AB143" s="4"/>
      <c r="AC143" s="71"/>
      <c r="AD143" s="4"/>
      <c r="AE143" s="4"/>
      <c r="AF143" s="71"/>
      <c r="AG143" s="3"/>
      <c r="AH143" s="3"/>
      <c r="AI143" s="3"/>
      <c r="AJ143" s="3"/>
      <c r="AK143" s="3"/>
      <c r="AL143" s="3"/>
    </row>
    <row r="144" spans="1:38">
      <c r="C144" s="17"/>
      <c r="D144" s="17"/>
      <c r="E144" s="39"/>
      <c r="F144" s="56"/>
      <c r="G144" s="68"/>
      <c r="H144" s="46"/>
      <c r="J144" s="49"/>
      <c r="K144" s="13"/>
      <c r="L144" s="39"/>
      <c r="Q144" s="56"/>
      <c r="R144" s="17"/>
      <c r="S144" s="39"/>
      <c r="U144" s="17"/>
      <c r="AA144" s="4"/>
      <c r="AB144" s="4"/>
      <c r="AC144" s="71"/>
      <c r="AD144" s="4"/>
      <c r="AE144" s="4"/>
      <c r="AF144" s="71"/>
      <c r="AG144" s="3"/>
      <c r="AH144" s="3"/>
      <c r="AI144" s="3"/>
      <c r="AJ144" s="3"/>
      <c r="AK144" s="3"/>
      <c r="AL144" s="3"/>
    </row>
    <row r="145" spans="1:38">
      <c r="A145" s="24" t="s">
        <v>170</v>
      </c>
      <c r="C145" s="17"/>
      <c r="D145" s="17"/>
      <c r="E145" s="39"/>
      <c r="F145" s="56"/>
      <c r="G145" s="68"/>
      <c r="H145" s="46"/>
      <c r="J145" s="49"/>
      <c r="K145" s="13"/>
      <c r="L145" s="39"/>
      <c r="Q145" s="56"/>
      <c r="R145" s="17"/>
      <c r="S145" s="39"/>
      <c r="U145" s="17"/>
      <c r="AA145" s="4"/>
      <c r="AB145" s="4"/>
      <c r="AC145" s="71"/>
      <c r="AD145" s="4"/>
      <c r="AE145" s="4"/>
      <c r="AF145" s="71"/>
      <c r="AG145" s="3"/>
      <c r="AH145" s="3"/>
      <c r="AI145" s="3"/>
      <c r="AJ145" s="3"/>
      <c r="AK145" s="3"/>
      <c r="AL145" s="3"/>
    </row>
    <row r="146" spans="1:38">
      <c r="B146" s="31" t="s">
        <v>171</v>
      </c>
      <c r="C146" s="17">
        <v>2395</v>
      </c>
      <c r="D146" s="17">
        <v>3000</v>
      </c>
      <c r="E146" s="39">
        <v>6300</v>
      </c>
      <c r="F146" s="56">
        <v>1</v>
      </c>
      <c r="G146" s="68">
        <f>2.5*6.3</f>
        <v>15.75</v>
      </c>
      <c r="H146" s="46" t="s">
        <v>173</v>
      </c>
      <c r="I146" s="17">
        <v>5</v>
      </c>
      <c r="J146" s="49">
        <v>15.7</v>
      </c>
      <c r="K146" s="17">
        <v>1.4</v>
      </c>
      <c r="L146" s="39">
        <v>3.2</v>
      </c>
      <c r="M146" s="17">
        <v>250</v>
      </c>
      <c r="N146" s="17">
        <v>780</v>
      </c>
      <c r="Q146" s="56">
        <v>150</v>
      </c>
      <c r="R146" s="17">
        <v>0.5</v>
      </c>
      <c r="S146" s="39">
        <v>80</v>
      </c>
      <c r="T146" s="17">
        <v>7.5</v>
      </c>
      <c r="U146" s="17">
        <v>22</v>
      </c>
      <c r="V146" s="73">
        <f t="shared" ref="V133:V167" si="12">U146/N146</f>
        <v>2.8205128205128206E-2</v>
      </c>
      <c r="W146" s="70">
        <f t="shared" si="11"/>
        <v>6.875</v>
      </c>
      <c r="X146">
        <f>U146/(E146*D146)*1000000</f>
        <v>1.1640211640211642</v>
      </c>
      <c r="Y146">
        <f>U146/(D146*E146*C146)*1000000000</f>
        <v>0.48602136284808523</v>
      </c>
      <c r="Z146" s="70">
        <f>(D146*E146)/1000000/N146</f>
        <v>2.4230769230769229E-2</v>
      </c>
      <c r="AA146" s="4">
        <f>(E146*D146*C146)/1000000000/N146</f>
        <v>5.8032692307692313E-2</v>
      </c>
      <c r="AB146" s="4">
        <f t="shared" ref="AB133:AB170" si="13">L146/N146</f>
        <v>4.1025641025641026E-3</v>
      </c>
      <c r="AC146" s="71">
        <f t="shared" ref="AC133:AC170" si="14">N146/L146</f>
        <v>243.75</v>
      </c>
      <c r="AD146" s="4">
        <f>N146/(E146*D146)*1000000</f>
        <v>41.269841269841272</v>
      </c>
      <c r="AE146" s="4">
        <f>N146/(E146*D146*C146)*1000000000</f>
        <v>17.231666500977564</v>
      </c>
      <c r="AF146" s="71"/>
      <c r="AG146" s="3"/>
      <c r="AH146" s="3"/>
      <c r="AI146" s="3"/>
      <c r="AJ146" s="3"/>
      <c r="AK146" s="3"/>
      <c r="AL146" s="3"/>
    </row>
    <row r="147" spans="1:38">
      <c r="A147" s="24"/>
      <c r="B147" s="31" t="s">
        <v>172</v>
      </c>
      <c r="C147" s="17">
        <v>3190</v>
      </c>
      <c r="D147" s="17">
        <v>3000</v>
      </c>
      <c r="E147" s="39">
        <v>6300</v>
      </c>
      <c r="F147" s="56">
        <v>2</v>
      </c>
      <c r="G147" s="68">
        <f>2.5*6.3</f>
        <v>15.75</v>
      </c>
      <c r="H147" s="46" t="s">
        <v>173</v>
      </c>
      <c r="I147" s="17">
        <v>10</v>
      </c>
      <c r="J147" s="49">
        <v>31.4</v>
      </c>
      <c r="K147" s="17">
        <v>1.9</v>
      </c>
      <c r="L147" s="39">
        <v>4.3</v>
      </c>
      <c r="M147" s="17">
        <v>250</v>
      </c>
      <c r="N147" s="17">
        <v>780</v>
      </c>
      <c r="Q147" s="56">
        <v>150</v>
      </c>
      <c r="R147" s="17">
        <v>0.5</v>
      </c>
      <c r="S147" s="39">
        <v>80</v>
      </c>
      <c r="T147" s="17">
        <v>11</v>
      </c>
      <c r="U147" s="17">
        <v>30</v>
      </c>
      <c r="V147" s="73">
        <f t="shared" si="12"/>
        <v>3.8461538461538464E-2</v>
      </c>
      <c r="W147" s="70">
        <f t="shared" si="11"/>
        <v>6.9767441860465116</v>
      </c>
      <c r="X147">
        <f>U147/(E147*D147)*1000000</f>
        <v>1.5873015873015872</v>
      </c>
      <c r="Y147">
        <f>U147/(D147*E147*C147)*1000000000</f>
        <v>0.4975867044832562</v>
      </c>
      <c r="Z147" s="70">
        <f>(D147*E147)/1000000/N147</f>
        <v>2.4230769230769229E-2</v>
      </c>
      <c r="AA147" s="4">
        <f>(E147*D147*C147)/1000000000/N147</f>
        <v>7.7296153846153848E-2</v>
      </c>
      <c r="AB147" s="4">
        <f t="shared" si="13"/>
        <v>5.5128205128205125E-3</v>
      </c>
      <c r="AC147" s="71">
        <f t="shared" si="14"/>
        <v>181.3953488372093</v>
      </c>
      <c r="AD147" s="4">
        <f>N147/(E147*D147)*1000000</f>
        <v>41.269841269841272</v>
      </c>
      <c r="AE147" s="4">
        <f>N147/(E147*D147*C147)*1000000000</f>
        <v>12.937254316564662</v>
      </c>
      <c r="AF147" s="71"/>
      <c r="AG147" s="3"/>
      <c r="AH147" s="3"/>
      <c r="AI147" s="3"/>
      <c r="AJ147" s="3"/>
      <c r="AK147" s="3"/>
      <c r="AL147" s="3"/>
    </row>
    <row r="148" spans="1:38">
      <c r="C148" s="8"/>
      <c r="D148" s="8"/>
      <c r="E148" s="19"/>
      <c r="F148" s="75"/>
      <c r="H148" s="46"/>
      <c r="AA148" s="4"/>
      <c r="AB148" s="4"/>
      <c r="AC148" s="71"/>
      <c r="AD148" s="4"/>
      <c r="AE148" s="4"/>
      <c r="AF148" s="71"/>
      <c r="AG148" s="3"/>
      <c r="AH148" s="3"/>
      <c r="AI148" s="3"/>
      <c r="AJ148" s="3"/>
      <c r="AK148" s="3"/>
      <c r="AL148" s="3"/>
    </row>
    <row r="149" spans="1:38">
      <c r="A149" s="24" t="s">
        <v>19</v>
      </c>
      <c r="C149" s="8"/>
      <c r="D149" s="8">
        <v>3000</v>
      </c>
      <c r="E149" s="19">
        <v>10000</v>
      </c>
      <c r="F149" s="75">
        <v>3</v>
      </c>
      <c r="G149" s="65">
        <f>0.8*9</f>
        <v>7.2</v>
      </c>
      <c r="H149" s="46" t="s">
        <v>174</v>
      </c>
      <c r="L149" s="19">
        <v>14</v>
      </c>
      <c r="U149" s="8">
        <v>30</v>
      </c>
      <c r="W149" s="70">
        <f t="shared" si="11"/>
        <v>2.1428571428571428</v>
      </c>
      <c r="X149">
        <f>U149/(E149*D149)*1000000</f>
        <v>1</v>
      </c>
      <c r="AA149" s="4"/>
      <c r="AB149" s="4"/>
      <c r="AC149" s="71"/>
      <c r="AD149" s="4"/>
      <c r="AE149" s="4"/>
      <c r="AF149" s="71"/>
      <c r="AG149" s="3"/>
      <c r="AH149" s="3"/>
      <c r="AI149" s="3"/>
      <c r="AJ149" s="3"/>
      <c r="AK149" s="3"/>
      <c r="AL149" s="3"/>
    </row>
    <row r="150" spans="1:38">
      <c r="C150" s="8"/>
      <c r="D150" s="8"/>
      <c r="E150" s="19"/>
      <c r="F150" s="75"/>
      <c r="H150" s="46"/>
      <c r="AA150" s="4"/>
      <c r="AB150" s="4"/>
      <c r="AC150" s="71"/>
      <c r="AD150" s="4"/>
      <c r="AE150" s="4"/>
      <c r="AF150" s="71"/>
      <c r="AG150" s="3"/>
      <c r="AH150" s="3"/>
      <c r="AI150" s="3"/>
      <c r="AJ150" s="3"/>
      <c r="AK150" s="3"/>
      <c r="AL150" s="3"/>
    </row>
    <row r="151" spans="1:38">
      <c r="A151" s="24" t="s">
        <v>175</v>
      </c>
      <c r="C151" s="8"/>
      <c r="D151" s="8"/>
      <c r="E151" s="19"/>
      <c r="F151" s="75"/>
      <c r="H151" s="46"/>
      <c r="AA151" s="4"/>
      <c r="AB151" s="4"/>
      <c r="AC151" s="71"/>
      <c r="AD151" s="4"/>
      <c r="AE151" s="4"/>
      <c r="AF151" s="71"/>
      <c r="AG151" s="3"/>
      <c r="AH151" s="3"/>
      <c r="AI151" s="3"/>
      <c r="AJ151" s="3"/>
      <c r="AK151" s="3"/>
      <c r="AL151" s="3"/>
    </row>
    <row r="152" spans="1:38">
      <c r="B152" s="31" t="s">
        <v>176</v>
      </c>
      <c r="C152" s="7">
        <v>2500</v>
      </c>
      <c r="D152" s="7">
        <v>3500</v>
      </c>
      <c r="E152" s="36">
        <v>7000</v>
      </c>
      <c r="F152" s="52">
        <v>1</v>
      </c>
      <c r="G152" s="65">
        <f>2.6*6</f>
        <v>15.600000000000001</v>
      </c>
      <c r="H152" s="46" t="s">
        <v>179</v>
      </c>
      <c r="I152" s="10">
        <v>0.35</v>
      </c>
      <c r="J152" s="19">
        <v>15</v>
      </c>
      <c r="L152" s="19">
        <v>5</v>
      </c>
      <c r="N152" s="11">
        <v>500</v>
      </c>
      <c r="Q152" s="52">
        <v>500</v>
      </c>
      <c r="S152" s="36">
        <v>200</v>
      </c>
      <c r="U152" s="8">
        <v>15</v>
      </c>
      <c r="V152" s="73">
        <f t="shared" si="12"/>
        <v>0.03</v>
      </c>
      <c r="W152" s="70">
        <f t="shared" si="11"/>
        <v>3</v>
      </c>
      <c r="X152">
        <f>U152/(E152*D152)*1000000</f>
        <v>0.61224489795918369</v>
      </c>
      <c r="Y152">
        <f>U152/(D152*E152*C152)*1000000000</f>
        <v>0.24489795918367346</v>
      </c>
      <c r="Z152" s="70">
        <f>(D152*E152)/1000000/N152</f>
        <v>4.9000000000000002E-2</v>
      </c>
      <c r="AA152" s="4">
        <f>(E152*D152*C152)/1000000000/N152</f>
        <v>0.1225</v>
      </c>
      <c r="AB152" s="4">
        <f t="shared" si="13"/>
        <v>0.01</v>
      </c>
      <c r="AC152" s="71">
        <f t="shared" si="14"/>
        <v>100</v>
      </c>
      <c r="AD152" s="4">
        <f>N152/(E152*D152)*1000000</f>
        <v>20.408163265306122</v>
      </c>
      <c r="AE152" s="4">
        <f>N152/(E152*D152*C152)*1000000000</f>
        <v>8.1632653061224492</v>
      </c>
      <c r="AF152" s="71"/>
      <c r="AG152" s="3"/>
      <c r="AH152" s="3"/>
      <c r="AI152" s="3"/>
      <c r="AJ152" s="3"/>
      <c r="AK152" s="3"/>
      <c r="AL152" s="3"/>
    </row>
    <row r="153" spans="1:38">
      <c r="A153" s="24"/>
      <c r="B153" s="31" t="s">
        <v>177</v>
      </c>
      <c r="C153" s="7">
        <v>2500</v>
      </c>
      <c r="D153" s="7">
        <v>3500</v>
      </c>
      <c r="E153" s="36">
        <v>8000</v>
      </c>
      <c r="F153" s="52">
        <v>2</v>
      </c>
      <c r="G153" s="65">
        <f t="shared" ref="G153:G154" si="15">2.6*6</f>
        <v>15.600000000000001</v>
      </c>
      <c r="H153" s="46" t="s">
        <v>179</v>
      </c>
      <c r="I153" s="10">
        <v>0.7</v>
      </c>
      <c r="J153" s="19">
        <v>30</v>
      </c>
      <c r="L153" s="19">
        <v>9</v>
      </c>
      <c r="N153" s="11">
        <v>500</v>
      </c>
      <c r="Q153" s="52">
        <v>500</v>
      </c>
      <c r="S153" s="36">
        <v>200</v>
      </c>
      <c r="U153" s="8">
        <v>22</v>
      </c>
      <c r="V153" s="73">
        <f t="shared" si="12"/>
        <v>4.3999999999999997E-2</v>
      </c>
      <c r="W153" s="70">
        <f t="shared" si="11"/>
        <v>2.4444444444444446</v>
      </c>
      <c r="X153">
        <f>U153/(E153*D153)*1000000</f>
        <v>0.7857142857142857</v>
      </c>
      <c r="Y153">
        <f>U153/(D153*E153*C153)*1000000000</f>
        <v>0.31428571428571428</v>
      </c>
      <c r="Z153" s="70">
        <f>(D153*E153)/1000000/N153</f>
        <v>5.6000000000000001E-2</v>
      </c>
      <c r="AA153" s="4">
        <f>(E153*D153*C153)/1000000000/N153</f>
        <v>0.14000000000000001</v>
      </c>
      <c r="AB153" s="4">
        <f t="shared" si="13"/>
        <v>1.7999999999999999E-2</v>
      </c>
      <c r="AC153" s="71">
        <f t="shared" si="14"/>
        <v>55.555555555555557</v>
      </c>
      <c r="AD153" s="4">
        <f>N153/(E153*D153)*1000000</f>
        <v>17.857142857142858</v>
      </c>
      <c r="AE153" s="4">
        <f>N153/(E153*D153*C153)*1000000000</f>
        <v>7.1428571428571432</v>
      </c>
      <c r="AF153" s="71"/>
      <c r="AG153" s="3"/>
      <c r="AH153" s="3"/>
      <c r="AI153" s="3"/>
      <c r="AJ153" s="3"/>
      <c r="AK153" s="3"/>
      <c r="AL153" s="3"/>
    </row>
    <row r="154" spans="1:38">
      <c r="B154" s="31" t="s">
        <v>178</v>
      </c>
      <c r="C154" s="7">
        <v>2500</v>
      </c>
      <c r="D154" s="11">
        <v>3500</v>
      </c>
      <c r="E154" s="36">
        <v>8000</v>
      </c>
      <c r="F154" s="52">
        <v>3</v>
      </c>
      <c r="G154" s="65">
        <f t="shared" si="15"/>
        <v>15.600000000000001</v>
      </c>
      <c r="H154" s="46" t="s">
        <v>179</v>
      </c>
      <c r="I154" s="10">
        <v>1.5</v>
      </c>
      <c r="J154" s="19">
        <v>45</v>
      </c>
      <c r="L154" s="19">
        <v>20</v>
      </c>
      <c r="N154" s="11">
        <v>500</v>
      </c>
      <c r="Q154" s="52">
        <v>500</v>
      </c>
      <c r="S154" s="36">
        <v>200</v>
      </c>
      <c r="U154" s="8">
        <v>30</v>
      </c>
      <c r="V154" s="73">
        <f t="shared" si="12"/>
        <v>0.06</v>
      </c>
      <c r="W154" s="70">
        <f t="shared" si="11"/>
        <v>1.5</v>
      </c>
      <c r="X154">
        <f>U154/(E154*D154)*1000000</f>
        <v>1.0714285714285714</v>
      </c>
      <c r="Y154">
        <f>U154/(D154*E154*C154)*1000000000</f>
        <v>0.4285714285714286</v>
      </c>
      <c r="Z154" s="70">
        <f>(D154*E154)/1000000/N154</f>
        <v>5.6000000000000001E-2</v>
      </c>
      <c r="AA154" s="4">
        <f>(E154*D154*C154)/1000000000/N154</f>
        <v>0.14000000000000001</v>
      </c>
      <c r="AB154" s="4">
        <f t="shared" si="13"/>
        <v>0.04</v>
      </c>
      <c r="AC154" s="71">
        <f t="shared" si="14"/>
        <v>25</v>
      </c>
      <c r="AD154" s="4">
        <f>N154/(E154*D154)*1000000</f>
        <v>17.857142857142858</v>
      </c>
      <c r="AE154" s="4">
        <f>N154/(E154*D154*C154)*1000000000</f>
        <v>7.1428571428571432</v>
      </c>
      <c r="AF154" s="71"/>
      <c r="AG154" s="3"/>
      <c r="AH154" s="3"/>
      <c r="AI154" s="3"/>
      <c r="AJ154" s="3"/>
      <c r="AK154" s="3"/>
      <c r="AL154" s="3"/>
    </row>
    <row r="155" spans="1:38">
      <c r="C155" s="8"/>
      <c r="D155" s="8"/>
      <c r="E155" s="19"/>
      <c r="F155" s="75"/>
      <c r="H155" s="46"/>
      <c r="AA155" s="4"/>
      <c r="AB155" s="4"/>
      <c r="AC155" s="71"/>
      <c r="AD155" s="4"/>
      <c r="AE155" s="4"/>
      <c r="AF155" s="71"/>
      <c r="AG155" s="3"/>
      <c r="AH155" s="3"/>
      <c r="AI155" s="3"/>
      <c r="AJ155" s="3"/>
      <c r="AK155" s="3"/>
      <c r="AL155" s="3"/>
    </row>
    <row r="156" spans="1:38">
      <c r="A156" s="24" t="s">
        <v>180</v>
      </c>
      <c r="C156" s="8"/>
      <c r="D156" s="8"/>
      <c r="E156" s="19"/>
      <c r="F156" s="75"/>
      <c r="H156" s="46"/>
      <c r="AA156" s="4"/>
      <c r="AB156" s="4"/>
      <c r="AC156" s="71"/>
      <c r="AD156" s="4"/>
      <c r="AE156" s="4"/>
      <c r="AF156" s="71"/>
      <c r="AG156" s="3"/>
      <c r="AH156" s="3"/>
      <c r="AI156" s="3"/>
      <c r="AJ156" s="3"/>
      <c r="AK156" s="3"/>
      <c r="AL156" s="3"/>
    </row>
    <row r="157" spans="1:38">
      <c r="B157" s="31" t="s">
        <v>181</v>
      </c>
      <c r="C157" s="10">
        <v>1700</v>
      </c>
      <c r="D157" s="10">
        <v>2000</v>
      </c>
      <c r="E157" s="19">
        <v>2800</v>
      </c>
      <c r="F157" s="75">
        <v>2</v>
      </c>
      <c r="G157" s="65">
        <f>2.7*1.2</f>
        <v>3.24</v>
      </c>
      <c r="H157" s="46" t="s">
        <v>184</v>
      </c>
      <c r="I157" s="10">
        <v>1.6</v>
      </c>
      <c r="L157" s="19">
        <v>2</v>
      </c>
      <c r="N157" s="11">
        <v>15</v>
      </c>
      <c r="Q157" s="52">
        <v>20</v>
      </c>
      <c r="R157" s="8">
        <v>0.5</v>
      </c>
      <c r="S157" s="36">
        <v>4</v>
      </c>
      <c r="U157" s="8">
        <v>4</v>
      </c>
      <c r="V157" s="73">
        <f t="shared" si="12"/>
        <v>0.26666666666666666</v>
      </c>
      <c r="W157" s="70">
        <f t="shared" si="11"/>
        <v>2</v>
      </c>
      <c r="X157">
        <f>U157/(E157*D157)*1000000</f>
        <v>0.7142857142857143</v>
      </c>
      <c r="Y157">
        <f>U157/(D157*E157*C157)*1000000000</f>
        <v>0.42016806722689076</v>
      </c>
      <c r="Z157" s="70">
        <f>(D157*E157)/1000000/N157</f>
        <v>0.37333333333333329</v>
      </c>
      <c r="AA157" s="4">
        <f>(E157*D157*C157)/1000000000/N157</f>
        <v>0.6346666666666666</v>
      </c>
      <c r="AB157" s="4">
        <f t="shared" si="13"/>
        <v>0.13333333333333333</v>
      </c>
      <c r="AC157" s="71">
        <f t="shared" si="14"/>
        <v>7.5</v>
      </c>
      <c r="AD157" s="4">
        <f>N157/(E157*D157)*1000000</f>
        <v>2.6785714285714284</v>
      </c>
      <c r="AE157" s="4">
        <f>N157/(E157*D157*C157)*1000000000</f>
        <v>1.5756302521008403</v>
      </c>
      <c r="AF157" s="71"/>
      <c r="AG157" s="3"/>
      <c r="AH157" s="3"/>
      <c r="AI157" s="3"/>
      <c r="AJ157" s="3"/>
      <c r="AK157" s="3"/>
      <c r="AL157" s="3"/>
    </row>
    <row r="158" spans="1:38">
      <c r="B158" s="31" t="s">
        <v>182</v>
      </c>
      <c r="C158" s="10">
        <v>1700</v>
      </c>
      <c r="D158" s="10">
        <v>2000</v>
      </c>
      <c r="E158" s="36">
        <v>2800</v>
      </c>
      <c r="F158" s="52">
        <v>2</v>
      </c>
      <c r="G158" s="65">
        <f>2.7*1.2</f>
        <v>3.24</v>
      </c>
      <c r="H158" s="46" t="s">
        <v>184</v>
      </c>
      <c r="I158" s="10">
        <v>1.6</v>
      </c>
      <c r="L158" s="19">
        <v>2</v>
      </c>
      <c r="N158" s="11">
        <v>15</v>
      </c>
      <c r="Q158" s="52">
        <v>20</v>
      </c>
      <c r="R158" s="8">
        <v>0.5</v>
      </c>
      <c r="S158" s="36">
        <v>4</v>
      </c>
      <c r="U158" s="8">
        <v>4</v>
      </c>
      <c r="V158" s="73">
        <f t="shared" si="12"/>
        <v>0.26666666666666666</v>
      </c>
      <c r="W158" s="70">
        <f t="shared" si="11"/>
        <v>2</v>
      </c>
      <c r="X158">
        <f>U158/(E158*D158)*1000000</f>
        <v>0.7142857142857143</v>
      </c>
      <c r="Y158">
        <f>U158/(D158*E158*C158)*1000000000</f>
        <v>0.42016806722689076</v>
      </c>
      <c r="Z158" s="70">
        <f>(D158*E158)/1000000/N158</f>
        <v>0.37333333333333329</v>
      </c>
      <c r="AA158" s="4">
        <f>(E158*D158*C158)/1000000000/N158</f>
        <v>0.6346666666666666</v>
      </c>
      <c r="AB158" s="4">
        <f t="shared" si="13"/>
        <v>0.13333333333333333</v>
      </c>
      <c r="AC158" s="71">
        <f t="shared" si="14"/>
        <v>7.5</v>
      </c>
      <c r="AD158" s="4">
        <f>N158/(E158*D158)*1000000</f>
        <v>2.6785714285714284</v>
      </c>
      <c r="AE158" s="4">
        <f>N158/(E158*D158*C158)*1000000000</f>
        <v>1.5756302521008403</v>
      </c>
      <c r="AF158" s="71"/>
      <c r="AG158" s="3"/>
      <c r="AH158" s="3"/>
      <c r="AI158" s="3"/>
      <c r="AJ158" s="3"/>
      <c r="AK158" s="3"/>
      <c r="AL158" s="3"/>
    </row>
    <row r="159" spans="1:38">
      <c r="A159" s="24"/>
      <c r="B159" s="31" t="s">
        <v>183</v>
      </c>
      <c r="C159" s="10">
        <v>760</v>
      </c>
      <c r="D159" s="10">
        <v>1200</v>
      </c>
      <c r="E159" s="36">
        <v>1200</v>
      </c>
      <c r="F159" s="52">
        <v>4</v>
      </c>
      <c r="H159" s="46"/>
      <c r="I159" s="10">
        <v>0.6</v>
      </c>
      <c r="L159" s="19">
        <v>0.3</v>
      </c>
      <c r="N159" s="11">
        <v>5</v>
      </c>
      <c r="Q159" s="52">
        <v>20</v>
      </c>
      <c r="R159" s="8">
        <v>0.5</v>
      </c>
      <c r="S159" s="36">
        <v>4</v>
      </c>
      <c r="U159" s="8">
        <v>1.8</v>
      </c>
      <c r="V159" s="73">
        <f t="shared" si="12"/>
        <v>0.36</v>
      </c>
      <c r="W159" s="70">
        <f t="shared" si="11"/>
        <v>6</v>
      </c>
      <c r="X159">
        <f>U159/(E159*D159)*1000000</f>
        <v>1.25</v>
      </c>
      <c r="Y159">
        <f>U159/(D159*E159*C159)*1000000000</f>
        <v>1.6447368421052633</v>
      </c>
      <c r="Z159" s="70">
        <f>(D159*E159)/1000000/N159</f>
        <v>0.28799999999999998</v>
      </c>
      <c r="AA159" s="4">
        <f>(E159*D159*C159)/1000000000/N159</f>
        <v>0.21888000000000002</v>
      </c>
      <c r="AB159" s="4">
        <f t="shared" si="13"/>
        <v>0.06</v>
      </c>
      <c r="AC159" s="71">
        <f t="shared" si="14"/>
        <v>16.666666666666668</v>
      </c>
      <c r="AD159" s="4">
        <f>N159/(E159*D159)*1000000</f>
        <v>3.4722222222222223</v>
      </c>
      <c r="AE159" s="4">
        <f>N159/(E159*D159*C159)*1000000000</f>
        <v>4.5687134502923978</v>
      </c>
      <c r="AF159" s="71"/>
      <c r="AG159" s="3"/>
      <c r="AH159" s="3"/>
      <c r="AI159" s="3"/>
      <c r="AJ159" s="3"/>
      <c r="AK159" s="3"/>
      <c r="AL159" s="3"/>
    </row>
    <row r="160" spans="1:38">
      <c r="H160" s="46"/>
      <c r="AA160" s="4"/>
      <c r="AB160" s="4"/>
      <c r="AC160" s="71"/>
      <c r="AD160" s="4"/>
      <c r="AE160" s="4"/>
      <c r="AF160" s="71"/>
      <c r="AG160" s="3"/>
      <c r="AH160" s="3"/>
      <c r="AI160" s="3"/>
      <c r="AJ160" s="3"/>
      <c r="AK160" s="3"/>
      <c r="AL160" s="3"/>
    </row>
    <row r="161" spans="1:38">
      <c r="A161" s="24" t="s">
        <v>20</v>
      </c>
      <c r="C161" s="8"/>
      <c r="D161" s="8"/>
      <c r="E161" s="19"/>
      <c r="F161" s="75"/>
      <c r="H161" s="46"/>
      <c r="AA161" s="4"/>
      <c r="AB161" s="4"/>
      <c r="AC161" s="71"/>
      <c r="AD161" s="4"/>
      <c r="AE161" s="4"/>
      <c r="AF161" s="71"/>
      <c r="AG161" s="3"/>
      <c r="AH161" s="3"/>
      <c r="AI161" s="3"/>
      <c r="AJ161" s="3"/>
      <c r="AK161" s="3"/>
      <c r="AL161" s="3"/>
    </row>
    <row r="162" spans="1:38">
      <c r="B162" s="31" t="s">
        <v>185</v>
      </c>
      <c r="D162" s="10">
        <v>2500</v>
      </c>
      <c r="E162" s="36">
        <v>8000</v>
      </c>
      <c r="F162" s="52">
        <v>1</v>
      </c>
      <c r="G162" s="65">
        <f>2.5*8</f>
        <v>20</v>
      </c>
      <c r="H162" s="46" t="s">
        <v>65</v>
      </c>
      <c r="I162" s="10">
        <v>1.5</v>
      </c>
      <c r="J162" s="19">
        <v>10</v>
      </c>
      <c r="K162" s="10">
        <v>2</v>
      </c>
      <c r="L162" s="19">
        <v>9</v>
      </c>
      <c r="M162" s="10">
        <v>40</v>
      </c>
      <c r="N162" s="10">
        <v>2000</v>
      </c>
      <c r="Q162" s="52">
        <v>1200</v>
      </c>
      <c r="R162" s="10">
        <v>2</v>
      </c>
      <c r="S162" s="36">
        <v>500</v>
      </c>
      <c r="T162" s="10">
        <v>5.5</v>
      </c>
      <c r="U162" s="8">
        <v>55</v>
      </c>
      <c r="V162" s="73">
        <f t="shared" si="12"/>
        <v>2.75E-2</v>
      </c>
      <c r="W162" s="70">
        <f t="shared" si="11"/>
        <v>6.1111111111111107</v>
      </c>
      <c r="X162">
        <f>U162/(E162*D162)*1000000</f>
        <v>2.75</v>
      </c>
      <c r="Z162" s="70">
        <f>(D162*E162)/1000000/N162</f>
        <v>0.01</v>
      </c>
      <c r="AA162" s="4"/>
      <c r="AB162" s="4">
        <f t="shared" si="13"/>
        <v>4.4999999999999997E-3</v>
      </c>
      <c r="AC162" s="71">
        <f t="shared" si="14"/>
        <v>222.22222222222223</v>
      </c>
      <c r="AD162" s="4">
        <f>N162/(E162*D162)*1000000</f>
        <v>100</v>
      </c>
      <c r="AE162" s="4"/>
      <c r="AF162" s="71"/>
      <c r="AG162" s="3"/>
      <c r="AH162" s="3"/>
      <c r="AI162" s="3"/>
      <c r="AJ162" s="3"/>
      <c r="AK162" s="3"/>
      <c r="AL162" s="3"/>
    </row>
    <row r="163" spans="1:38">
      <c r="A163" s="24"/>
      <c r="B163" s="31" t="s">
        <v>186</v>
      </c>
      <c r="D163" s="10">
        <v>2500</v>
      </c>
      <c r="E163" s="36">
        <v>8000</v>
      </c>
      <c r="F163" s="52">
        <v>2</v>
      </c>
      <c r="G163" s="65">
        <f>2.5*8</f>
        <v>20</v>
      </c>
      <c r="H163" s="41" t="s">
        <v>65</v>
      </c>
      <c r="I163" s="10">
        <v>3</v>
      </c>
      <c r="J163" s="19">
        <v>20</v>
      </c>
      <c r="K163" s="10">
        <v>4</v>
      </c>
      <c r="L163" s="19">
        <v>11</v>
      </c>
      <c r="M163" s="10">
        <v>40</v>
      </c>
      <c r="N163" s="10">
        <v>2000</v>
      </c>
      <c r="Q163" s="52">
        <v>1000</v>
      </c>
      <c r="R163" s="10">
        <v>2</v>
      </c>
      <c r="S163" s="36">
        <v>500</v>
      </c>
      <c r="T163" s="10">
        <v>7.5</v>
      </c>
      <c r="U163" s="8">
        <v>55</v>
      </c>
      <c r="V163" s="73">
        <f t="shared" si="12"/>
        <v>2.75E-2</v>
      </c>
      <c r="W163" s="70">
        <f t="shared" si="11"/>
        <v>5</v>
      </c>
      <c r="X163">
        <f>U163/(E163*D163)*1000000</f>
        <v>2.75</v>
      </c>
      <c r="Z163" s="70">
        <f>(D163*E163)/1000000/N163</f>
        <v>0.01</v>
      </c>
      <c r="AA163" s="4"/>
      <c r="AB163" s="4">
        <f t="shared" si="13"/>
        <v>5.4999999999999997E-3</v>
      </c>
      <c r="AC163" s="71">
        <f t="shared" si="14"/>
        <v>181.81818181818181</v>
      </c>
      <c r="AD163" s="4">
        <f>N163/(E163*D163)*1000000</f>
        <v>100</v>
      </c>
      <c r="AE163" s="4"/>
      <c r="AF163" s="71"/>
      <c r="AG163" s="3"/>
      <c r="AH163" s="3"/>
      <c r="AI163" s="3"/>
      <c r="AJ163" s="3"/>
      <c r="AK163" s="3"/>
      <c r="AL163" s="3"/>
    </row>
    <row r="164" spans="1:38">
      <c r="B164" s="31" t="s">
        <v>187</v>
      </c>
      <c r="D164" s="10">
        <v>2500</v>
      </c>
      <c r="E164" s="36">
        <v>7000</v>
      </c>
      <c r="F164" s="52">
        <v>3</v>
      </c>
      <c r="G164" s="65">
        <f>2.5*7</f>
        <v>17.5</v>
      </c>
      <c r="H164" s="41" t="s">
        <v>66</v>
      </c>
      <c r="I164" s="10">
        <v>4.5</v>
      </c>
      <c r="J164" s="19">
        <v>26</v>
      </c>
      <c r="K164" s="10">
        <v>6</v>
      </c>
      <c r="L164" s="19">
        <v>12</v>
      </c>
      <c r="M164" s="10">
        <v>40</v>
      </c>
      <c r="N164" s="10">
        <v>2000</v>
      </c>
      <c r="Q164" s="52">
        <v>300</v>
      </c>
      <c r="R164" s="10">
        <v>2</v>
      </c>
      <c r="S164" s="36">
        <v>200</v>
      </c>
      <c r="T164" s="10">
        <v>11</v>
      </c>
      <c r="U164" s="8">
        <v>55</v>
      </c>
      <c r="V164" s="73">
        <f t="shared" si="12"/>
        <v>2.75E-2</v>
      </c>
      <c r="W164" s="70">
        <f t="shared" si="11"/>
        <v>4.583333333333333</v>
      </c>
      <c r="X164">
        <f>U164/(E164*D164)*1000000</f>
        <v>3.1428571428571428</v>
      </c>
      <c r="Z164" s="70">
        <f>(D164*E164)/1000000/N164</f>
        <v>8.7500000000000008E-3</v>
      </c>
      <c r="AA164" s="4"/>
      <c r="AB164" s="4">
        <f t="shared" si="13"/>
        <v>6.0000000000000001E-3</v>
      </c>
      <c r="AC164" s="71">
        <f t="shared" si="14"/>
        <v>166.66666666666666</v>
      </c>
      <c r="AD164" s="4">
        <f>N164/(E164*D164)*1000000</f>
        <v>114.28571428571428</v>
      </c>
      <c r="AE164" s="4"/>
      <c r="AF164" s="71"/>
      <c r="AG164" s="3"/>
      <c r="AH164" s="3"/>
      <c r="AI164" s="3"/>
      <c r="AJ164" s="3"/>
      <c r="AK164" s="3"/>
      <c r="AL164" s="3"/>
    </row>
    <row r="165" spans="1:38">
      <c r="B165" s="31" t="s">
        <v>188</v>
      </c>
      <c r="D165" s="10">
        <v>2500</v>
      </c>
      <c r="E165" s="36">
        <v>6000</v>
      </c>
      <c r="F165" s="52">
        <v>4</v>
      </c>
      <c r="G165" s="65">
        <f>2.5*6</f>
        <v>15</v>
      </c>
      <c r="H165" s="41" t="s">
        <v>119</v>
      </c>
      <c r="I165" s="10">
        <v>8.5</v>
      </c>
      <c r="J165" s="19">
        <v>30</v>
      </c>
      <c r="K165" s="10">
        <v>7</v>
      </c>
      <c r="L165" s="19">
        <v>12</v>
      </c>
      <c r="M165" s="10">
        <v>40</v>
      </c>
      <c r="N165" s="10">
        <v>2000</v>
      </c>
      <c r="Q165" s="52">
        <v>300</v>
      </c>
      <c r="R165" s="10">
        <v>2</v>
      </c>
      <c r="S165" s="36">
        <v>200</v>
      </c>
      <c r="T165" s="10">
        <v>15</v>
      </c>
      <c r="U165" s="8">
        <v>55</v>
      </c>
      <c r="V165" s="73">
        <f t="shared" si="12"/>
        <v>2.75E-2</v>
      </c>
      <c r="W165" s="70">
        <f t="shared" si="11"/>
        <v>4.583333333333333</v>
      </c>
      <c r="X165">
        <f>U165/(E165*D165)*1000000</f>
        <v>3.6666666666666665</v>
      </c>
      <c r="Z165" s="70">
        <f>(D165*E165)/1000000/N165</f>
        <v>7.4999999999999997E-3</v>
      </c>
      <c r="AA165" s="4"/>
      <c r="AB165" s="4">
        <f t="shared" si="13"/>
        <v>6.0000000000000001E-3</v>
      </c>
      <c r="AC165" s="71">
        <f t="shared" si="14"/>
        <v>166.66666666666666</v>
      </c>
      <c r="AD165" s="4">
        <f>N165/(E165*D165)*1000000</f>
        <v>133.33333333333334</v>
      </c>
      <c r="AE165" s="4"/>
      <c r="AF165" s="71"/>
      <c r="AG165" s="3"/>
      <c r="AH165" s="3"/>
      <c r="AI165" s="3"/>
      <c r="AJ165" s="3"/>
      <c r="AK165" s="3"/>
      <c r="AL165" s="3"/>
    </row>
    <row r="166" spans="1:38">
      <c r="H166" s="41"/>
      <c r="AA166" s="4"/>
      <c r="AB166" s="4"/>
      <c r="AC166" s="71"/>
      <c r="AD166" s="4"/>
      <c r="AE166" s="4"/>
      <c r="AF166" s="71"/>
      <c r="AG166" s="3"/>
      <c r="AH166" s="3"/>
      <c r="AI166" s="3"/>
      <c r="AJ166" s="3"/>
      <c r="AK166" s="3"/>
      <c r="AL166" s="3"/>
    </row>
    <row r="167" spans="1:38">
      <c r="A167" s="24" t="s">
        <v>189</v>
      </c>
      <c r="F167" s="52">
        <v>1</v>
      </c>
      <c r="G167" s="65">
        <f>3*8</f>
        <v>24</v>
      </c>
      <c r="H167" s="41" t="s">
        <v>96</v>
      </c>
      <c r="K167" s="10">
        <v>0.8</v>
      </c>
      <c r="L167" s="19">
        <v>9.5</v>
      </c>
      <c r="T167" s="10">
        <v>3</v>
      </c>
      <c r="U167" s="8">
        <v>37</v>
      </c>
      <c r="W167" s="70">
        <f t="shared" si="11"/>
        <v>3.8947368421052633</v>
      </c>
      <c r="AA167" s="4"/>
      <c r="AB167" s="4"/>
      <c r="AC167" s="71"/>
      <c r="AD167" s="4"/>
      <c r="AE167" s="4"/>
      <c r="AF167" s="71"/>
      <c r="AG167" s="3"/>
      <c r="AH167" s="3"/>
      <c r="AI167" s="3"/>
      <c r="AJ167" s="3"/>
      <c r="AK167" s="3"/>
      <c r="AL167" s="3"/>
    </row>
    <row r="168" spans="1:38">
      <c r="F168" s="52">
        <v>2</v>
      </c>
      <c r="G168" s="65">
        <f t="shared" ref="G168:G170" si="16">3*8</f>
        <v>24</v>
      </c>
      <c r="H168" s="41" t="s">
        <v>96</v>
      </c>
      <c r="K168" s="10">
        <v>1.5</v>
      </c>
      <c r="L168" s="19">
        <v>16.5</v>
      </c>
      <c r="T168" s="10">
        <v>4</v>
      </c>
      <c r="U168" s="8">
        <v>60</v>
      </c>
      <c r="W168" s="70">
        <f t="shared" si="11"/>
        <v>3.6363636363636362</v>
      </c>
      <c r="AA168" s="4"/>
      <c r="AB168" s="4"/>
      <c r="AC168" s="71"/>
      <c r="AD168" s="4"/>
      <c r="AE168" s="4"/>
      <c r="AF168" s="71"/>
      <c r="AG168" s="3"/>
      <c r="AH168" s="3"/>
      <c r="AI168" s="3"/>
      <c r="AJ168" s="3"/>
      <c r="AK168" s="3"/>
      <c r="AL168" s="3"/>
    </row>
    <row r="169" spans="1:38">
      <c r="F169" s="52">
        <v>2.5</v>
      </c>
      <c r="G169" s="65">
        <f t="shared" si="16"/>
        <v>24</v>
      </c>
      <c r="H169" s="41" t="s">
        <v>96</v>
      </c>
      <c r="K169" s="10">
        <v>2.9</v>
      </c>
      <c r="L169" s="19">
        <v>18.3</v>
      </c>
      <c r="T169" s="10">
        <v>11</v>
      </c>
      <c r="U169" s="8">
        <v>60</v>
      </c>
      <c r="W169" s="70">
        <f t="shared" si="11"/>
        <v>3.278688524590164</v>
      </c>
      <c r="AA169" s="4"/>
      <c r="AB169" s="4"/>
      <c r="AC169" s="71"/>
      <c r="AD169" s="4"/>
      <c r="AE169" s="4"/>
      <c r="AF169" s="71"/>
      <c r="AG169" s="3"/>
      <c r="AH169" s="3"/>
      <c r="AI169" s="3"/>
      <c r="AJ169" s="3"/>
      <c r="AK169" s="3"/>
      <c r="AL169" s="3"/>
    </row>
    <row r="170" spans="1:38">
      <c r="F170" s="52">
        <v>3</v>
      </c>
      <c r="G170" s="65">
        <f t="shared" si="16"/>
        <v>24</v>
      </c>
      <c r="H170" s="41" t="s">
        <v>96</v>
      </c>
      <c r="K170" s="10">
        <v>3.5</v>
      </c>
      <c r="L170" s="19">
        <v>23.9</v>
      </c>
      <c r="T170" s="10">
        <v>11</v>
      </c>
      <c r="U170" s="8">
        <v>90</v>
      </c>
      <c r="W170" s="70">
        <f t="shared" si="11"/>
        <v>3.7656903765690379</v>
      </c>
      <c r="AA170" s="4"/>
      <c r="AB170" s="4"/>
      <c r="AC170" s="71"/>
      <c r="AD170" s="4"/>
      <c r="AE170" s="4"/>
      <c r="AF170" s="71"/>
      <c r="AG170" s="3"/>
      <c r="AH170" s="3"/>
      <c r="AI170" s="3"/>
      <c r="AJ170" s="3"/>
      <c r="AK170" s="3"/>
      <c r="AL170" s="3"/>
    </row>
    <row r="171" spans="1:38">
      <c r="H171" s="41"/>
      <c r="Y171" s="3"/>
      <c r="AA171" s="4"/>
      <c r="AB171" s="4"/>
      <c r="AC171" s="71"/>
      <c r="AD171" s="4"/>
      <c r="AE171" s="4"/>
      <c r="AF171" s="71"/>
      <c r="AG171" s="3"/>
      <c r="AH171" s="3"/>
      <c r="AI171" s="3"/>
      <c r="AJ171" s="3"/>
      <c r="AK171" s="3"/>
      <c r="AL171" s="3"/>
    </row>
    <row r="172" spans="1:38">
      <c r="H172" s="41"/>
      <c r="Y172" s="3"/>
      <c r="AA172" s="4"/>
      <c r="AB172" s="4"/>
      <c r="AC172" s="71"/>
      <c r="AD172" s="4"/>
      <c r="AE172" s="4"/>
      <c r="AF172" s="71"/>
      <c r="AG172" s="3"/>
      <c r="AH172" s="3"/>
      <c r="AI172" s="3"/>
      <c r="AJ172" s="3"/>
      <c r="AK172" s="3"/>
      <c r="AL172" s="3"/>
    </row>
    <row r="173" spans="1:38">
      <c r="H173" s="41"/>
      <c r="Y173" s="3"/>
      <c r="AA173" s="4"/>
      <c r="AB173" s="4"/>
      <c r="AC173" s="71"/>
      <c r="AD173" s="4"/>
      <c r="AE173" s="4"/>
      <c r="AF173" s="71"/>
      <c r="AG173" s="3"/>
      <c r="AH173" s="3"/>
      <c r="AI173" s="3"/>
      <c r="AJ173" s="3"/>
      <c r="AK173" s="3"/>
      <c r="AL173" s="3"/>
    </row>
    <row r="174" spans="1:38">
      <c r="A174" s="24"/>
      <c r="H174" s="41"/>
      <c r="Y174" s="3"/>
      <c r="AA174" s="4"/>
      <c r="AB174" s="4"/>
      <c r="AC174" s="71"/>
      <c r="AD174" s="4"/>
      <c r="AE174" s="4"/>
      <c r="AF174" s="71"/>
      <c r="AG174" s="3"/>
      <c r="AH174" s="3"/>
      <c r="AI174" s="3"/>
      <c r="AJ174" s="3"/>
      <c r="AK174" s="3"/>
      <c r="AL174" s="3"/>
    </row>
    <row r="175" spans="1:38">
      <c r="H175" s="41"/>
      <c r="Y175" s="3"/>
      <c r="AA175" s="4"/>
      <c r="AB175" s="4"/>
      <c r="AC175" s="71"/>
      <c r="AD175" s="4"/>
      <c r="AE175" s="4"/>
      <c r="AF175" s="71"/>
      <c r="AG175" s="3"/>
      <c r="AH175" s="3"/>
      <c r="AI175" s="3"/>
      <c r="AJ175" s="3"/>
      <c r="AK175" s="3"/>
      <c r="AL175" s="3"/>
    </row>
    <row r="176" spans="1:38">
      <c r="C176" s="8"/>
      <c r="D176" s="8"/>
      <c r="E176" s="19"/>
      <c r="F176" s="75"/>
      <c r="H176" s="41"/>
      <c r="Y176" s="3"/>
      <c r="AA176" s="4"/>
      <c r="AB176" s="4"/>
      <c r="AC176" s="71"/>
      <c r="AD176" s="4"/>
      <c r="AE176" s="4"/>
      <c r="AF176" s="71"/>
      <c r="AG176" s="3"/>
      <c r="AH176" s="3"/>
      <c r="AI176" s="3"/>
      <c r="AJ176" s="3"/>
      <c r="AK176" s="3"/>
      <c r="AL176" s="3"/>
    </row>
    <row r="177" spans="1:38">
      <c r="H177" s="41"/>
      <c r="Y177" s="3"/>
      <c r="AA177" s="4"/>
      <c r="AB177" s="4"/>
      <c r="AC177" s="71"/>
      <c r="AD177" s="4"/>
      <c r="AE177" s="4"/>
      <c r="AF177" s="71"/>
      <c r="AG177" s="3"/>
      <c r="AH177" s="3"/>
      <c r="AI177" s="3"/>
      <c r="AJ177" s="3"/>
      <c r="AK177" s="3"/>
      <c r="AL177" s="3"/>
    </row>
    <row r="178" spans="1:38">
      <c r="C178" s="8"/>
      <c r="D178" s="8"/>
      <c r="E178" s="19"/>
      <c r="F178" s="75"/>
      <c r="H178" s="41"/>
      <c r="Y178" s="3"/>
      <c r="AA178" s="4"/>
      <c r="AB178" s="4"/>
      <c r="AC178" s="71"/>
      <c r="AD178" s="4"/>
      <c r="AE178" s="4"/>
      <c r="AF178" s="71"/>
      <c r="AG178" s="3"/>
      <c r="AH178" s="3"/>
      <c r="AI178" s="3"/>
      <c r="AJ178" s="3"/>
      <c r="AK178" s="3"/>
      <c r="AL178" s="3"/>
    </row>
    <row r="179" spans="1:38">
      <c r="H179" s="41"/>
      <c r="Y179" s="3"/>
      <c r="AA179" s="4"/>
      <c r="AB179" s="4"/>
      <c r="AC179" s="71"/>
      <c r="AD179" s="4"/>
      <c r="AE179" s="4"/>
      <c r="AF179" s="71"/>
      <c r="AG179" s="3"/>
      <c r="AH179" s="3"/>
      <c r="AI179" s="3"/>
      <c r="AJ179" s="3"/>
      <c r="AK179" s="3"/>
      <c r="AL179" s="3"/>
    </row>
    <row r="180" spans="1:38">
      <c r="C180" s="8"/>
      <c r="D180" s="8"/>
      <c r="E180" s="19"/>
      <c r="F180" s="75"/>
      <c r="H180" s="41"/>
      <c r="Y180" s="3"/>
      <c r="AA180" s="4"/>
      <c r="AB180" s="4"/>
      <c r="AC180" s="71"/>
      <c r="AD180" s="4"/>
      <c r="AE180" s="4"/>
      <c r="AF180" s="71"/>
      <c r="AG180" s="3"/>
      <c r="AH180" s="3"/>
      <c r="AI180" s="3"/>
      <c r="AJ180" s="3"/>
      <c r="AK180" s="3"/>
      <c r="AL180" s="3"/>
    </row>
    <row r="181" spans="1:38">
      <c r="H181" s="41"/>
      <c r="Y181" s="3"/>
      <c r="AA181" s="4"/>
      <c r="AB181" s="4"/>
      <c r="AC181" s="71"/>
      <c r="AD181" s="4"/>
      <c r="AE181" s="4"/>
      <c r="AF181" s="71"/>
      <c r="AG181" s="3"/>
      <c r="AH181" s="3"/>
      <c r="AI181" s="3"/>
      <c r="AJ181" s="3"/>
      <c r="AK181" s="3"/>
      <c r="AL181" s="3"/>
    </row>
    <row r="182" spans="1:38">
      <c r="C182" s="8"/>
      <c r="D182" s="8"/>
      <c r="E182" s="19"/>
      <c r="F182" s="75"/>
      <c r="H182" s="41"/>
      <c r="Y182" s="3"/>
      <c r="AA182" s="4"/>
      <c r="AB182" s="4"/>
      <c r="AC182" s="71"/>
      <c r="AD182" s="4"/>
      <c r="AE182" s="4"/>
      <c r="AF182" s="71"/>
      <c r="AG182" s="3"/>
      <c r="AH182" s="3"/>
      <c r="AI182" s="3"/>
      <c r="AJ182" s="3"/>
      <c r="AK182" s="3"/>
      <c r="AL182" s="3"/>
    </row>
    <row r="183" spans="1:38">
      <c r="H183" s="41"/>
      <c r="Y183" s="3"/>
      <c r="AA183" s="4"/>
      <c r="AB183" s="4"/>
      <c r="AC183" s="71"/>
      <c r="AD183" s="4"/>
      <c r="AE183" s="4"/>
      <c r="AF183" s="71"/>
      <c r="AG183" s="3"/>
      <c r="AH183" s="3"/>
      <c r="AI183" s="3"/>
      <c r="AJ183" s="3"/>
      <c r="AK183" s="3"/>
      <c r="AL183" s="3"/>
    </row>
    <row r="184" spans="1:38">
      <c r="C184" s="8"/>
      <c r="D184" s="8"/>
      <c r="E184" s="19"/>
      <c r="F184" s="75"/>
      <c r="H184" s="41"/>
      <c r="Y184" s="3"/>
      <c r="AA184" s="4"/>
      <c r="AB184" s="4"/>
      <c r="AC184" s="71"/>
      <c r="AD184" s="4"/>
      <c r="AE184" s="4"/>
      <c r="AF184" s="71"/>
      <c r="AG184" s="3"/>
      <c r="AH184" s="3"/>
      <c r="AI184" s="3"/>
      <c r="AJ184" s="3"/>
      <c r="AK184" s="3"/>
      <c r="AL184" s="3"/>
    </row>
    <row r="185" spans="1:38">
      <c r="H185" s="41"/>
      <c r="Y185" s="3"/>
      <c r="AA185" s="4"/>
      <c r="AB185" s="4"/>
      <c r="AC185" s="71"/>
      <c r="AD185" s="4"/>
      <c r="AE185" s="4"/>
      <c r="AF185" s="71"/>
      <c r="AG185" s="3"/>
      <c r="AH185" s="3"/>
      <c r="AI185" s="3"/>
      <c r="AJ185" s="3"/>
      <c r="AK185" s="3"/>
      <c r="AL185" s="3"/>
    </row>
    <row r="186" spans="1:38">
      <c r="A186" s="24"/>
      <c r="H186" s="41"/>
      <c r="Y186" s="3"/>
      <c r="AA186" s="4"/>
      <c r="AB186" s="4"/>
      <c r="AC186" s="71"/>
      <c r="AD186" s="4"/>
      <c r="AE186" s="4"/>
      <c r="AF186" s="71"/>
      <c r="AG186" s="3"/>
      <c r="AH186" s="3"/>
      <c r="AI186" s="3"/>
      <c r="AJ186" s="3"/>
      <c r="AK186" s="3"/>
      <c r="AL186" s="3"/>
    </row>
    <row r="187" spans="1:38">
      <c r="H187" s="41"/>
      <c r="Y187" s="3"/>
      <c r="AA187" s="4"/>
      <c r="AB187" s="4"/>
      <c r="AC187" s="71"/>
      <c r="AD187" s="4"/>
      <c r="AE187" s="4"/>
      <c r="AF187" s="71"/>
      <c r="AG187" s="3"/>
      <c r="AH187" s="3"/>
      <c r="AI187" s="3"/>
      <c r="AJ187" s="3"/>
      <c r="AK187" s="3"/>
      <c r="AL187" s="3"/>
    </row>
    <row r="188" spans="1:38">
      <c r="C188" s="8"/>
      <c r="D188" s="8"/>
      <c r="E188" s="19"/>
      <c r="F188" s="75"/>
      <c r="H188" s="41"/>
      <c r="Y188" s="3"/>
      <c r="AA188" s="4"/>
      <c r="AB188" s="4"/>
      <c r="AC188" s="71"/>
      <c r="AD188" s="4"/>
      <c r="AE188" s="4"/>
      <c r="AF188" s="71"/>
      <c r="AG188" s="3"/>
      <c r="AH188" s="3"/>
      <c r="AI188" s="3"/>
      <c r="AJ188" s="3"/>
      <c r="AK188" s="3"/>
      <c r="AL188" s="3"/>
    </row>
    <row r="189" spans="1:38">
      <c r="C189" s="8"/>
      <c r="D189" s="8"/>
      <c r="E189" s="19"/>
      <c r="F189" s="75"/>
      <c r="H189" s="41"/>
      <c r="Y189" s="3"/>
      <c r="AA189" s="4"/>
      <c r="AB189" s="4"/>
      <c r="AC189" s="71"/>
      <c r="AD189" s="4"/>
      <c r="AE189" s="4"/>
      <c r="AF189" s="71"/>
      <c r="AG189" s="3"/>
      <c r="AH189" s="3"/>
      <c r="AI189" s="3"/>
      <c r="AJ189" s="3"/>
      <c r="AK189" s="3"/>
      <c r="AL189" s="3"/>
    </row>
    <row r="190" spans="1:38">
      <c r="C190" s="8"/>
      <c r="D190" s="8"/>
      <c r="E190" s="19"/>
      <c r="F190" s="75"/>
      <c r="H190" s="41"/>
      <c r="Y190" s="3"/>
      <c r="AA190" s="4"/>
      <c r="AB190" s="4"/>
      <c r="AC190" s="71"/>
      <c r="AD190" s="4"/>
      <c r="AE190" s="4"/>
      <c r="AF190" s="71"/>
      <c r="AG190" s="3"/>
      <c r="AH190" s="3"/>
      <c r="AI190" s="3"/>
      <c r="AJ190" s="3"/>
      <c r="AK190" s="3"/>
      <c r="AL190" s="3"/>
    </row>
    <row r="191" spans="1:38">
      <c r="C191" s="8"/>
      <c r="D191" s="8"/>
      <c r="E191" s="19"/>
      <c r="F191" s="75"/>
      <c r="H191" s="41"/>
      <c r="Y191" s="3"/>
      <c r="AA191" s="4"/>
      <c r="AB191" s="4"/>
      <c r="AC191" s="71"/>
      <c r="AD191" s="4"/>
      <c r="AE191" s="4"/>
      <c r="AF191" s="71"/>
      <c r="AG191" s="3"/>
      <c r="AH191" s="3"/>
      <c r="AI191" s="3"/>
      <c r="AJ191" s="3"/>
      <c r="AK191" s="3"/>
      <c r="AL191" s="3"/>
    </row>
    <row r="192" spans="1:38">
      <c r="H192" s="41"/>
      <c r="Y192" s="3"/>
      <c r="AA192" s="4"/>
      <c r="AB192" s="4"/>
      <c r="AC192" s="71"/>
      <c r="AD192" s="4"/>
      <c r="AE192" s="4"/>
      <c r="AF192" s="71"/>
      <c r="AG192" s="3"/>
      <c r="AH192" s="3"/>
      <c r="AI192" s="3"/>
      <c r="AJ192" s="3"/>
      <c r="AK192" s="3"/>
      <c r="AL192" s="3"/>
    </row>
    <row r="193" spans="1:38">
      <c r="C193" s="8"/>
      <c r="D193" s="8"/>
      <c r="E193" s="19"/>
      <c r="F193" s="75"/>
      <c r="H193" s="41"/>
      <c r="Y193" s="3"/>
      <c r="AA193" s="4"/>
      <c r="AB193" s="4"/>
      <c r="AC193" s="71"/>
      <c r="AD193" s="4"/>
      <c r="AE193" s="4"/>
      <c r="AF193" s="71"/>
      <c r="AG193" s="3"/>
      <c r="AH193" s="3"/>
      <c r="AI193" s="3"/>
      <c r="AJ193" s="3"/>
      <c r="AK193" s="3"/>
      <c r="AL193" s="3"/>
    </row>
    <row r="194" spans="1:38">
      <c r="C194" s="8"/>
      <c r="D194" s="8"/>
      <c r="E194" s="19"/>
      <c r="F194" s="75"/>
      <c r="H194" s="41"/>
      <c r="Y194" s="3"/>
      <c r="AA194" s="4"/>
      <c r="AB194" s="4"/>
      <c r="AC194" s="71"/>
      <c r="AD194" s="4"/>
      <c r="AE194" s="4"/>
      <c r="AF194" s="71"/>
      <c r="AG194" s="3"/>
      <c r="AH194" s="3"/>
      <c r="AI194" s="3"/>
      <c r="AJ194" s="3"/>
      <c r="AK194" s="3"/>
      <c r="AL194" s="3"/>
    </row>
    <row r="195" spans="1:38">
      <c r="C195" s="8"/>
      <c r="D195" s="8"/>
      <c r="E195" s="19"/>
      <c r="F195" s="75"/>
      <c r="H195" s="41"/>
      <c r="Y195" s="3"/>
      <c r="AA195" s="4"/>
      <c r="AB195" s="4"/>
      <c r="AC195" s="71"/>
      <c r="AD195" s="4"/>
      <c r="AE195" s="4"/>
      <c r="AF195" s="71"/>
      <c r="AG195" s="3"/>
      <c r="AH195" s="3"/>
      <c r="AI195" s="3"/>
      <c r="AJ195" s="3"/>
      <c r="AK195" s="3"/>
      <c r="AL195" s="3"/>
    </row>
    <row r="196" spans="1:38">
      <c r="C196" s="8"/>
      <c r="D196" s="8"/>
      <c r="E196" s="19"/>
      <c r="F196" s="75"/>
      <c r="H196" s="41"/>
      <c r="Y196" s="3"/>
      <c r="AA196" s="4"/>
      <c r="AB196" s="4"/>
      <c r="AC196" s="71"/>
      <c r="AD196" s="4"/>
      <c r="AE196" s="4"/>
      <c r="AF196" s="71"/>
      <c r="AG196" s="3"/>
      <c r="AH196" s="3"/>
      <c r="AI196" s="3"/>
      <c r="AJ196" s="3"/>
      <c r="AK196" s="3"/>
      <c r="AL196" s="3"/>
    </row>
    <row r="197" spans="1:38">
      <c r="C197" s="8"/>
      <c r="D197" s="8"/>
      <c r="E197" s="19"/>
      <c r="F197" s="75"/>
      <c r="H197" s="41"/>
      <c r="Y197" s="3"/>
      <c r="AA197" s="4"/>
      <c r="AB197" s="4"/>
      <c r="AC197" s="71"/>
      <c r="AD197" s="4"/>
      <c r="AE197" s="4"/>
      <c r="AF197" s="71"/>
      <c r="AG197" s="3"/>
      <c r="AH197" s="3"/>
      <c r="AI197" s="3"/>
      <c r="AJ197" s="3"/>
      <c r="AK197" s="3"/>
      <c r="AL197" s="3"/>
    </row>
    <row r="198" spans="1:38">
      <c r="C198" s="8"/>
      <c r="D198" s="8"/>
      <c r="E198" s="19"/>
      <c r="F198" s="75"/>
      <c r="H198" s="41"/>
      <c r="Y198" s="3"/>
      <c r="AA198" s="4"/>
      <c r="AB198" s="4"/>
      <c r="AC198" s="71"/>
      <c r="AD198" s="4"/>
      <c r="AE198" s="4"/>
      <c r="AF198" s="71"/>
      <c r="AG198" s="3"/>
      <c r="AH198" s="3"/>
      <c r="AI198" s="3"/>
      <c r="AJ198" s="3"/>
      <c r="AK198" s="3"/>
      <c r="AL198" s="3"/>
    </row>
    <row r="199" spans="1:38">
      <c r="C199" s="8"/>
      <c r="D199" s="8"/>
      <c r="E199" s="19"/>
      <c r="F199" s="75"/>
      <c r="H199" s="41"/>
      <c r="Y199" s="3"/>
      <c r="AA199" s="4"/>
      <c r="AB199" s="4"/>
      <c r="AC199" s="71"/>
      <c r="AD199" s="4"/>
      <c r="AE199" s="4"/>
      <c r="AF199" s="71"/>
      <c r="AG199" s="3"/>
      <c r="AH199" s="3"/>
      <c r="AI199" s="3"/>
      <c r="AJ199" s="3"/>
      <c r="AK199" s="3"/>
      <c r="AL199" s="3"/>
    </row>
    <row r="200" spans="1:38">
      <c r="C200" s="8"/>
      <c r="D200" s="8"/>
      <c r="E200" s="19"/>
      <c r="F200" s="75"/>
      <c r="H200" s="41"/>
      <c r="Y200" s="3"/>
      <c r="AA200" s="4"/>
      <c r="AB200" s="4"/>
      <c r="AC200" s="71"/>
      <c r="AD200" s="4"/>
      <c r="AE200" s="4"/>
      <c r="AF200" s="71"/>
      <c r="AG200" s="3"/>
      <c r="AH200" s="3"/>
      <c r="AI200" s="3"/>
      <c r="AJ200" s="3"/>
      <c r="AK200" s="3"/>
      <c r="AL200" s="3"/>
    </row>
    <row r="201" spans="1:38">
      <c r="C201" s="8"/>
      <c r="D201" s="8"/>
      <c r="E201" s="19"/>
      <c r="F201" s="75"/>
      <c r="H201" s="41"/>
      <c r="Y201" s="3"/>
      <c r="AA201" s="4"/>
      <c r="AB201" s="4"/>
      <c r="AC201" s="71"/>
      <c r="AD201" s="4"/>
      <c r="AE201" s="4"/>
      <c r="AF201" s="71"/>
      <c r="AG201" s="3"/>
      <c r="AH201" s="3"/>
      <c r="AI201" s="3"/>
      <c r="AJ201" s="3"/>
      <c r="AK201" s="3"/>
      <c r="AL201" s="3"/>
    </row>
    <row r="202" spans="1:38">
      <c r="H202" s="41"/>
      <c r="Y202" s="3"/>
      <c r="AA202" s="4"/>
      <c r="AB202" s="4"/>
      <c r="AC202" s="71"/>
      <c r="AD202" s="4"/>
      <c r="AE202" s="4"/>
      <c r="AF202" s="71"/>
      <c r="AG202" s="3"/>
      <c r="AH202" s="3"/>
      <c r="AI202" s="3"/>
      <c r="AJ202" s="3"/>
      <c r="AK202" s="3"/>
      <c r="AL202" s="3"/>
    </row>
    <row r="203" spans="1:38">
      <c r="A203" s="24"/>
      <c r="H203" s="41"/>
      <c r="Y203" s="3"/>
      <c r="AA203" s="4"/>
      <c r="AB203" s="4"/>
      <c r="AC203" s="71"/>
      <c r="AD203" s="4"/>
      <c r="AE203" s="4"/>
      <c r="AF203" s="71"/>
      <c r="AG203" s="3"/>
      <c r="AH203" s="3"/>
      <c r="AI203" s="3"/>
      <c r="AJ203" s="3"/>
      <c r="AK203" s="3"/>
      <c r="AL203" s="3"/>
    </row>
    <row r="204" spans="1:38">
      <c r="H204" s="41"/>
      <c r="Y204" s="3"/>
      <c r="AA204" s="4"/>
      <c r="AB204" s="4"/>
      <c r="AC204" s="71"/>
      <c r="AD204" s="4"/>
      <c r="AE204" s="4"/>
      <c r="AF204" s="71"/>
      <c r="AG204" s="3"/>
      <c r="AH204" s="3"/>
      <c r="AI204" s="3"/>
      <c r="AJ204" s="3"/>
      <c r="AK204" s="3"/>
      <c r="AL204" s="3"/>
    </row>
    <row r="205" spans="1:38">
      <c r="C205" s="8"/>
      <c r="D205" s="8"/>
      <c r="E205" s="19"/>
      <c r="F205" s="75"/>
      <c r="H205" s="41"/>
      <c r="Y205" s="3"/>
      <c r="AA205" s="4"/>
      <c r="AB205" s="4"/>
      <c r="AC205" s="71"/>
      <c r="AD205" s="4"/>
      <c r="AE205" s="4"/>
      <c r="AF205" s="71"/>
      <c r="AG205" s="3"/>
      <c r="AH205" s="3"/>
      <c r="AI205" s="3"/>
      <c r="AJ205" s="3"/>
      <c r="AK205" s="3"/>
      <c r="AL205" s="3"/>
    </row>
    <row r="206" spans="1:38">
      <c r="C206" s="8"/>
      <c r="D206" s="8"/>
      <c r="E206" s="19"/>
      <c r="F206" s="75"/>
      <c r="H206" s="41"/>
      <c r="Y206" s="3"/>
      <c r="AA206" s="4"/>
      <c r="AB206" s="4"/>
      <c r="AC206" s="71"/>
      <c r="AD206" s="4"/>
      <c r="AE206" s="4"/>
      <c r="AF206" s="71"/>
      <c r="AG206" s="3"/>
      <c r="AH206" s="3"/>
      <c r="AI206" s="3"/>
      <c r="AJ206" s="3"/>
      <c r="AK206" s="3"/>
      <c r="AL206" s="3"/>
    </row>
    <row r="207" spans="1:38">
      <c r="C207" s="8"/>
      <c r="D207" s="8"/>
      <c r="E207" s="19"/>
      <c r="F207" s="75"/>
      <c r="H207" s="41"/>
      <c r="Y207" s="3"/>
      <c r="AA207" s="4"/>
      <c r="AB207" s="4"/>
      <c r="AC207" s="71"/>
      <c r="AD207" s="4"/>
      <c r="AE207" s="4"/>
      <c r="AF207" s="71"/>
      <c r="AG207" s="3"/>
      <c r="AH207" s="3"/>
      <c r="AI207" s="3"/>
      <c r="AJ207" s="3"/>
      <c r="AK207" s="3"/>
      <c r="AL207" s="3"/>
    </row>
    <row r="208" spans="1:38">
      <c r="C208" s="8"/>
      <c r="D208" s="8"/>
      <c r="E208" s="19"/>
      <c r="F208" s="75"/>
      <c r="H208" s="41"/>
      <c r="Y208" s="3"/>
      <c r="AA208" s="4"/>
      <c r="AB208" s="4"/>
      <c r="AC208" s="71"/>
      <c r="AD208" s="4"/>
      <c r="AE208" s="4"/>
      <c r="AF208" s="71"/>
      <c r="AG208" s="3"/>
      <c r="AH208" s="3"/>
      <c r="AI208" s="3"/>
      <c r="AJ208" s="3"/>
      <c r="AK208" s="3"/>
      <c r="AL208" s="3"/>
    </row>
    <row r="209" spans="1:38">
      <c r="C209" s="8"/>
      <c r="D209" s="8"/>
      <c r="E209" s="19"/>
      <c r="F209" s="75"/>
      <c r="H209" s="41"/>
      <c r="Y209" s="3"/>
      <c r="AA209" s="4"/>
      <c r="AB209" s="4"/>
      <c r="AC209" s="71"/>
      <c r="AD209" s="4"/>
      <c r="AE209" s="4"/>
      <c r="AF209" s="71"/>
      <c r="AG209" s="3"/>
      <c r="AH209" s="3"/>
      <c r="AI209" s="3"/>
      <c r="AJ209" s="3"/>
      <c r="AK209" s="3"/>
      <c r="AL209" s="3"/>
    </row>
    <row r="210" spans="1:38">
      <c r="C210" s="8"/>
      <c r="D210" s="8"/>
      <c r="E210" s="19"/>
      <c r="F210" s="75"/>
      <c r="H210" s="41"/>
      <c r="Y210" s="3"/>
      <c r="AA210" s="4"/>
      <c r="AB210" s="4"/>
      <c r="AC210" s="71"/>
      <c r="AD210" s="4"/>
      <c r="AE210" s="4"/>
      <c r="AF210" s="71"/>
      <c r="AG210" s="3"/>
      <c r="AH210" s="3"/>
      <c r="AI210" s="3"/>
      <c r="AJ210" s="3"/>
      <c r="AK210" s="3"/>
      <c r="AL210" s="3"/>
    </row>
    <row r="211" spans="1:38">
      <c r="H211" s="41"/>
      <c r="Y211" s="3"/>
      <c r="AA211" s="4"/>
      <c r="AB211" s="4"/>
      <c r="AC211" s="71"/>
      <c r="AD211" s="4"/>
      <c r="AE211" s="4"/>
      <c r="AF211" s="71"/>
      <c r="AG211" s="3"/>
      <c r="AH211" s="3"/>
      <c r="AI211" s="3"/>
      <c r="AJ211" s="3"/>
      <c r="AK211" s="3"/>
      <c r="AL211" s="3"/>
    </row>
    <row r="212" spans="1:38">
      <c r="C212" s="8"/>
      <c r="D212" s="8"/>
      <c r="E212" s="19"/>
      <c r="F212" s="75"/>
      <c r="H212" s="41"/>
      <c r="Y212" s="3"/>
      <c r="AA212" s="4"/>
      <c r="AB212" s="4"/>
      <c r="AC212" s="71"/>
      <c r="AD212" s="4"/>
      <c r="AE212" s="4"/>
      <c r="AF212" s="71"/>
      <c r="AG212" s="3"/>
      <c r="AH212" s="3"/>
      <c r="AI212" s="3"/>
      <c r="AJ212" s="3"/>
      <c r="AK212" s="3"/>
      <c r="AL212" s="3"/>
    </row>
    <row r="213" spans="1:38">
      <c r="C213" s="8"/>
      <c r="D213" s="8"/>
      <c r="E213" s="19"/>
      <c r="F213" s="75"/>
      <c r="H213" s="41"/>
      <c r="Y213" s="3"/>
      <c r="AA213" s="4"/>
      <c r="AB213" s="4"/>
      <c r="AC213" s="71"/>
      <c r="AD213" s="4"/>
      <c r="AE213" s="4"/>
      <c r="AF213" s="71"/>
      <c r="AG213" s="3"/>
      <c r="AH213" s="3"/>
      <c r="AI213" s="3"/>
      <c r="AJ213" s="3"/>
      <c r="AK213" s="3"/>
      <c r="AL213" s="3"/>
    </row>
    <row r="214" spans="1:38">
      <c r="C214" s="8"/>
      <c r="D214" s="8"/>
      <c r="E214" s="19"/>
      <c r="F214" s="75"/>
      <c r="H214" s="41"/>
      <c r="Y214" s="3"/>
      <c r="AA214" s="4"/>
      <c r="AB214" s="4"/>
      <c r="AC214" s="71"/>
      <c r="AD214" s="4"/>
      <c r="AE214" s="4"/>
      <c r="AF214" s="71"/>
      <c r="AG214" s="3"/>
      <c r="AH214" s="3"/>
      <c r="AI214" s="3"/>
      <c r="AJ214" s="3"/>
      <c r="AK214" s="3"/>
      <c r="AL214" s="3"/>
    </row>
    <row r="215" spans="1:38">
      <c r="C215" s="8"/>
      <c r="D215" s="8"/>
      <c r="E215" s="19"/>
      <c r="F215" s="75"/>
      <c r="H215" s="41"/>
      <c r="Y215" s="3"/>
      <c r="AA215" s="4"/>
      <c r="AB215" s="4"/>
      <c r="AC215" s="71"/>
      <c r="AD215" s="4"/>
      <c r="AE215" s="4"/>
      <c r="AF215" s="71"/>
      <c r="AG215" s="3"/>
      <c r="AH215" s="3"/>
      <c r="AI215" s="3"/>
      <c r="AJ215" s="3"/>
      <c r="AK215" s="3"/>
      <c r="AL215" s="3"/>
    </row>
    <row r="216" spans="1:38">
      <c r="C216" s="8"/>
      <c r="D216" s="8"/>
      <c r="E216" s="19"/>
      <c r="F216" s="75"/>
      <c r="H216" s="41"/>
      <c r="Y216" s="3"/>
      <c r="AA216" s="4"/>
      <c r="AB216" s="4"/>
      <c r="AC216" s="71"/>
      <c r="AD216" s="4"/>
      <c r="AE216" s="4"/>
      <c r="AF216" s="71"/>
      <c r="AG216" s="3"/>
      <c r="AH216" s="3"/>
      <c r="AI216" s="3"/>
      <c r="AJ216" s="3"/>
      <c r="AK216" s="3"/>
      <c r="AL216" s="3"/>
    </row>
    <row r="217" spans="1:38">
      <c r="C217" s="8"/>
      <c r="D217" s="8"/>
      <c r="E217" s="19"/>
      <c r="F217" s="75"/>
      <c r="H217" s="41"/>
      <c r="Y217" s="3"/>
      <c r="AA217" s="4"/>
      <c r="AB217" s="4"/>
      <c r="AC217" s="71"/>
      <c r="AD217" s="4"/>
      <c r="AE217" s="4"/>
      <c r="AF217" s="71"/>
      <c r="AG217" s="3"/>
      <c r="AH217" s="3"/>
      <c r="AI217" s="3"/>
      <c r="AJ217" s="3"/>
      <c r="AK217" s="3"/>
      <c r="AL217" s="3"/>
    </row>
    <row r="218" spans="1:38">
      <c r="C218" s="8"/>
      <c r="D218" s="8"/>
      <c r="E218" s="19"/>
      <c r="F218" s="75"/>
      <c r="H218" s="41"/>
      <c r="Y218" s="3"/>
      <c r="AA218" s="4"/>
      <c r="AB218" s="4"/>
      <c r="AC218" s="71"/>
      <c r="AD218" s="4"/>
      <c r="AE218" s="4"/>
      <c r="AF218" s="71"/>
      <c r="AG218" s="3"/>
      <c r="AH218" s="3"/>
      <c r="AI218" s="3"/>
      <c r="AJ218" s="3"/>
      <c r="AK218" s="3"/>
      <c r="AL218" s="3"/>
    </row>
    <row r="219" spans="1:38">
      <c r="C219" s="8"/>
      <c r="D219" s="8"/>
      <c r="E219" s="19"/>
      <c r="F219" s="75"/>
      <c r="H219" s="41"/>
      <c r="Y219" s="3"/>
      <c r="AA219" s="4"/>
      <c r="AB219" s="4"/>
      <c r="AC219" s="71"/>
      <c r="AD219" s="4"/>
      <c r="AE219" s="4"/>
      <c r="AF219" s="71"/>
      <c r="AG219" s="3"/>
      <c r="AH219" s="3"/>
      <c r="AI219" s="3"/>
      <c r="AJ219" s="3"/>
      <c r="AK219" s="3"/>
      <c r="AL219" s="3"/>
    </row>
    <row r="220" spans="1:38">
      <c r="H220" s="41"/>
      <c r="Y220" s="3"/>
      <c r="AA220" s="4"/>
      <c r="AB220" s="4"/>
      <c r="AC220" s="71"/>
      <c r="AD220" s="4"/>
      <c r="AE220" s="4"/>
      <c r="AF220" s="71"/>
      <c r="AG220" s="3"/>
      <c r="AH220" s="3"/>
      <c r="AI220" s="3"/>
      <c r="AJ220" s="3"/>
      <c r="AK220" s="3"/>
      <c r="AL220" s="3"/>
    </row>
    <row r="221" spans="1:38">
      <c r="A221" s="24"/>
      <c r="H221" s="41"/>
      <c r="Y221" s="3"/>
      <c r="AA221" s="4"/>
      <c r="AB221" s="4"/>
      <c r="AC221" s="71"/>
      <c r="AD221" s="4"/>
      <c r="AE221" s="4"/>
      <c r="AF221" s="71"/>
      <c r="AG221" s="3"/>
      <c r="AH221" s="3"/>
      <c r="AI221" s="3"/>
      <c r="AJ221" s="3"/>
      <c r="AK221" s="3"/>
      <c r="AL221" s="3"/>
    </row>
    <row r="222" spans="1:38">
      <c r="H222" s="41"/>
      <c r="Y222" s="3"/>
      <c r="AA222" s="4"/>
      <c r="AB222" s="4"/>
      <c r="AC222" s="71"/>
      <c r="AD222" s="4"/>
      <c r="AE222" s="4"/>
      <c r="AF222" s="71"/>
      <c r="AG222" s="3"/>
      <c r="AH222" s="3"/>
      <c r="AI222" s="3"/>
      <c r="AJ222" s="3"/>
      <c r="AK222" s="3"/>
      <c r="AL222" s="3"/>
    </row>
    <row r="223" spans="1:38">
      <c r="C223" s="8"/>
      <c r="D223" s="8"/>
      <c r="E223" s="19"/>
      <c r="F223" s="75"/>
      <c r="H223" s="41"/>
      <c r="Y223" s="3"/>
      <c r="AA223" s="4"/>
      <c r="AB223" s="4"/>
      <c r="AC223" s="71"/>
      <c r="AD223" s="4"/>
      <c r="AE223" s="4"/>
      <c r="AF223" s="71"/>
      <c r="AG223" s="3"/>
      <c r="AH223" s="3"/>
      <c r="AI223" s="3"/>
      <c r="AJ223" s="3"/>
      <c r="AK223" s="3"/>
      <c r="AL223" s="3"/>
    </row>
    <row r="224" spans="1:38">
      <c r="H224" s="41"/>
      <c r="Y224" s="3"/>
      <c r="AA224" s="4"/>
      <c r="AB224" s="4"/>
      <c r="AC224" s="71"/>
      <c r="AD224" s="4"/>
      <c r="AE224" s="4"/>
      <c r="AF224" s="71"/>
      <c r="AG224" s="3"/>
      <c r="AH224" s="3"/>
      <c r="AI224" s="3"/>
      <c r="AJ224" s="3"/>
      <c r="AK224" s="3"/>
      <c r="AL224" s="3"/>
    </row>
    <row r="225" spans="1:38">
      <c r="C225" s="8"/>
      <c r="D225" s="8"/>
      <c r="E225" s="19"/>
      <c r="F225" s="75"/>
      <c r="H225" s="41"/>
      <c r="Y225" s="3"/>
      <c r="AA225" s="4"/>
      <c r="AB225" s="4"/>
      <c r="AC225" s="71"/>
      <c r="AD225" s="4"/>
      <c r="AE225" s="4"/>
      <c r="AF225" s="71"/>
      <c r="AG225" s="3"/>
      <c r="AH225" s="3"/>
      <c r="AI225" s="3"/>
      <c r="AJ225" s="3"/>
      <c r="AK225" s="3"/>
      <c r="AL225" s="3"/>
    </row>
    <row r="226" spans="1:38">
      <c r="H226" s="41"/>
      <c r="Y226" s="3"/>
      <c r="AA226" s="4"/>
      <c r="AB226" s="4"/>
      <c r="AC226" s="71"/>
      <c r="AD226" s="4"/>
      <c r="AE226" s="4"/>
      <c r="AF226" s="71"/>
      <c r="AG226" s="3"/>
      <c r="AH226" s="3"/>
      <c r="AI226" s="3"/>
      <c r="AJ226" s="3"/>
      <c r="AK226" s="3"/>
      <c r="AL226" s="3"/>
    </row>
    <row r="227" spans="1:38">
      <c r="C227" s="8"/>
      <c r="D227" s="8"/>
      <c r="E227" s="19"/>
      <c r="F227" s="75"/>
      <c r="H227" s="41"/>
      <c r="Y227" s="3"/>
      <c r="AA227" s="4"/>
      <c r="AB227" s="4"/>
      <c r="AC227" s="71"/>
      <c r="AD227" s="4"/>
      <c r="AE227" s="4"/>
      <c r="AF227" s="71"/>
      <c r="AG227" s="3"/>
      <c r="AH227" s="3"/>
      <c r="AI227" s="3"/>
      <c r="AJ227" s="3"/>
      <c r="AK227" s="3"/>
      <c r="AL227" s="3"/>
    </row>
    <row r="228" spans="1:38">
      <c r="H228" s="41"/>
      <c r="Y228" s="3"/>
      <c r="AA228" s="4"/>
      <c r="AB228" s="4"/>
      <c r="AC228" s="71"/>
      <c r="AD228" s="4"/>
      <c r="AE228" s="4"/>
      <c r="AF228" s="71"/>
      <c r="AG228" s="3"/>
      <c r="AH228" s="3"/>
      <c r="AI228" s="3"/>
      <c r="AJ228" s="3"/>
      <c r="AK228" s="3"/>
      <c r="AL228" s="3"/>
    </row>
    <row r="229" spans="1:38">
      <c r="C229" s="8"/>
      <c r="D229" s="8"/>
      <c r="E229" s="19"/>
      <c r="F229" s="75"/>
      <c r="H229" s="41"/>
      <c r="Y229" s="3"/>
      <c r="AA229" s="4"/>
      <c r="AB229" s="4"/>
      <c r="AC229" s="71"/>
      <c r="AD229" s="4"/>
      <c r="AE229" s="4"/>
      <c r="AF229" s="71"/>
      <c r="AG229" s="3"/>
      <c r="AH229" s="3"/>
      <c r="AI229" s="3"/>
      <c r="AJ229" s="3"/>
      <c r="AK229" s="3"/>
      <c r="AL229" s="3"/>
    </row>
    <row r="230" spans="1:38">
      <c r="H230" s="41"/>
      <c r="Y230" s="3"/>
      <c r="AA230" s="4"/>
      <c r="AB230" s="4"/>
      <c r="AC230" s="71"/>
      <c r="AD230" s="4"/>
      <c r="AE230" s="4"/>
      <c r="AF230" s="71"/>
      <c r="AG230" s="3"/>
      <c r="AH230" s="3"/>
      <c r="AI230" s="3"/>
      <c r="AJ230" s="3"/>
      <c r="AK230" s="3"/>
      <c r="AL230" s="3"/>
    </row>
    <row r="231" spans="1:38">
      <c r="C231" s="8"/>
      <c r="D231" s="8"/>
      <c r="E231" s="19"/>
      <c r="F231" s="75"/>
      <c r="H231" s="41"/>
      <c r="Y231" s="3"/>
      <c r="AA231" s="4"/>
      <c r="AB231" s="4"/>
      <c r="AC231" s="71"/>
      <c r="AD231" s="4"/>
      <c r="AE231" s="4"/>
      <c r="AF231" s="71"/>
      <c r="AG231" s="3"/>
      <c r="AH231" s="3"/>
      <c r="AI231" s="3"/>
      <c r="AJ231" s="3"/>
      <c r="AK231" s="3"/>
      <c r="AL231" s="3"/>
    </row>
    <row r="232" spans="1:38">
      <c r="C232" s="8"/>
      <c r="D232" s="8"/>
      <c r="E232" s="19"/>
      <c r="F232" s="75"/>
      <c r="H232" s="41"/>
      <c r="Y232" s="3"/>
      <c r="AA232" s="4"/>
      <c r="AB232" s="4"/>
      <c r="AC232" s="71"/>
      <c r="AD232" s="4"/>
      <c r="AE232" s="4"/>
      <c r="AF232" s="71"/>
      <c r="AG232" s="3"/>
      <c r="AH232" s="3"/>
      <c r="AI232" s="3"/>
      <c r="AJ232" s="3"/>
      <c r="AK232" s="3"/>
      <c r="AL232" s="3"/>
    </row>
    <row r="233" spans="1:38">
      <c r="H233" s="41"/>
      <c r="Y233" s="3"/>
      <c r="AA233" s="4"/>
      <c r="AB233" s="4"/>
      <c r="AC233" s="71"/>
      <c r="AD233" s="4"/>
      <c r="AE233" s="4"/>
      <c r="AF233" s="71"/>
      <c r="AG233" s="3"/>
      <c r="AH233" s="3"/>
      <c r="AI233" s="3"/>
      <c r="AJ233" s="3"/>
      <c r="AK233" s="3"/>
      <c r="AL233" s="3"/>
    </row>
    <row r="234" spans="1:38">
      <c r="A234" s="24"/>
      <c r="H234" s="41"/>
      <c r="Y234" s="3"/>
      <c r="AA234" s="4"/>
      <c r="AB234" s="4"/>
      <c r="AC234" s="71"/>
      <c r="AD234" s="4"/>
      <c r="AE234" s="4"/>
      <c r="AF234" s="71"/>
      <c r="AG234" s="3"/>
      <c r="AH234" s="3"/>
      <c r="AI234" s="3"/>
      <c r="AJ234" s="3"/>
      <c r="AK234" s="3"/>
      <c r="AL234" s="3"/>
    </row>
    <row r="235" spans="1:38">
      <c r="C235" s="8"/>
      <c r="D235" s="8"/>
      <c r="H235" s="41"/>
      <c r="Y235" s="3"/>
      <c r="AA235" s="4"/>
      <c r="AB235" s="4"/>
      <c r="AC235" s="71"/>
      <c r="AD235" s="4"/>
      <c r="AE235" s="4"/>
      <c r="AF235" s="71"/>
      <c r="AG235" s="3"/>
      <c r="AH235" s="3"/>
      <c r="AI235" s="3"/>
      <c r="AJ235" s="3"/>
      <c r="AK235" s="3"/>
      <c r="AL235" s="3"/>
    </row>
    <row r="236" spans="1:38">
      <c r="H236" s="41"/>
      <c r="Y236" s="3"/>
      <c r="AA236" s="4"/>
      <c r="AB236" s="4"/>
      <c r="AC236" s="71"/>
      <c r="AD236" s="4"/>
      <c r="AE236" s="4"/>
      <c r="AF236" s="71"/>
      <c r="AG236" s="3"/>
      <c r="AH236" s="3"/>
      <c r="AI236" s="3"/>
      <c r="AJ236" s="3"/>
      <c r="AK236" s="3"/>
      <c r="AL236" s="3"/>
    </row>
    <row r="237" spans="1:38">
      <c r="A237" s="24"/>
      <c r="H237" s="41"/>
      <c r="Y237" s="3"/>
      <c r="AA237" s="4"/>
      <c r="AB237" s="4"/>
      <c r="AC237" s="71"/>
      <c r="AD237" s="4"/>
      <c r="AE237" s="4"/>
      <c r="AF237" s="71"/>
      <c r="AG237" s="3"/>
      <c r="AH237" s="3"/>
      <c r="AI237" s="3"/>
      <c r="AJ237" s="3"/>
      <c r="AK237" s="3"/>
      <c r="AL237" s="3"/>
    </row>
    <row r="238" spans="1:38">
      <c r="H238" s="41"/>
      <c r="Y238" s="3"/>
      <c r="AA238" s="4"/>
      <c r="AB238" s="4"/>
      <c r="AC238" s="71"/>
      <c r="AD238" s="4"/>
      <c r="AE238" s="4"/>
      <c r="AF238" s="71"/>
      <c r="AG238" s="3"/>
      <c r="AH238" s="3"/>
      <c r="AI238" s="3"/>
      <c r="AJ238" s="3"/>
      <c r="AK238" s="3"/>
      <c r="AL238" s="3"/>
    </row>
    <row r="239" spans="1:38">
      <c r="C239" s="8"/>
      <c r="D239" s="8"/>
      <c r="E239" s="19"/>
      <c r="F239" s="75"/>
      <c r="H239" s="41"/>
      <c r="Y239" s="3"/>
      <c r="AA239" s="4"/>
      <c r="AB239" s="4"/>
      <c r="AC239" s="71"/>
      <c r="AD239" s="4"/>
      <c r="AE239" s="4"/>
      <c r="AF239" s="71"/>
      <c r="AG239" s="3"/>
      <c r="AH239" s="3"/>
      <c r="AI239" s="3"/>
      <c r="AJ239" s="3"/>
      <c r="AK239" s="3"/>
      <c r="AL239" s="3"/>
    </row>
    <row r="240" spans="1:38">
      <c r="C240" s="8"/>
      <c r="D240" s="8"/>
      <c r="E240" s="19"/>
      <c r="F240" s="75"/>
      <c r="H240" s="41"/>
      <c r="Y240" s="3"/>
      <c r="AA240" s="4"/>
      <c r="AB240" s="4"/>
      <c r="AC240" s="71"/>
      <c r="AD240" s="4"/>
      <c r="AE240" s="4"/>
      <c r="AF240" s="71"/>
      <c r="AG240" s="3"/>
      <c r="AH240" s="3"/>
      <c r="AI240" s="3"/>
      <c r="AJ240" s="3"/>
      <c r="AK240" s="3"/>
      <c r="AL240" s="3"/>
    </row>
    <row r="241" spans="3:38">
      <c r="C241" s="8"/>
      <c r="D241" s="8"/>
      <c r="E241" s="19"/>
      <c r="F241" s="75"/>
      <c r="H241" s="41"/>
      <c r="Y241" s="3"/>
      <c r="AA241" s="4"/>
      <c r="AB241" s="4"/>
      <c r="AC241" s="71"/>
      <c r="AD241" s="4"/>
      <c r="AE241" s="4"/>
      <c r="AF241" s="71"/>
      <c r="AG241" s="3"/>
      <c r="AH241" s="3"/>
      <c r="AI241" s="3"/>
      <c r="AJ241" s="3"/>
      <c r="AK241" s="3"/>
      <c r="AL241" s="3"/>
    </row>
    <row r="242" spans="3:38">
      <c r="C242" s="8"/>
      <c r="D242" s="8"/>
      <c r="E242" s="19"/>
      <c r="F242" s="75"/>
      <c r="H242" s="41"/>
      <c r="Y242" s="3"/>
      <c r="AA242" s="4"/>
      <c r="AB242" s="4"/>
      <c r="AC242" s="71"/>
      <c r="AD242" s="4"/>
      <c r="AE242" s="4"/>
      <c r="AF242" s="71"/>
      <c r="AG242" s="3"/>
      <c r="AH242" s="3"/>
      <c r="AI242" s="3"/>
      <c r="AJ242" s="3"/>
      <c r="AK242" s="3"/>
      <c r="AL242" s="3"/>
    </row>
    <row r="243" spans="3:38">
      <c r="C243" s="8"/>
      <c r="D243" s="8"/>
      <c r="E243" s="19"/>
      <c r="F243" s="75"/>
      <c r="H243" s="41"/>
      <c r="Y243" s="3"/>
      <c r="AA243" s="4"/>
      <c r="AB243" s="4"/>
      <c r="AC243" s="71"/>
      <c r="AD243" s="4"/>
      <c r="AE243" s="4"/>
      <c r="AF243" s="71"/>
      <c r="AG243" s="3"/>
      <c r="AH243" s="3"/>
      <c r="AI243" s="3"/>
      <c r="AJ243" s="3"/>
      <c r="AK243" s="3"/>
      <c r="AL243" s="3"/>
    </row>
    <row r="244" spans="3:38">
      <c r="C244" s="8"/>
      <c r="D244" s="8"/>
      <c r="E244" s="19"/>
      <c r="F244" s="75"/>
      <c r="H244" s="41"/>
      <c r="Y244" s="3"/>
      <c r="AA244" s="4"/>
      <c r="AB244" s="4"/>
      <c r="AC244" s="71"/>
      <c r="AD244" s="4"/>
      <c r="AE244" s="4"/>
      <c r="AF244" s="71"/>
      <c r="AG244" s="3"/>
      <c r="AH244" s="3"/>
      <c r="AI244" s="3"/>
      <c r="AJ244" s="3"/>
      <c r="AK244" s="3"/>
      <c r="AL244" s="3"/>
    </row>
    <row r="245" spans="3:38">
      <c r="C245" s="8"/>
      <c r="D245" s="8"/>
      <c r="E245" s="19"/>
      <c r="F245" s="75"/>
      <c r="H245" s="41"/>
      <c r="Y245" s="3"/>
      <c r="AA245" s="4"/>
      <c r="AB245" s="4"/>
      <c r="AC245" s="71"/>
      <c r="AD245" s="4"/>
      <c r="AE245" s="4"/>
      <c r="AF245" s="71"/>
      <c r="AG245" s="3"/>
      <c r="AH245" s="3"/>
      <c r="AI245" s="3"/>
      <c r="AJ245" s="3"/>
      <c r="AK245" s="3"/>
      <c r="AL245" s="3"/>
    </row>
    <row r="246" spans="3:38">
      <c r="C246" s="8"/>
      <c r="D246" s="8"/>
      <c r="E246" s="19"/>
      <c r="F246" s="75"/>
      <c r="H246" s="41"/>
      <c r="Y246" s="3"/>
      <c r="AA246" s="4"/>
      <c r="AB246" s="4"/>
      <c r="AC246" s="71"/>
      <c r="AD246" s="4"/>
      <c r="AE246" s="4"/>
      <c r="AF246" s="71"/>
      <c r="AG246" s="3"/>
      <c r="AH246" s="3"/>
      <c r="AI246" s="3"/>
      <c r="AJ246" s="3"/>
      <c r="AK246" s="3"/>
      <c r="AL246" s="3"/>
    </row>
    <row r="247" spans="3:38">
      <c r="C247" s="8"/>
      <c r="D247" s="8"/>
      <c r="E247" s="19"/>
      <c r="F247" s="75"/>
      <c r="H247" s="41"/>
      <c r="Y247" s="3"/>
      <c r="AA247" s="4"/>
      <c r="AB247" s="4"/>
      <c r="AC247" s="71"/>
      <c r="AD247" s="4"/>
      <c r="AE247" s="4"/>
      <c r="AF247" s="71"/>
      <c r="AG247" s="3"/>
      <c r="AH247" s="3"/>
      <c r="AI247" s="3"/>
      <c r="AJ247" s="3"/>
      <c r="AK247" s="3"/>
      <c r="AL247" s="3"/>
    </row>
    <row r="248" spans="3:38">
      <c r="C248" s="8"/>
      <c r="D248" s="8"/>
      <c r="E248" s="19"/>
      <c r="F248" s="75"/>
      <c r="H248" s="41"/>
      <c r="Y248" s="3"/>
      <c r="AA248" s="4"/>
      <c r="AB248" s="4"/>
      <c r="AC248" s="71"/>
      <c r="AD248" s="4"/>
      <c r="AE248" s="4"/>
      <c r="AF248" s="71"/>
      <c r="AG248" s="3"/>
      <c r="AH248" s="3"/>
      <c r="AI248" s="3"/>
      <c r="AJ248" s="3"/>
      <c r="AK248" s="3"/>
      <c r="AL248" s="3"/>
    </row>
    <row r="249" spans="3:38">
      <c r="H249" s="41"/>
      <c r="Y249" s="3"/>
      <c r="AA249" s="4"/>
      <c r="AB249" s="4"/>
      <c r="AC249" s="71"/>
      <c r="AD249" s="4"/>
      <c r="AE249" s="4"/>
      <c r="AF249" s="71"/>
      <c r="AG249" s="3"/>
      <c r="AH249" s="3"/>
      <c r="AI249" s="3"/>
      <c r="AJ249" s="3"/>
      <c r="AK249" s="3"/>
      <c r="AL249" s="3"/>
    </row>
    <row r="250" spans="3:38">
      <c r="C250" s="8"/>
      <c r="D250" s="8"/>
      <c r="E250" s="19"/>
      <c r="F250" s="75"/>
      <c r="H250" s="41"/>
      <c r="Y250" s="3"/>
      <c r="AA250" s="4"/>
      <c r="AB250" s="4"/>
      <c r="AC250" s="71"/>
      <c r="AD250" s="4"/>
      <c r="AE250" s="4"/>
      <c r="AF250" s="71"/>
      <c r="AG250" s="3"/>
      <c r="AH250" s="3"/>
      <c r="AI250" s="3"/>
      <c r="AJ250" s="3"/>
      <c r="AK250" s="3"/>
      <c r="AL250" s="3"/>
    </row>
    <row r="251" spans="3:38">
      <c r="C251" s="8"/>
      <c r="D251" s="8"/>
      <c r="E251" s="19"/>
      <c r="F251" s="75"/>
      <c r="H251" s="41"/>
      <c r="Y251" s="3"/>
      <c r="AA251" s="4"/>
      <c r="AB251" s="4"/>
      <c r="AC251" s="71"/>
      <c r="AD251" s="4"/>
      <c r="AE251" s="4"/>
      <c r="AF251" s="71"/>
      <c r="AG251" s="3"/>
      <c r="AH251" s="3"/>
      <c r="AI251" s="3"/>
      <c r="AJ251" s="3"/>
      <c r="AK251" s="3"/>
      <c r="AL251" s="3"/>
    </row>
    <row r="252" spans="3:38">
      <c r="C252" s="8"/>
      <c r="D252" s="8"/>
      <c r="E252" s="19"/>
      <c r="F252" s="75"/>
      <c r="H252" s="41"/>
      <c r="Y252" s="3"/>
      <c r="AA252" s="4"/>
      <c r="AB252" s="4"/>
      <c r="AC252" s="71"/>
      <c r="AD252" s="4"/>
      <c r="AE252" s="4"/>
      <c r="AF252" s="71"/>
      <c r="AG252" s="3"/>
      <c r="AH252" s="3"/>
      <c r="AI252" s="3"/>
      <c r="AJ252" s="3"/>
      <c r="AK252" s="3"/>
      <c r="AL252" s="3"/>
    </row>
    <row r="253" spans="3:38">
      <c r="C253" s="8"/>
      <c r="D253" s="8"/>
      <c r="E253" s="19"/>
      <c r="F253" s="75"/>
      <c r="H253" s="41"/>
      <c r="Y253" s="3"/>
      <c r="AA253" s="4"/>
      <c r="AB253" s="4"/>
      <c r="AC253" s="71"/>
      <c r="AD253" s="4"/>
      <c r="AE253" s="4"/>
      <c r="AF253" s="71"/>
      <c r="AG253" s="3"/>
      <c r="AH253" s="3"/>
      <c r="AI253" s="3"/>
      <c r="AJ253" s="3"/>
      <c r="AK253" s="3"/>
      <c r="AL253" s="3"/>
    </row>
    <row r="254" spans="3:38">
      <c r="C254" s="8"/>
      <c r="D254" s="8"/>
      <c r="E254" s="19"/>
      <c r="F254" s="75"/>
      <c r="H254" s="41"/>
      <c r="Y254" s="3"/>
      <c r="AA254" s="4"/>
      <c r="AB254" s="4"/>
      <c r="AC254" s="71"/>
      <c r="AD254" s="4"/>
      <c r="AE254" s="4"/>
      <c r="AF254" s="71"/>
      <c r="AG254" s="3"/>
      <c r="AH254" s="3"/>
      <c r="AI254" s="3"/>
      <c r="AJ254" s="3"/>
      <c r="AK254" s="3"/>
      <c r="AL254" s="3"/>
    </row>
    <row r="255" spans="3:38">
      <c r="H255" s="41"/>
      <c r="Y255" s="3"/>
      <c r="AA255" s="4"/>
      <c r="AB255" s="4"/>
      <c r="AC255" s="71"/>
      <c r="AD255" s="4"/>
      <c r="AE255" s="4"/>
      <c r="AF255" s="71"/>
      <c r="AG255" s="3"/>
      <c r="AH255" s="3"/>
      <c r="AI255" s="3"/>
      <c r="AJ255" s="3"/>
      <c r="AK255" s="3"/>
      <c r="AL255" s="3"/>
    </row>
    <row r="256" spans="3:38">
      <c r="C256" s="8"/>
      <c r="D256" s="8"/>
      <c r="E256" s="19"/>
      <c r="F256" s="75"/>
      <c r="H256" s="41"/>
      <c r="Y256" s="3"/>
      <c r="AA256" s="4"/>
      <c r="AB256" s="4"/>
      <c r="AC256" s="71"/>
      <c r="AD256" s="4"/>
      <c r="AE256" s="4"/>
      <c r="AF256" s="71"/>
      <c r="AG256" s="3"/>
      <c r="AH256" s="3"/>
      <c r="AI256" s="3"/>
      <c r="AJ256" s="3"/>
      <c r="AK256" s="3"/>
      <c r="AL256" s="3"/>
    </row>
    <row r="257" spans="1:38">
      <c r="C257" s="8"/>
      <c r="D257" s="8"/>
      <c r="E257" s="19"/>
      <c r="F257" s="75"/>
      <c r="H257" s="41"/>
      <c r="Y257" s="3"/>
      <c r="AA257" s="4"/>
      <c r="AB257" s="4"/>
      <c r="AC257" s="71"/>
      <c r="AD257" s="4"/>
      <c r="AE257" s="4"/>
      <c r="AF257" s="71"/>
      <c r="AG257" s="3"/>
      <c r="AH257" s="3"/>
      <c r="AI257" s="3"/>
      <c r="AJ257" s="3"/>
      <c r="AK257" s="3"/>
      <c r="AL257" s="3"/>
    </row>
    <row r="258" spans="1:38">
      <c r="C258" s="8"/>
      <c r="D258" s="8"/>
      <c r="E258" s="19"/>
      <c r="F258" s="75"/>
      <c r="H258" s="41"/>
      <c r="Y258" s="3"/>
      <c r="AA258" s="4"/>
      <c r="AB258" s="4"/>
      <c r="AC258" s="71"/>
      <c r="AD258" s="4"/>
      <c r="AE258" s="4"/>
      <c r="AF258" s="71"/>
      <c r="AG258" s="3"/>
      <c r="AH258" s="3"/>
      <c r="AI258" s="3"/>
      <c r="AJ258" s="3"/>
      <c r="AK258" s="3"/>
      <c r="AL258" s="3"/>
    </row>
    <row r="259" spans="1:38">
      <c r="C259" s="8"/>
      <c r="D259" s="8"/>
      <c r="E259" s="19"/>
      <c r="F259" s="75"/>
      <c r="H259" s="41"/>
      <c r="Y259" s="3"/>
      <c r="AA259" s="4"/>
      <c r="AB259" s="4"/>
      <c r="AC259" s="71"/>
      <c r="AD259" s="4"/>
      <c r="AE259" s="4"/>
      <c r="AF259" s="71"/>
      <c r="AG259" s="3"/>
      <c r="AH259" s="3"/>
      <c r="AI259" s="3"/>
      <c r="AJ259" s="3"/>
      <c r="AK259" s="3"/>
      <c r="AL259" s="3"/>
    </row>
    <row r="260" spans="1:38">
      <c r="E260" s="19"/>
      <c r="F260" s="75"/>
      <c r="H260" s="41"/>
      <c r="Y260" s="3"/>
      <c r="AA260" s="4"/>
      <c r="AB260" s="4"/>
      <c r="AC260" s="71"/>
      <c r="AD260" s="4"/>
      <c r="AE260" s="4"/>
      <c r="AF260" s="71"/>
      <c r="AG260" s="3"/>
      <c r="AH260" s="3"/>
      <c r="AI260" s="3"/>
      <c r="AJ260" s="3"/>
      <c r="AK260" s="3"/>
      <c r="AL260" s="3"/>
    </row>
    <row r="261" spans="1:38">
      <c r="C261" s="8"/>
      <c r="D261" s="8"/>
      <c r="E261" s="19"/>
      <c r="F261" s="75"/>
      <c r="H261" s="41"/>
      <c r="Y261" s="3"/>
      <c r="AA261" s="4"/>
      <c r="AB261" s="4"/>
      <c r="AC261" s="71"/>
      <c r="AD261" s="4"/>
      <c r="AE261" s="4"/>
      <c r="AF261" s="71"/>
      <c r="AG261" s="3"/>
      <c r="AH261" s="3"/>
      <c r="AI261" s="3"/>
      <c r="AJ261" s="3"/>
      <c r="AK261" s="3"/>
      <c r="AL261" s="3"/>
    </row>
    <row r="262" spans="1:38">
      <c r="C262" s="8"/>
      <c r="D262" s="8"/>
      <c r="E262" s="19"/>
      <c r="F262" s="75"/>
      <c r="H262" s="41"/>
      <c r="Y262" s="3"/>
      <c r="AA262" s="4"/>
      <c r="AB262" s="4"/>
      <c r="AC262" s="71"/>
      <c r="AD262" s="4"/>
      <c r="AE262" s="4"/>
      <c r="AF262" s="71"/>
      <c r="AG262" s="3"/>
      <c r="AH262" s="3"/>
      <c r="AI262" s="3"/>
      <c r="AJ262" s="3"/>
      <c r="AK262" s="3"/>
      <c r="AL262" s="3"/>
    </row>
    <row r="263" spans="1:38">
      <c r="H263" s="41"/>
      <c r="Y263" s="3"/>
      <c r="AA263" s="4"/>
      <c r="AB263" s="4"/>
      <c r="AC263" s="71"/>
      <c r="AD263" s="4"/>
      <c r="AE263" s="4"/>
      <c r="AF263" s="71"/>
      <c r="AG263" s="3"/>
      <c r="AH263" s="3"/>
      <c r="AI263" s="3"/>
      <c r="AJ263" s="3"/>
      <c r="AK263" s="3"/>
      <c r="AL263" s="3"/>
    </row>
    <row r="264" spans="1:38">
      <c r="A264" s="24"/>
      <c r="H264" s="41"/>
      <c r="Y264" s="3"/>
      <c r="AA264" s="4"/>
      <c r="AB264" s="4"/>
      <c r="AC264" s="71"/>
      <c r="AD264" s="4"/>
      <c r="AE264" s="4"/>
      <c r="AF264" s="71"/>
      <c r="AG264" s="3"/>
      <c r="AH264" s="3"/>
      <c r="AI264" s="3"/>
      <c r="AJ264" s="3"/>
      <c r="AK264" s="3"/>
      <c r="AL264" s="3"/>
    </row>
    <row r="265" spans="1:38">
      <c r="Y265" s="3"/>
      <c r="AA265" s="4"/>
      <c r="AB265" s="4"/>
      <c r="AC265" s="71"/>
      <c r="AD265" s="4"/>
      <c r="AE265" s="4"/>
      <c r="AF265" s="71"/>
      <c r="AG265" s="3"/>
      <c r="AH265" s="3"/>
      <c r="AI265" s="3"/>
      <c r="AJ265" s="3"/>
      <c r="AK265" s="3"/>
      <c r="AL265" s="3"/>
    </row>
    <row r="266" spans="1:38">
      <c r="Y266" s="3"/>
      <c r="AA266" s="4"/>
      <c r="AB266" s="4"/>
      <c r="AC266" s="71"/>
      <c r="AD266" s="4"/>
      <c r="AE266" s="4"/>
      <c r="AF266" s="71"/>
      <c r="AG266" s="3"/>
      <c r="AH266" s="3"/>
      <c r="AI266" s="3"/>
      <c r="AJ266" s="3"/>
      <c r="AK266" s="3"/>
      <c r="AL266" s="3"/>
    </row>
    <row r="267" spans="1:38">
      <c r="Y267" s="3"/>
      <c r="AA267" s="4"/>
      <c r="AB267" s="4"/>
      <c r="AC267" s="71"/>
      <c r="AD267" s="4"/>
      <c r="AE267" s="4"/>
      <c r="AF267" s="71"/>
      <c r="AG267" s="3"/>
      <c r="AH267" s="3"/>
      <c r="AI267" s="3"/>
      <c r="AJ267" s="3"/>
      <c r="AK267" s="3"/>
      <c r="AL267" s="3"/>
    </row>
    <row r="268" spans="1:38">
      <c r="C268" s="8"/>
      <c r="D268" s="8"/>
      <c r="E268" s="19"/>
      <c r="F268" s="75"/>
      <c r="Y268" s="3"/>
      <c r="AA268" s="4"/>
      <c r="AB268" s="4"/>
      <c r="AC268" s="71"/>
      <c r="AD268" s="4"/>
      <c r="AE268" s="4"/>
      <c r="AF268" s="71"/>
      <c r="AG268" s="3"/>
      <c r="AH268" s="3"/>
      <c r="AI268" s="3"/>
      <c r="AJ268" s="3"/>
      <c r="AK268" s="3"/>
      <c r="AL268" s="3"/>
    </row>
    <row r="269" spans="1:38">
      <c r="C269" s="8"/>
      <c r="D269" s="8"/>
      <c r="E269" s="19"/>
      <c r="F269" s="75"/>
      <c r="Y269" s="3"/>
      <c r="AA269" s="4"/>
      <c r="AB269" s="4"/>
      <c r="AC269" s="71"/>
      <c r="AD269" s="4"/>
      <c r="AE269" s="4"/>
      <c r="AF269" s="71"/>
      <c r="AG269" s="3"/>
      <c r="AH269" s="3"/>
      <c r="AI269" s="3"/>
      <c r="AJ269" s="3"/>
      <c r="AK269" s="3"/>
      <c r="AL269" s="3"/>
    </row>
    <row r="270" spans="1:38">
      <c r="Y270" s="3"/>
      <c r="AA270" s="4"/>
      <c r="AB270" s="4"/>
      <c r="AC270" s="71"/>
      <c r="AD270" s="4"/>
      <c r="AE270" s="4"/>
      <c r="AF270" s="71"/>
      <c r="AG270" s="3"/>
      <c r="AH270" s="3"/>
      <c r="AI270" s="3"/>
      <c r="AJ270" s="3"/>
      <c r="AK270" s="3"/>
      <c r="AL270" s="3"/>
    </row>
    <row r="271" spans="1:38">
      <c r="C271" s="8"/>
      <c r="D271" s="8"/>
      <c r="E271" s="19"/>
      <c r="F271" s="75"/>
      <c r="Y271" s="3"/>
      <c r="AA271" s="4"/>
      <c r="AB271" s="4"/>
      <c r="AC271" s="71"/>
      <c r="AD271" s="4"/>
      <c r="AE271" s="4"/>
      <c r="AF271" s="71"/>
      <c r="AG271" s="3"/>
      <c r="AH271" s="3"/>
      <c r="AI271" s="3"/>
      <c r="AJ271" s="3"/>
      <c r="AK271" s="3"/>
      <c r="AL271" s="3"/>
    </row>
  </sheetData>
  <mergeCells count="13">
    <mergeCell ref="T3:U3"/>
    <mergeCell ref="R1:S1"/>
    <mergeCell ref="I1:J1"/>
    <mergeCell ref="K1:L1"/>
    <mergeCell ref="G1:H1"/>
    <mergeCell ref="M1:P1"/>
    <mergeCell ref="T1:U1"/>
    <mergeCell ref="C1:E1"/>
    <mergeCell ref="AG1:AL1"/>
    <mergeCell ref="AG2:AH2"/>
    <mergeCell ref="AI2:AJ2"/>
    <mergeCell ref="AK2:AL2"/>
    <mergeCell ref="W1:Y1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</vt:vector>
  </HeadingPairs>
  <TitlesOfParts>
    <vt:vector size="8" baseType="lpstr">
      <vt:lpstr>Tabelle1</vt:lpstr>
      <vt:lpstr>Arbeitsbedarf</vt:lpstr>
      <vt:lpstr>Maschinenmassen</vt:lpstr>
      <vt:lpstr>Volumenbedarf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2008-10-17T06:56:48Z</dcterms:created>
  <dcterms:modified xsi:type="dcterms:W3CDTF">2008-10-22T09:25:28Z</dcterms:modified>
</cp:coreProperties>
</file>