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fast\Desktop\2021년\1월\20210110_\"/>
    </mc:Choice>
  </mc:AlternateContent>
  <xr:revisionPtr revIDLastSave="0" documentId="13_ncr:1_{121A01E9-D556-421C-86E4-A798A24946F9}" xr6:coauthVersionLast="45" xr6:coauthVersionMax="45" xr10:uidLastSave="{00000000-0000-0000-0000-000000000000}"/>
  <bookViews>
    <workbookView xWindow="-108" yWindow="-108" windowWidth="23256" windowHeight="12576" tabRatio="775" activeTab="2" xr2:uid="{00000000-000D-0000-FFFF-FFFF00000000}"/>
  </bookViews>
  <sheets>
    <sheet name="목표" sheetId="1" r:id="rId1"/>
    <sheet name="종합현황판" sheetId="3" r:id="rId2"/>
    <sheet name="bottom-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AA27" i="2" l="1"/>
  <c r="Z27" i="2"/>
  <c r="Z26" i="2"/>
  <c r="Q27" i="2"/>
  <c r="P27" i="2"/>
  <c r="Q26" i="2"/>
  <c r="P26" i="2"/>
  <c r="G27" i="2"/>
  <c r="F27" i="2"/>
  <c r="G26" i="2"/>
  <c r="F26" i="2"/>
  <c r="AJ5" i="2"/>
  <c r="AK5" i="2"/>
  <c r="AJ6" i="2"/>
  <c r="AK6" i="2"/>
  <c r="AJ7" i="2"/>
  <c r="AK7" i="2"/>
  <c r="AJ10" i="2"/>
  <c r="AK10" i="2"/>
  <c r="AJ11" i="2"/>
  <c r="AK11" i="2"/>
  <c r="AJ12" i="2"/>
  <c r="AK12" i="2"/>
  <c r="AJ13" i="2"/>
  <c r="AK13" i="2"/>
  <c r="AJ19" i="2"/>
  <c r="AK19" i="2"/>
  <c r="AJ20" i="2"/>
  <c r="AK20" i="2"/>
  <c r="O3" i="2" l="1"/>
  <c r="E3" i="2"/>
  <c r="L4" i="3" l="1"/>
  <c r="I4" i="3"/>
  <c r="B30" i="2" l="1"/>
  <c r="D2" i="2"/>
  <c r="F2" i="3" l="1"/>
  <c r="D37" i="1"/>
  <c r="C37" i="1"/>
  <c r="B37" i="1"/>
  <c r="O10" i="3" l="1"/>
  <c r="O11" i="3"/>
  <c r="O12" i="3"/>
  <c r="L33" i="3"/>
  <c r="M29" i="3"/>
  <c r="L30" i="3"/>
  <c r="E13" i="3"/>
  <c r="K37" i="1"/>
  <c r="K38" i="1" s="1"/>
  <c r="D38" i="1"/>
  <c r="Y30" i="2" l="1"/>
  <c r="X30" i="2"/>
  <c r="W30" i="2"/>
  <c r="V30" i="2"/>
  <c r="O30" i="2"/>
  <c r="N30" i="2"/>
  <c r="M30" i="2"/>
  <c r="L30" i="2"/>
  <c r="G30" i="2"/>
  <c r="F30" i="2"/>
  <c r="E30" i="2"/>
  <c r="D30" i="2"/>
  <c r="C30" i="2"/>
  <c r="M41" i="1" l="1"/>
  <c r="H10" i="2" l="1"/>
  <c r="C17" i="1" l="1"/>
  <c r="C19" i="1"/>
  <c r="E37" i="1"/>
  <c r="E39" i="1" s="1"/>
  <c r="D39" i="1"/>
  <c r="C38" i="1" l="1"/>
  <c r="C39" i="1"/>
  <c r="F35" i="1" l="1"/>
  <c r="F4" i="1" l="1"/>
  <c r="F5" i="1"/>
  <c r="F6" i="1"/>
  <c r="F7" i="1"/>
  <c r="F8" i="1"/>
  <c r="X13" i="3" l="1"/>
  <c r="W13" i="3"/>
  <c r="V13" i="3"/>
  <c r="Y12" i="3"/>
  <c r="Y11" i="3"/>
  <c r="Y10" i="3"/>
  <c r="Y9" i="3"/>
  <c r="O9" i="3" s="1"/>
  <c r="Y8" i="3"/>
  <c r="O8" i="3" s="1"/>
  <c r="Y7" i="3"/>
  <c r="O7" i="3" s="1"/>
  <c r="Y6" i="3"/>
  <c r="O6" i="3" s="1"/>
  <c r="Y5" i="3"/>
  <c r="O5" i="3" s="1"/>
  <c r="Y4" i="3"/>
  <c r="O4" i="3" s="1"/>
  <c r="S5" i="3" l="1"/>
  <c r="R5" i="3"/>
  <c r="R9" i="3"/>
  <c r="S9" i="3"/>
  <c r="R6" i="3"/>
  <c r="S6" i="3"/>
  <c r="R7" i="3"/>
  <c r="S7" i="3"/>
  <c r="S8" i="3"/>
  <c r="R8" i="3"/>
  <c r="Y13" i="3"/>
  <c r="B8" i="2" l="1"/>
  <c r="B14" i="2"/>
  <c r="B15" i="2" s="1"/>
  <c r="I24" i="1" l="1"/>
  <c r="I37" i="1"/>
  <c r="I39" i="1" s="1"/>
  <c r="I38" i="1" l="1"/>
  <c r="F17" i="1" l="1"/>
  <c r="F18" i="1"/>
  <c r="F19" i="1"/>
  <c r="F20" i="1"/>
  <c r="F21" i="1"/>
  <c r="B24" i="1"/>
  <c r="Q6" i="3" l="1"/>
  <c r="P6" i="3"/>
  <c r="Q8" i="3"/>
  <c r="P8" i="3"/>
  <c r="P7" i="3"/>
  <c r="Q7" i="3"/>
  <c r="P9" i="3"/>
  <c r="Q9" i="3"/>
  <c r="Q5" i="3"/>
  <c r="P5" i="3"/>
  <c r="B39" i="1"/>
  <c r="B38" i="1" l="1"/>
  <c r="M17" i="1" l="1"/>
  <c r="M18" i="1"/>
  <c r="M19" i="1"/>
  <c r="M20" i="1"/>
  <c r="M21" i="1"/>
  <c r="M16" i="1"/>
  <c r="N13" i="3" l="1"/>
  <c r="F13" i="3" l="1"/>
  <c r="D13" i="3"/>
  <c r="C13" i="3"/>
  <c r="G13" i="3" l="1"/>
  <c r="V8" i="2" l="1"/>
  <c r="V9" i="2"/>
  <c r="F16" i="1" l="1"/>
  <c r="P4" i="3" l="1"/>
  <c r="Q4" i="3"/>
  <c r="T21" i="1" l="1"/>
  <c r="T20" i="1"/>
  <c r="T19" i="1"/>
  <c r="T18" i="1"/>
  <c r="T17" i="1"/>
  <c r="T16" i="1"/>
  <c r="M37" i="1"/>
  <c r="M39" i="1" s="1"/>
  <c r="R6" i="2" l="1"/>
  <c r="F23" i="1" l="1"/>
  <c r="F22" i="1"/>
  <c r="Q10" i="3" l="1"/>
  <c r="Q13" i="3" s="1"/>
  <c r="P10" i="3"/>
  <c r="AB6" i="2"/>
  <c r="E11" i="1" l="1"/>
  <c r="F10" i="1"/>
  <c r="D11" i="1"/>
  <c r="C11" i="1"/>
  <c r="B11" i="1"/>
  <c r="F9" i="1"/>
  <c r="R10" i="3" l="1"/>
  <c r="S10" i="3"/>
  <c r="Z41" i="1"/>
  <c r="Y41" i="1"/>
  <c r="X41" i="1"/>
  <c r="W41" i="1"/>
  <c r="T41" i="1"/>
  <c r="S43" i="1" s="1"/>
  <c r="R43" i="1" l="1"/>
  <c r="Q43" i="1"/>
  <c r="P43" i="1"/>
  <c r="AA41" i="1"/>
  <c r="Z43" i="1" s="1"/>
  <c r="F41" i="1"/>
  <c r="D43" i="1" s="1"/>
  <c r="E43" i="1" l="1"/>
  <c r="C43" i="1"/>
  <c r="B43" i="1"/>
  <c r="X43" i="1"/>
  <c r="W43" i="1"/>
  <c r="Y43" i="1"/>
  <c r="T4" i="1" l="1"/>
  <c r="U17" i="1" s="1"/>
  <c r="T5" i="1"/>
  <c r="U18" i="1" s="1"/>
  <c r="T6" i="1"/>
  <c r="U19" i="1" s="1"/>
  <c r="T7" i="1"/>
  <c r="U20" i="1" s="1"/>
  <c r="T8" i="1"/>
  <c r="U21" i="1" s="1"/>
  <c r="M4" i="1"/>
  <c r="N17" i="1" s="1"/>
  <c r="M5" i="1"/>
  <c r="N18" i="1" s="1"/>
  <c r="M6" i="1"/>
  <c r="M7" i="1"/>
  <c r="N20" i="1" s="1"/>
  <c r="M8" i="1"/>
  <c r="N21" i="1" s="1"/>
  <c r="N19" i="1" l="1"/>
  <c r="S37" i="1"/>
  <c r="S39" i="1" s="1"/>
  <c r="R37" i="1"/>
  <c r="Q37" i="1"/>
  <c r="P37" i="1"/>
  <c r="L37" i="1"/>
  <c r="L39" i="1" s="1"/>
  <c r="K39" i="1"/>
  <c r="J37" i="1"/>
  <c r="Z34" i="1"/>
  <c r="Y34" i="1"/>
  <c r="X34" i="1"/>
  <c r="W34" i="1"/>
  <c r="T34" i="1"/>
  <c r="F34" i="1"/>
  <c r="Z33" i="1"/>
  <c r="Y33" i="1"/>
  <c r="X33" i="1"/>
  <c r="W33" i="1"/>
  <c r="T33" i="1"/>
  <c r="F33" i="1"/>
  <c r="Z32" i="1"/>
  <c r="Y32" i="1"/>
  <c r="X32" i="1"/>
  <c r="W32" i="1"/>
  <c r="T32" i="1"/>
  <c r="F32" i="1"/>
  <c r="Z31" i="1"/>
  <c r="Y31" i="1"/>
  <c r="X31" i="1"/>
  <c r="W31" i="1"/>
  <c r="T31" i="1"/>
  <c r="F31" i="1"/>
  <c r="Z30" i="1"/>
  <c r="Y30" i="1"/>
  <c r="X30" i="1"/>
  <c r="W30" i="1"/>
  <c r="T30" i="1"/>
  <c r="F30" i="1"/>
  <c r="Z29" i="1"/>
  <c r="Y29" i="1"/>
  <c r="X29" i="1"/>
  <c r="W29" i="1"/>
  <c r="T29" i="1"/>
  <c r="F29" i="1"/>
  <c r="R39" i="1" l="1"/>
  <c r="R38" i="1"/>
  <c r="Q39" i="1"/>
  <c r="Q38" i="1"/>
  <c r="J39" i="1"/>
  <c r="J38" i="1"/>
  <c r="P38" i="1"/>
  <c r="P39" i="1"/>
  <c r="F37" i="1"/>
  <c r="F39" i="1" s="1"/>
  <c r="X37" i="1"/>
  <c r="AA32" i="1"/>
  <c r="Y37" i="1"/>
  <c r="Y39" i="1" s="1"/>
  <c r="AA31" i="1"/>
  <c r="Z37" i="1"/>
  <c r="Z39" i="1" s="1"/>
  <c r="AA30" i="1"/>
  <c r="AA34" i="1"/>
  <c r="T37" i="1"/>
  <c r="T39" i="1" s="1"/>
  <c r="W37" i="1"/>
  <c r="AA33" i="1"/>
  <c r="AA29" i="1"/>
  <c r="X39" i="1" l="1"/>
  <c r="X38" i="1"/>
  <c r="W39" i="1"/>
  <c r="W38" i="1"/>
  <c r="AA37" i="1"/>
  <c r="AA39" i="1" s="1"/>
  <c r="P8" i="2" l="1"/>
  <c r="Q8" i="2"/>
  <c r="D18" i="2" l="1"/>
  <c r="L28" i="2" l="1"/>
  <c r="M28" i="2"/>
  <c r="L10" i="3" l="1"/>
  <c r="L11" i="3"/>
  <c r="I11" i="3"/>
  <c r="I10" i="3"/>
  <c r="I9" i="3"/>
  <c r="I8" i="3"/>
  <c r="I7" i="3"/>
  <c r="I6" i="3"/>
  <c r="I5" i="3" l="1"/>
  <c r="I12" i="3" l="1"/>
  <c r="I13" i="3" s="1"/>
  <c r="H13" i="3"/>
  <c r="H16" i="3" s="1"/>
  <c r="L12" i="3"/>
  <c r="J13" i="3"/>
  <c r="W9" i="2"/>
  <c r="X9" i="2"/>
  <c r="Y9" i="2"/>
  <c r="Z9" i="2"/>
  <c r="AA9" i="2"/>
  <c r="Q9" i="2"/>
  <c r="M9" i="2"/>
  <c r="N9" i="2"/>
  <c r="O9" i="2"/>
  <c r="P9" i="2"/>
  <c r="L9" i="2"/>
  <c r="G9" i="2"/>
  <c r="F9" i="2"/>
  <c r="E9" i="2"/>
  <c r="D9" i="2"/>
  <c r="C9" i="2"/>
  <c r="AG23" i="2"/>
  <c r="AH23" i="2"/>
  <c r="AI23" i="2"/>
  <c r="AJ23" i="2"/>
  <c r="AK23" i="2"/>
  <c r="K13" i="3" l="1"/>
  <c r="L6" i="3"/>
  <c r="L5" i="3"/>
  <c r="L8" i="3"/>
  <c r="L7" i="3"/>
  <c r="L9" i="3"/>
  <c r="W29" i="2"/>
  <c r="X29" i="2"/>
  <c r="Y29" i="2"/>
  <c r="W28" i="2"/>
  <c r="X28" i="2"/>
  <c r="Y28" i="2"/>
  <c r="AB23" i="2"/>
  <c r="AB20" i="2"/>
  <c r="AB19" i="2"/>
  <c r="W18" i="2"/>
  <c r="X18" i="2"/>
  <c r="Y18" i="2"/>
  <c r="Z18" i="2"/>
  <c r="AA18" i="2"/>
  <c r="X14" i="2"/>
  <c r="X16" i="2" s="1"/>
  <c r="AB12" i="2"/>
  <c r="AB13" i="2"/>
  <c r="AB10" i="2"/>
  <c r="AB11" i="2"/>
  <c r="W14" i="2"/>
  <c r="Y14" i="2"/>
  <c r="Z14" i="2"/>
  <c r="AA14" i="2"/>
  <c r="W8" i="2"/>
  <c r="X8" i="2"/>
  <c r="Y8" i="2"/>
  <c r="Z8" i="2"/>
  <c r="AA8" i="2"/>
  <c r="AB7" i="2"/>
  <c r="AB5" i="2"/>
  <c r="M29" i="2"/>
  <c r="N29" i="2"/>
  <c r="O29" i="2"/>
  <c r="N28" i="2"/>
  <c r="O28" i="2"/>
  <c r="R23" i="2"/>
  <c r="R20" i="2"/>
  <c r="R19" i="2"/>
  <c r="M18" i="2"/>
  <c r="N18" i="2"/>
  <c r="O18" i="2"/>
  <c r="P18" i="2"/>
  <c r="Q18" i="2"/>
  <c r="Q14" i="2"/>
  <c r="R12" i="2"/>
  <c r="R13" i="2"/>
  <c r="R10" i="2"/>
  <c r="R11" i="2"/>
  <c r="N14" i="2"/>
  <c r="O14" i="2"/>
  <c r="P14" i="2"/>
  <c r="R7" i="2"/>
  <c r="R5" i="2"/>
  <c r="L8" i="2"/>
  <c r="C29" i="2"/>
  <c r="D29" i="2"/>
  <c r="E29" i="2"/>
  <c r="F29" i="2"/>
  <c r="G29" i="2"/>
  <c r="C28" i="2"/>
  <c r="D28" i="2"/>
  <c r="E28" i="2"/>
  <c r="F28" i="2"/>
  <c r="G28" i="2"/>
  <c r="H27" i="2"/>
  <c r="H30" i="2" s="1"/>
  <c r="H26" i="2"/>
  <c r="H23" i="2"/>
  <c r="H20" i="2"/>
  <c r="H19" i="2"/>
  <c r="C18" i="2"/>
  <c r="E18" i="2"/>
  <c r="F18" i="2"/>
  <c r="G18" i="2"/>
  <c r="H7" i="2"/>
  <c r="C14" i="2"/>
  <c r="D14" i="2"/>
  <c r="D16" i="2" s="1"/>
  <c r="E14" i="2"/>
  <c r="E16" i="2" s="1"/>
  <c r="F14" i="2"/>
  <c r="G14" i="2"/>
  <c r="H12" i="2"/>
  <c r="H13" i="2"/>
  <c r="H11" i="2"/>
  <c r="F8" i="2"/>
  <c r="G8" i="2"/>
  <c r="H6" i="2"/>
  <c r="H5" i="2"/>
  <c r="C8" i="2"/>
  <c r="D8" i="2"/>
  <c r="E8" i="2"/>
  <c r="V29" i="2"/>
  <c r="L29" i="2"/>
  <c r="B29" i="2"/>
  <c r="V28" i="2"/>
  <c r="B28" i="2"/>
  <c r="AI27" i="2"/>
  <c r="AH27" i="2"/>
  <c r="AG27" i="2"/>
  <c r="AF27" i="2"/>
  <c r="AI26" i="2"/>
  <c r="AH26" i="2"/>
  <c r="AG26" i="2"/>
  <c r="AF26" i="2"/>
  <c r="AF23" i="2"/>
  <c r="AL23" i="2" s="1"/>
  <c r="AI20" i="2"/>
  <c r="AH20" i="2"/>
  <c r="AG20" i="2"/>
  <c r="AF20" i="2"/>
  <c r="AI19" i="2"/>
  <c r="AH19" i="2"/>
  <c r="AG19" i="2"/>
  <c r="AF19" i="2"/>
  <c r="V18" i="2"/>
  <c r="L18" i="2"/>
  <c r="B18" i="2"/>
  <c r="AI10" i="2"/>
  <c r="AH10" i="2"/>
  <c r="AG10" i="2"/>
  <c r="AF10" i="2"/>
  <c r="AF13" i="2"/>
  <c r="AI12" i="2"/>
  <c r="AH12" i="2"/>
  <c r="AF12" i="2"/>
  <c r="AI11" i="2"/>
  <c r="AH11" i="2"/>
  <c r="AG11" i="2"/>
  <c r="AF11" i="2"/>
  <c r="V14" i="2"/>
  <c r="O8" i="2"/>
  <c r="N8" i="2"/>
  <c r="M8" i="2"/>
  <c r="AI7" i="2"/>
  <c r="AH7" i="2"/>
  <c r="AG7" i="2"/>
  <c r="AF7" i="2"/>
  <c r="AI6" i="2"/>
  <c r="AH6" i="2"/>
  <c r="AG6" i="2"/>
  <c r="AF6" i="2"/>
  <c r="AI5" i="2"/>
  <c r="AH5" i="2"/>
  <c r="AG5" i="2"/>
  <c r="AF5" i="2"/>
  <c r="I2" i="2"/>
  <c r="A1" i="2"/>
  <c r="AK27" i="2" l="1"/>
  <c r="AK26" i="2"/>
  <c r="AJ27" i="2"/>
  <c r="Z15" i="2"/>
  <c r="Q16" i="2"/>
  <c r="Q21" i="2" s="1"/>
  <c r="AF30" i="2"/>
  <c r="AF28" i="2"/>
  <c r="AG30" i="2"/>
  <c r="AG28" i="2"/>
  <c r="AH30" i="2"/>
  <c r="AH28" i="2"/>
  <c r="AI30" i="2"/>
  <c r="AI28" i="2"/>
  <c r="I16" i="3"/>
  <c r="H15" i="3"/>
  <c r="L32" i="3"/>
  <c r="H28" i="2"/>
  <c r="H29" i="2"/>
  <c r="M13" i="3"/>
  <c r="O13" i="3"/>
  <c r="L13" i="3"/>
  <c r="X21" i="2"/>
  <c r="I26" i="2"/>
  <c r="AI18" i="2"/>
  <c r="AJ18" i="2"/>
  <c r="E21" i="2"/>
  <c r="AB18" i="2"/>
  <c r="AH18" i="2"/>
  <c r="AL20" i="2"/>
  <c r="D21" i="2"/>
  <c r="AB8" i="2"/>
  <c r="AF9" i="2"/>
  <c r="AF14" i="2" s="1"/>
  <c r="R8" i="2"/>
  <c r="AJ9" i="2"/>
  <c r="AJ14" i="2" s="1"/>
  <c r="AJ15" i="2" s="1"/>
  <c r="AJ8" i="2"/>
  <c r="AK9" i="2"/>
  <c r="H8" i="2"/>
  <c r="AL10" i="2"/>
  <c r="B1" i="2"/>
  <c r="N16" i="2"/>
  <c r="N21" i="2" s="1"/>
  <c r="N15" i="2"/>
  <c r="P15" i="2"/>
  <c r="P16" i="2"/>
  <c r="P21" i="2" s="1"/>
  <c r="AL5" i="2"/>
  <c r="AL7" i="2"/>
  <c r="AG29" i="2"/>
  <c r="R9" i="2"/>
  <c r="X15" i="2"/>
  <c r="AK18" i="2"/>
  <c r="H18" i="2"/>
  <c r="AI29" i="2"/>
  <c r="AH29" i="2"/>
  <c r="O15" i="2"/>
  <c r="O16" i="2"/>
  <c r="AL19" i="2"/>
  <c r="AG18" i="2"/>
  <c r="AK8" i="2"/>
  <c r="R18" i="2"/>
  <c r="AA16" i="2"/>
  <c r="AA21" i="2" s="1"/>
  <c r="AA15" i="2"/>
  <c r="W16" i="2"/>
  <c r="W21" i="2" s="1"/>
  <c r="W15" i="2"/>
  <c r="AL6" i="2"/>
  <c r="AB14" i="2"/>
  <c r="L14" i="2"/>
  <c r="L16" i="2" s="1"/>
  <c r="L21" i="2" s="1"/>
  <c r="Y15" i="2"/>
  <c r="Y16" i="2"/>
  <c r="Y21" i="2" s="1"/>
  <c r="Z16" i="2"/>
  <c r="Z21" i="2" s="1"/>
  <c r="Q15" i="2"/>
  <c r="AB9" i="2"/>
  <c r="AL11" i="2"/>
  <c r="AC10" i="2"/>
  <c r="F15" i="2"/>
  <c r="F16" i="2"/>
  <c r="F21" i="2" s="1"/>
  <c r="G15" i="2"/>
  <c r="G16" i="2"/>
  <c r="G21" i="2" s="1"/>
  <c r="H9" i="2"/>
  <c r="E15" i="2"/>
  <c r="C15" i="2"/>
  <c r="C16" i="2"/>
  <c r="C21" i="2" s="1"/>
  <c r="D15" i="2"/>
  <c r="AH8" i="2"/>
  <c r="AC11" i="2"/>
  <c r="AG8" i="2"/>
  <c r="AC7" i="2"/>
  <c r="AI8" i="2"/>
  <c r="AF29" i="2"/>
  <c r="S10" i="2"/>
  <c r="S7" i="2"/>
  <c r="I11" i="2"/>
  <c r="AF18" i="2"/>
  <c r="S11" i="2"/>
  <c r="AI13" i="2"/>
  <c r="AI9" i="2" s="1"/>
  <c r="AF8" i="2"/>
  <c r="I7" i="2"/>
  <c r="V15" i="2"/>
  <c r="V16" i="2"/>
  <c r="AH13" i="2"/>
  <c r="AH9" i="2" s="1"/>
  <c r="H14" i="2"/>
  <c r="I27" i="2"/>
  <c r="AG12" i="2"/>
  <c r="AL12" i="2" s="1"/>
  <c r="AG13" i="2"/>
  <c r="I10" i="2"/>
  <c r="AJ26" i="2" l="1"/>
  <c r="AA30" i="2"/>
  <c r="AA28" i="2"/>
  <c r="AA29" i="2"/>
  <c r="AB26" i="2"/>
  <c r="AC26" i="2" s="1"/>
  <c r="Z30" i="2"/>
  <c r="AB27" i="2"/>
  <c r="Z28" i="2"/>
  <c r="Z29" i="2"/>
  <c r="Q30" i="2"/>
  <c r="Q29" i="2"/>
  <c r="Q28" i="2"/>
  <c r="P30" i="2"/>
  <c r="R27" i="2"/>
  <c r="P28" i="2"/>
  <c r="P29" i="2"/>
  <c r="R26" i="2"/>
  <c r="S26" i="2" s="1"/>
  <c r="AL26" i="2"/>
  <c r="AM26" i="2" s="1"/>
  <c r="AH21" i="2"/>
  <c r="AH16" i="2"/>
  <c r="AG9" i="2"/>
  <c r="AL9" i="2" s="1"/>
  <c r="AL18" i="2"/>
  <c r="AI14" i="2"/>
  <c r="AI15" i="2" s="1"/>
  <c r="AH14" i="2"/>
  <c r="AH15" i="2" s="1"/>
  <c r="L15" i="2"/>
  <c r="AJ21" i="2"/>
  <c r="AJ16" i="2"/>
  <c r="AK21" i="2"/>
  <c r="AF15" i="2"/>
  <c r="AI16" i="2"/>
  <c r="O21" i="2"/>
  <c r="AI21" i="2" s="1"/>
  <c r="AL8" i="2"/>
  <c r="AB16" i="2"/>
  <c r="AB21" i="2" s="1"/>
  <c r="AB15" i="2"/>
  <c r="AK14" i="2"/>
  <c r="AK15" i="2" s="1"/>
  <c r="AL13" i="2"/>
  <c r="AK16" i="2"/>
  <c r="H16" i="2"/>
  <c r="H21" i="2" s="1"/>
  <c r="H15" i="2"/>
  <c r="AM7" i="2"/>
  <c r="AM10" i="2"/>
  <c r="M14" i="2"/>
  <c r="R14" i="2" s="1"/>
  <c r="AF16" i="2"/>
  <c r="B16" i="2"/>
  <c r="V21" i="2"/>
  <c r="AM11" i="2"/>
  <c r="AB30" i="2" l="1"/>
  <c r="AC27" i="2"/>
  <c r="AB28" i="2"/>
  <c r="R30" i="2"/>
  <c r="S27" i="2"/>
  <c r="R28" i="2"/>
  <c r="AK30" i="2"/>
  <c r="AK28" i="2"/>
  <c r="AK29" i="2"/>
  <c r="AJ30" i="2"/>
  <c r="AJ29" i="2"/>
  <c r="AJ28" i="2"/>
  <c r="AL27" i="2"/>
  <c r="R16" i="2"/>
  <c r="R15" i="2"/>
  <c r="M16" i="2"/>
  <c r="M15" i="2"/>
  <c r="B21" i="2"/>
  <c r="AF21" i="2"/>
  <c r="AG14" i="2"/>
  <c r="AM27" i="2" l="1"/>
  <c r="AL30" i="2"/>
  <c r="AL28" i="2"/>
  <c r="AL16" i="2"/>
  <c r="R21" i="2"/>
  <c r="AL21" i="2" s="1"/>
  <c r="AG15" i="2"/>
  <c r="AL14" i="2"/>
  <c r="AL15" i="2" s="1"/>
  <c r="AG16" i="2"/>
  <c r="M21" i="2"/>
  <c r="AG21" i="2" s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Z3" i="1"/>
  <c r="P11" i="1"/>
  <c r="Q11" i="1"/>
  <c r="R11" i="1"/>
  <c r="S11" i="1"/>
  <c r="T3" i="1"/>
  <c r="U16" i="1" s="1"/>
  <c r="I11" i="1"/>
  <c r="J11" i="1"/>
  <c r="K11" i="1"/>
  <c r="L11" i="1"/>
  <c r="M3" i="1"/>
  <c r="N16" i="1" s="1"/>
  <c r="F3" i="1"/>
  <c r="W19" i="1"/>
  <c r="X19" i="1"/>
  <c r="Y19" i="1"/>
  <c r="W20" i="1"/>
  <c r="X20" i="1"/>
  <c r="Y20" i="1"/>
  <c r="W21" i="1"/>
  <c r="X21" i="1"/>
  <c r="Y21" i="1"/>
  <c r="Z17" i="1"/>
  <c r="Z18" i="1"/>
  <c r="Z19" i="1"/>
  <c r="Z20" i="1"/>
  <c r="Z21" i="1"/>
  <c r="S4" i="3" l="1"/>
  <c r="S13" i="3" s="1"/>
  <c r="R4" i="3"/>
  <c r="S24" i="1"/>
  <c r="R24" i="1"/>
  <c r="P24" i="1"/>
  <c r="Q24" i="1"/>
  <c r="K24" i="1"/>
  <c r="J24" i="1"/>
  <c r="F11" i="1"/>
  <c r="R13" i="3" s="1"/>
  <c r="AA8" i="1"/>
  <c r="AA6" i="1"/>
  <c r="AA5" i="1"/>
  <c r="M11" i="1"/>
  <c r="K1" i="1" s="1"/>
  <c r="T11" i="1"/>
  <c r="Z11" i="1"/>
  <c r="AA7" i="1"/>
  <c r="AA4" i="1"/>
  <c r="T24" i="1"/>
  <c r="AA20" i="1"/>
  <c r="AA21" i="1"/>
  <c r="AA19" i="1"/>
  <c r="Q1" i="1" l="1"/>
  <c r="U24" i="1"/>
  <c r="W16" i="1"/>
  <c r="P1" i="1"/>
  <c r="I1" i="1"/>
  <c r="L1" i="1"/>
  <c r="R1" i="1"/>
  <c r="S1" i="1"/>
  <c r="Z16" i="1"/>
  <c r="Z24" i="1" s="1"/>
  <c r="L24" i="1"/>
  <c r="J1" i="1"/>
  <c r="D24" i="1"/>
  <c r="E24" i="1"/>
  <c r="C24" i="1"/>
  <c r="C1" i="1"/>
  <c r="B1" i="1"/>
  <c r="D1" i="1"/>
  <c r="E1" i="1"/>
  <c r="F24" i="1" l="1"/>
  <c r="Y3" i="1"/>
  <c r="Y11" i="1" s="1"/>
  <c r="X3" i="1"/>
  <c r="X11" i="1" s="1"/>
  <c r="W3" i="1"/>
  <c r="Y18" i="1"/>
  <c r="X18" i="1"/>
  <c r="W18" i="1"/>
  <c r="Y17" i="1"/>
  <c r="X17" i="1"/>
  <c r="W17" i="1"/>
  <c r="Y16" i="1"/>
  <c r="X16" i="1"/>
  <c r="P13" i="3" l="1"/>
  <c r="Y24" i="1"/>
  <c r="AA18" i="1"/>
  <c r="AA16" i="1"/>
  <c r="X24" i="1"/>
  <c r="AA17" i="1"/>
  <c r="W11" i="1"/>
  <c r="AA3" i="1"/>
  <c r="AA11" i="1" s="1"/>
  <c r="Z1" i="1" l="1"/>
  <c r="Y1" i="1"/>
  <c r="W1" i="1"/>
  <c r="X1" i="1"/>
  <c r="AA24" i="1"/>
  <c r="M24" i="1"/>
  <c r="N24" i="1" s="1"/>
  <c r="W24" i="1" l="1"/>
  <c r="Y14" i="1"/>
  <c r="X14" i="1"/>
  <c r="Z14" i="1"/>
  <c r="W14" i="1" l="1"/>
  <c r="W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Kim, Ryeonghwan</author>
    <author>Lee, Junjae</author>
  </authors>
  <commentList>
    <comment ref="AA12" authorId="0" shapeId="0" xr:uid="{A01C4EB2-D148-4796-BE18-F1B20D7F8431}">
      <text>
        <r>
          <rPr>
            <b/>
            <sz val="9"/>
            <color indexed="81"/>
            <rFont val="Tahoma"/>
            <family val="2"/>
          </rPr>
          <t>Kim, Ryeonghwan: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질병청</t>
        </r>
        <r>
          <rPr>
            <sz val="9"/>
            <color indexed="81"/>
            <rFont val="Tahoma"/>
            <family val="2"/>
          </rPr>
          <t xml:space="preserve"> T9 +173K 8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수요부서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월마감요청</t>
        </r>
      </text>
    </comment>
    <comment ref="G13" authorId="0" shapeId="0" xr:uid="{776D0AC3-AE35-468D-AA31-D221B2BF450F}">
      <text>
        <r>
          <rPr>
            <b/>
            <sz val="9"/>
            <color indexed="81"/>
            <rFont val="Tahoma"/>
            <family val="2"/>
          </rPr>
          <t>Kim, Ryeonghwan: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질병청</t>
        </r>
        <r>
          <rPr>
            <sz val="9"/>
            <color indexed="81"/>
            <rFont val="Tahoma"/>
            <family val="2"/>
          </rPr>
          <t xml:space="preserve"> XL core 4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  <r>
          <rPr>
            <sz val="9"/>
            <color indexed="81"/>
            <rFont val="Tahoma"/>
            <family val="2"/>
          </rPr>
          <t xml:space="preserve"> +22K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D23" authorId="1" shapeId="0" xr:uid="{7E723A89-77FB-4B25-94C3-5E3C62A97695}">
      <text>
        <r>
          <rPr>
            <b/>
            <sz val="9"/>
            <color indexed="81"/>
            <rFont val="Tahoma"/>
            <family val="2"/>
          </rPr>
          <t>Lee, Junjae: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아피셀테라퓨틱스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계산서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(LPD </t>
        </r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미입고로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높습니다</t>
        </r>
        <r>
          <rPr>
            <sz val="9"/>
            <color indexed="81"/>
            <rFont val="Tahoma"/>
            <family val="2"/>
          </rPr>
          <t>.)</t>
        </r>
      </text>
    </comment>
    <comment ref="AA23" authorId="0" shapeId="0" xr:uid="{167C1F15-F155-4BAA-A0A9-9CB4F85A8628}">
      <text>
        <r>
          <rPr>
            <b/>
            <sz val="9"/>
            <color indexed="81"/>
            <rFont val="Tahoma"/>
            <family val="2"/>
          </rPr>
          <t>Kim, Ryeonghwan: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변동성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400K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200K </t>
        </r>
        <r>
          <rPr>
            <sz val="9"/>
            <color indexed="81"/>
            <rFont val="돋움"/>
            <family val="3"/>
            <charset val="129"/>
          </rPr>
          <t>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AA27" authorId="0" shapeId="0" xr:uid="{16D0EF8A-B4D6-4288-AB9D-7A24721999D8}">
      <text>
        <r>
          <rPr>
            <b/>
            <sz val="9"/>
            <color indexed="81"/>
            <rFont val="Tahoma"/>
            <family val="2"/>
          </rPr>
          <t>Kim, Ryeonghwan:</t>
        </r>
        <r>
          <rPr>
            <sz val="9"/>
            <color indexed="81"/>
            <rFont val="Tahoma"/>
            <family val="2"/>
          </rPr>
          <t xml:space="preserve">
Risk 217K </t>
        </r>
        <r>
          <rPr>
            <sz val="9"/>
            <color indexed="81"/>
            <rFont val="돋움"/>
            <family val="3"/>
            <charset val="129"/>
          </rPr>
          <t>이월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</commentList>
</comments>
</file>

<file path=xl/sharedStrings.xml><?xml version="1.0" encoding="utf-8"?>
<sst xmlns="http://schemas.openxmlformats.org/spreadsheetml/2006/main" count="368" uniqueCount="102">
  <si>
    <t>Q1</t>
    <phoneticPr fontId="9" type="noConversion"/>
  </si>
  <si>
    <t>Q2</t>
  </si>
  <si>
    <t>Q3</t>
  </si>
  <si>
    <t>Q1</t>
  </si>
  <si>
    <t>Total</t>
  </si>
  <si>
    <t>Q4</t>
    <phoneticPr fontId="8" type="noConversion"/>
  </si>
  <si>
    <t>Total</t>
    <phoneticPr fontId="9" type="noConversion"/>
  </si>
  <si>
    <t>ACT</t>
  </si>
  <si>
    <t>to Go</t>
  </si>
  <si>
    <t>ACT+MUST</t>
  </si>
  <si>
    <t>Risk</t>
  </si>
  <si>
    <t>Min FCST</t>
  </si>
  <si>
    <t>증감</t>
  </si>
  <si>
    <t>주차</t>
    <phoneticPr fontId="9" type="noConversion"/>
  </si>
  <si>
    <t>근무일수</t>
    <phoneticPr fontId="9" type="noConversion"/>
  </si>
  <si>
    <t>Must have Total</t>
    <phoneticPr fontId="9" type="noConversion"/>
  </si>
  <si>
    <t>ACT+MUST to Go</t>
    <phoneticPr fontId="9" type="noConversion"/>
  </si>
  <si>
    <t>Upside Total</t>
    <phoneticPr fontId="9" type="noConversion"/>
  </si>
  <si>
    <t xml:space="preserve">   Big Deal 작업건</t>
    <phoneticPr fontId="9" type="noConversion"/>
  </si>
  <si>
    <t xml:space="preserve">   to Find</t>
    <phoneticPr fontId="9" type="noConversion"/>
  </si>
  <si>
    <t>증감</t>
    <phoneticPr fontId="9" type="noConversion"/>
  </si>
  <si>
    <t>vs OG (%)</t>
    <phoneticPr fontId="9" type="noConversion"/>
  </si>
  <si>
    <t>vs AOT (%)</t>
    <phoneticPr fontId="9" type="noConversion"/>
  </si>
  <si>
    <t>Core</t>
    <phoneticPr fontId="8" type="noConversion"/>
  </si>
  <si>
    <t>AOT vs FCST</t>
    <phoneticPr fontId="8" type="noConversion"/>
  </si>
  <si>
    <t>Service</t>
    <phoneticPr fontId="8" type="noConversion"/>
  </si>
  <si>
    <t>Freight</t>
    <phoneticPr fontId="8" type="noConversion"/>
  </si>
  <si>
    <t>Total</t>
    <phoneticPr fontId="8" type="noConversion"/>
  </si>
  <si>
    <t>Must have</t>
    <phoneticPr fontId="8" type="noConversion"/>
  </si>
  <si>
    <t>to Go</t>
    <phoneticPr fontId="8" type="noConversion"/>
  </si>
  <si>
    <t>Upside</t>
    <phoneticPr fontId="8" type="noConversion"/>
  </si>
  <si>
    <t>Risk</t>
    <phoneticPr fontId="8" type="noConversion"/>
  </si>
  <si>
    <t>Q4 ACT</t>
    <phoneticPr fontId="8" type="noConversion"/>
  </si>
  <si>
    <t>자동업뎃</t>
    <phoneticPr fontId="8" type="noConversion"/>
  </si>
  <si>
    <t>vs OG(%)</t>
    <phoneticPr fontId="8" type="noConversion"/>
  </si>
  <si>
    <t>vs OG($)</t>
    <phoneticPr fontId="8" type="noConversion"/>
  </si>
  <si>
    <t>Q3 ACT</t>
    <phoneticPr fontId="8" type="noConversion"/>
  </si>
  <si>
    <t>Q1 ACT</t>
    <phoneticPr fontId="8" type="noConversion"/>
  </si>
  <si>
    <t>Q2 ACT</t>
    <phoneticPr fontId="8" type="noConversion"/>
  </si>
  <si>
    <t>19Y ACT</t>
    <phoneticPr fontId="9" type="noConversion"/>
  </si>
  <si>
    <t>20Y AOT</t>
    <phoneticPr fontId="9" type="noConversion"/>
  </si>
  <si>
    <t>20Y ACT</t>
    <phoneticPr fontId="9" type="noConversion"/>
  </si>
  <si>
    <t>OG(%)</t>
    <phoneticPr fontId="8" type="noConversion"/>
  </si>
  <si>
    <t>Quarterization</t>
    <phoneticPr fontId="8" type="noConversion"/>
  </si>
  <si>
    <t>vs AOP(%)</t>
    <phoneticPr fontId="8" type="noConversion"/>
  </si>
  <si>
    <t>vs AOP($)</t>
    <phoneticPr fontId="8" type="noConversion"/>
  </si>
  <si>
    <t>2020Y FX rate</t>
    <phoneticPr fontId="8" type="noConversion"/>
  </si>
  <si>
    <t>Service</t>
    <phoneticPr fontId="8" type="noConversion"/>
  </si>
  <si>
    <t>AOT</t>
    <phoneticPr fontId="8" type="noConversion"/>
  </si>
  <si>
    <t>FADJ</t>
    <phoneticPr fontId="8" type="noConversion"/>
  </si>
  <si>
    <t>Total</t>
    <phoneticPr fontId="8" type="noConversion"/>
  </si>
  <si>
    <t>Check!!!</t>
    <phoneticPr fontId="8" type="noConversion"/>
  </si>
  <si>
    <t>Q3 (20D)</t>
    <phoneticPr fontId="8" type="noConversion"/>
  </si>
  <si>
    <t>Q3 (25D)</t>
    <phoneticPr fontId="8" type="noConversion"/>
  </si>
  <si>
    <t>Q3 (말일)</t>
    <phoneticPr fontId="8" type="noConversion"/>
  </si>
  <si>
    <t>현재 ACT</t>
    <phoneticPr fontId="8" type="noConversion"/>
  </si>
  <si>
    <t>남은 근무일수</t>
    <phoneticPr fontId="8" type="noConversion"/>
  </si>
  <si>
    <t>1 Day 할당량</t>
    <phoneticPr fontId="8" type="noConversion"/>
  </si>
  <si>
    <t>평균 RR기준</t>
    <phoneticPr fontId="8" type="noConversion"/>
  </si>
  <si>
    <t>Q4 AOT</t>
    <phoneticPr fontId="9" type="noConversion"/>
  </si>
  <si>
    <t>Q4 AOT</t>
    <phoneticPr fontId="8" type="noConversion"/>
  </si>
  <si>
    <t>Q4 FCST</t>
    <phoneticPr fontId="8" type="noConversion"/>
  </si>
  <si>
    <t>vs AOP Over</t>
    <phoneticPr fontId="8" type="noConversion"/>
  </si>
  <si>
    <t>Q4 Final</t>
    <phoneticPr fontId="8" type="noConversion"/>
  </si>
  <si>
    <t>총 61일</t>
    <phoneticPr fontId="8" type="noConversion"/>
  </si>
  <si>
    <t>12/07일 입력</t>
    <phoneticPr fontId="9" type="noConversion"/>
  </si>
  <si>
    <t>근무 45일</t>
    <phoneticPr fontId="8" type="noConversion"/>
  </si>
  <si>
    <t>Exit Number</t>
    <phoneticPr fontId="8" type="noConversion"/>
  </si>
  <si>
    <t xml:space="preserve">FCST </t>
  </si>
  <si>
    <t>영업부 Core</t>
  </si>
  <si>
    <t>SEL. 영업부1</t>
  </si>
  <si>
    <t>SEL. 영업부2</t>
  </si>
  <si>
    <t>SEL. 영업부3</t>
  </si>
  <si>
    <t>SEL. 영업부4</t>
  </si>
  <si>
    <t>Pro. 영업부5</t>
  </si>
  <si>
    <t>Pro. 영업부6</t>
  </si>
  <si>
    <t>영업부 AOT</t>
  </si>
  <si>
    <t>영업부 Biz</t>
  </si>
  <si>
    <t>영업부 Direct</t>
  </si>
  <si>
    <t>Non-core Biz</t>
  </si>
  <si>
    <t>3rd Party Biz</t>
  </si>
  <si>
    <t>A project (4,465,440)</t>
    <phoneticPr fontId="8" type="noConversion"/>
  </si>
  <si>
    <t>B project (1,518,037), S project (504,000)</t>
    <phoneticPr fontId="8" type="noConversion"/>
  </si>
  <si>
    <t>A project (2,846,431)</t>
    <phoneticPr fontId="8" type="noConversion"/>
  </si>
  <si>
    <t>Q4 FCST (+Stretch)</t>
  </si>
  <si>
    <t>Q4 FCST (+Stretch)</t>
    <phoneticPr fontId="8" type="noConversion"/>
  </si>
  <si>
    <t>FCST Accuracy</t>
  </si>
  <si>
    <t>FCST Accuracy</t>
    <phoneticPr fontId="8" type="noConversion"/>
  </si>
  <si>
    <t>FCST</t>
  </si>
  <si>
    <t>Max FCST</t>
  </si>
  <si>
    <t># FADJ</t>
    <phoneticPr fontId="8" type="noConversion"/>
  </si>
  <si>
    <t xml:space="preserve">  Prepaid Order</t>
    <phoneticPr fontId="9" type="noConversion"/>
  </si>
  <si>
    <t xml:space="preserve">   Prepaid Order</t>
  </si>
  <si>
    <t>Non-core</t>
    <phoneticPr fontId="8" type="noConversion"/>
  </si>
  <si>
    <t>3rd Party</t>
    <phoneticPr fontId="8" type="noConversion"/>
  </si>
  <si>
    <t>Non-core Total</t>
  </si>
  <si>
    <t>Non-core Total</t>
    <phoneticPr fontId="8" type="noConversion"/>
  </si>
  <si>
    <t>3rd Party</t>
    <phoneticPr fontId="8" type="noConversion"/>
  </si>
  <si>
    <t>Non-core</t>
    <phoneticPr fontId="8" type="noConversion"/>
  </si>
  <si>
    <t xml:space="preserve">   Q3 월합계산서 - FADJ</t>
  </si>
  <si>
    <t xml:space="preserve">   Q4 월합계산서 (20,25,말일)</t>
  </si>
  <si>
    <t>Open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</si>
</sst>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0.0%"/>
    <numFmt numFmtId="177" formatCode="mm&quot;월&quot;\ dd&quot;일&quot;"/>
    <numFmt numFmtId="178" formatCode="_-* #,##0.000_-;\-* #,##0.000_-;_-* &quot;-&quot;_-;_-@_-"/>
    <numFmt numFmtId="179" formatCode="#,##0,"/>
    <numFmt numFmtId="180" formatCode="#,##0_ ;[Red]\-#,##0\ "/>
  </numFmts>
  <fonts count="43" x14ac:knownFonts="1"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Tahoma"/>
      <family val="2"/>
    </font>
    <font>
      <sz val="12"/>
      <color indexed="8"/>
      <name val="굴림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10"/>
      <color rgb="FF0070C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70C0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8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6"/>
      <color theme="1"/>
      <name val="맑은 고딕"/>
      <family val="3"/>
      <charset val="129"/>
    </font>
    <font>
      <sz val="9"/>
      <color indexed="81"/>
      <name val="돋움"/>
      <family val="3"/>
      <charset val="129"/>
    </font>
    <font>
      <b/>
      <sz val="10"/>
      <name val="맑은 고딕"/>
      <family val="2"/>
      <scheme val="minor"/>
    </font>
    <font>
      <b/>
      <sz val="10"/>
      <color theme="1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5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0" fontId="6" fillId="0" borderId="0">
      <alignment vertical="center"/>
    </xf>
    <xf numFmtId="0" fontId="14" fillId="0" borderId="0"/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/>
    <xf numFmtId="41" fontId="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9" fontId="30" fillId="0" borderId="0">
      <alignment vertical="center"/>
    </xf>
    <xf numFmtId="41" fontId="30" fillId="0" borderId="0">
      <alignment vertical="center"/>
    </xf>
    <xf numFmtId="41" fontId="29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7" fillId="0" borderId="0" xfId="0" applyFont="1">
      <alignment vertical="center"/>
    </xf>
    <xf numFmtId="176" fontId="10" fillId="0" borderId="0" xfId="0" applyNumberFormat="1" applyFont="1" applyAlignment="1">
      <alignment vertical="center"/>
    </xf>
    <xf numFmtId="41" fontId="10" fillId="0" borderId="0" xfId="1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/>
    </xf>
    <xf numFmtId="9" fontId="12" fillId="0" borderId="0" xfId="2" applyFont="1" applyFill="1" applyAlignment="1">
      <alignment horizontal="center" vertical="center"/>
    </xf>
    <xf numFmtId="41" fontId="7" fillId="0" borderId="1" xfId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1" fontId="12" fillId="0" borderId="0" xfId="1" applyFont="1" applyFill="1">
      <alignment vertical="center"/>
    </xf>
    <xf numFmtId="41" fontId="12" fillId="0" borderId="0" xfId="1" applyFont="1" applyFill="1" applyAlignment="1">
      <alignment horizontal="center" vertical="center"/>
    </xf>
    <xf numFmtId="41" fontId="10" fillId="0" borderId="0" xfId="0" applyNumberFormat="1" applyFont="1">
      <alignment vertical="center"/>
    </xf>
    <xf numFmtId="176" fontId="10" fillId="0" borderId="0" xfId="2" applyNumberFormat="1" applyFo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6" fontId="10" fillId="0" borderId="0" xfId="11" applyNumberFormat="1" applyFont="1">
      <alignment vertical="center"/>
    </xf>
    <xf numFmtId="9" fontId="11" fillId="0" borderId="0" xfId="11" applyFont="1" applyAlignment="1">
      <alignment horizontal="center" vertical="center"/>
    </xf>
    <xf numFmtId="9" fontId="11" fillId="0" borderId="0" xfId="11" applyFont="1" applyFill="1" applyAlignment="1">
      <alignment horizontal="center" vertical="center"/>
    </xf>
    <xf numFmtId="9" fontId="10" fillId="0" borderId="0" xfId="11" applyFont="1">
      <alignment vertical="center"/>
    </xf>
    <xf numFmtId="9" fontId="7" fillId="0" borderId="0" xfId="11" applyNumberFormat="1" applyFont="1">
      <alignment vertical="center"/>
    </xf>
    <xf numFmtId="9" fontId="7" fillId="0" borderId="0" xfId="11" applyFont="1">
      <alignment vertical="center"/>
    </xf>
    <xf numFmtId="176" fontId="20" fillId="4" borderId="0" xfId="11" applyNumberFormat="1" applyFont="1" applyFill="1">
      <alignment vertical="center"/>
    </xf>
    <xf numFmtId="22" fontId="10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41" fontId="10" fillId="0" borderId="0" xfId="1" applyFont="1" applyAlignment="1">
      <alignment horizontal="right" vertical="center"/>
    </xf>
    <xf numFmtId="14" fontId="10" fillId="0" borderId="0" xfId="0" applyNumberFormat="1" applyFont="1" applyAlignment="1">
      <alignment horizontal="left" vertical="center"/>
    </xf>
    <xf numFmtId="22" fontId="10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41" fontId="11" fillId="0" borderId="1" xfId="1" applyFont="1" applyFill="1" applyBorder="1">
      <alignment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41" fontId="17" fillId="0" borderId="1" xfId="1" applyFont="1" applyFill="1" applyBorder="1">
      <alignment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41" fontId="17" fillId="0" borderId="1" xfId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1" fontId="20" fillId="5" borderId="1" xfId="1" applyFont="1" applyFill="1" applyBorder="1" applyAlignment="1">
      <alignment horizontal="left" vertical="center"/>
    </xf>
    <xf numFmtId="41" fontId="20" fillId="5" borderId="1" xfId="1" applyFont="1" applyFill="1" applyBorder="1">
      <alignment vertical="center"/>
    </xf>
    <xf numFmtId="41" fontId="20" fillId="5" borderId="1" xfId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41" fontId="7" fillId="0" borderId="1" xfId="1" applyFont="1" applyBorder="1" applyAlignment="1">
      <alignment horizontal="left" vertical="center"/>
    </xf>
    <xf numFmtId="41" fontId="10" fillId="0" borderId="1" xfId="1" applyFont="1" applyBorder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10" fillId="0" borderId="1" xfId="1" applyNumberFormat="1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left" vertical="center"/>
    </xf>
    <xf numFmtId="41" fontId="10" fillId="0" borderId="1" xfId="1" applyFont="1" applyFill="1" applyBorder="1">
      <alignment vertical="center"/>
    </xf>
    <xf numFmtId="0" fontId="12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23" fillId="0" borderId="0" xfId="0" applyFont="1" applyAlignment="1">
      <alignment horizontal="center" vertical="center"/>
    </xf>
    <xf numFmtId="41" fontId="23" fillId="0" borderId="0" xfId="0" applyNumberFormat="1" applyFont="1">
      <alignment vertical="center"/>
    </xf>
    <xf numFmtId="41" fontId="23" fillId="0" borderId="0" xfId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41" fontId="10" fillId="0" borderId="0" xfId="11" applyNumberFormat="1" applyFont="1">
      <alignment vertical="center"/>
    </xf>
    <xf numFmtId="0" fontId="20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41" fontId="10" fillId="0" borderId="1" xfId="1" applyFont="1" applyBorder="1" applyAlignment="1">
      <alignment horizontal="left" vertical="center"/>
    </xf>
    <xf numFmtId="41" fontId="10" fillId="0" borderId="1" xfId="1" applyFont="1" applyFill="1" applyBorder="1" applyAlignment="1">
      <alignment horizontal="left" vertical="center"/>
    </xf>
    <xf numFmtId="41" fontId="10" fillId="0" borderId="0" xfId="1" applyFont="1" applyBorder="1" applyAlignment="1">
      <alignment horizontal="left" vertical="center"/>
    </xf>
    <xf numFmtId="41" fontId="10" fillId="0" borderId="0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41" fontId="7" fillId="0" borderId="0" xfId="1" applyFont="1" applyBorder="1" applyAlignment="1">
      <alignment horizontal="center" vertical="center"/>
    </xf>
    <xf numFmtId="41" fontId="10" fillId="0" borderId="0" xfId="1" applyFont="1" applyBorder="1">
      <alignment vertical="center"/>
    </xf>
    <xf numFmtId="41" fontId="10" fillId="0" borderId="0" xfId="1" applyFont="1" applyFill="1" applyBorder="1">
      <alignment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41" fontId="21" fillId="5" borderId="1" xfId="1" applyFont="1" applyFill="1" applyBorder="1" applyAlignment="1">
      <alignment horizontal="center" vertical="center"/>
    </xf>
    <xf numFmtId="41" fontId="12" fillId="0" borderId="0" xfId="0" applyNumberFormat="1" applyFont="1">
      <alignment vertical="center"/>
    </xf>
    <xf numFmtId="0" fontId="20" fillId="4" borderId="0" xfId="0" applyFont="1" applyFill="1" applyAlignment="1">
      <alignment horizontal="center" vertical="center"/>
    </xf>
    <xf numFmtId="0" fontId="20" fillId="4" borderId="0" xfId="0" applyFont="1" applyFill="1">
      <alignment vertical="center"/>
    </xf>
    <xf numFmtId="0" fontId="7" fillId="6" borderId="1" xfId="0" applyFont="1" applyFill="1" applyBorder="1" applyAlignment="1">
      <alignment horizontal="center" vertical="center"/>
    </xf>
    <xf numFmtId="41" fontId="17" fillId="6" borderId="1" xfId="1" applyFont="1" applyFill="1" applyBorder="1">
      <alignment vertical="center"/>
    </xf>
    <xf numFmtId="176" fontId="11" fillId="0" borderId="0" xfId="11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9" fontId="11" fillId="0" borderId="0" xfId="1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20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9" fontId="12" fillId="0" borderId="0" xfId="11" applyFont="1" applyAlignment="1">
      <alignment horizontal="right" vertical="center"/>
    </xf>
    <xf numFmtId="9" fontId="11" fillId="0" borderId="0" xfId="11" applyFont="1" applyFill="1" applyAlignment="1">
      <alignment horizontal="right"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  <xf numFmtId="0" fontId="24" fillId="0" borderId="0" xfId="0" applyFont="1" applyAlignment="1">
      <alignment horizontal="center" vertical="center"/>
    </xf>
    <xf numFmtId="41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13" fillId="0" borderId="1" xfId="1" applyFont="1" applyBorder="1">
      <alignment vertical="center"/>
    </xf>
    <xf numFmtId="41" fontId="13" fillId="0" borderId="0" xfId="1" applyFont="1">
      <alignment vertical="center"/>
    </xf>
    <xf numFmtId="41" fontId="24" fillId="0" borderId="0" xfId="1" applyFo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22" fontId="13" fillId="0" borderId="0" xfId="0" applyNumberFormat="1" applyFont="1">
      <alignment vertical="center"/>
    </xf>
    <xf numFmtId="0" fontId="13" fillId="7" borderId="12" xfId="0" applyFont="1" applyFill="1" applyBorder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176" fontId="18" fillId="0" borderId="0" xfId="0" applyNumberFormat="1" applyFont="1" applyAlignment="1">
      <alignment horizontal="right" vertical="center"/>
    </xf>
    <xf numFmtId="176" fontId="11" fillId="0" borderId="0" xfId="11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1" fontId="17" fillId="7" borderId="1" xfId="1" applyFont="1" applyFill="1" applyBorder="1">
      <alignment vertical="center"/>
    </xf>
    <xf numFmtId="9" fontId="0" fillId="0" borderId="0" xfId="2" applyFont="1">
      <alignment vertical="center"/>
    </xf>
    <xf numFmtId="176" fontId="0" fillId="0" borderId="0" xfId="2" applyNumberFormat="1" applyFont="1">
      <alignment vertical="center"/>
    </xf>
    <xf numFmtId="176" fontId="0" fillId="0" borderId="1" xfId="2" applyNumberFormat="1" applyFont="1" applyBorder="1">
      <alignment vertical="center"/>
    </xf>
    <xf numFmtId="0" fontId="13" fillId="0" borderId="1" xfId="0" applyFont="1" applyBorder="1">
      <alignment vertical="center"/>
    </xf>
    <xf numFmtId="176" fontId="13" fillId="0" borderId="1" xfId="2" applyNumberFormat="1" applyFont="1" applyBorder="1">
      <alignment vertical="center"/>
    </xf>
    <xf numFmtId="0" fontId="13" fillId="0" borderId="0" xfId="0" applyFont="1" applyFill="1" applyBorder="1">
      <alignment vertical="center"/>
    </xf>
    <xf numFmtId="178" fontId="0" fillId="0" borderId="0" xfId="1" applyNumberFormat="1" applyFont="1">
      <alignment vertical="center"/>
    </xf>
    <xf numFmtId="41" fontId="27" fillId="0" borderId="0" xfId="1" applyFont="1">
      <alignment vertical="center"/>
    </xf>
    <xf numFmtId="176" fontId="27" fillId="0" borderId="0" xfId="2" applyNumberFormat="1" applyFont="1">
      <alignment vertical="center"/>
    </xf>
    <xf numFmtId="0" fontId="27" fillId="0" borderId="0" xfId="0" applyFont="1">
      <alignment vertical="center"/>
    </xf>
    <xf numFmtId="0" fontId="17" fillId="7" borderId="1" xfId="0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176" fontId="12" fillId="0" borderId="0" xfId="2" applyNumberFormat="1" applyFont="1" applyFill="1" applyAlignment="1">
      <alignment horizontal="center" vertical="center"/>
    </xf>
    <xf numFmtId="176" fontId="13" fillId="0" borderId="0" xfId="2" applyNumberFormat="1" applyFont="1">
      <alignment vertical="center"/>
    </xf>
    <xf numFmtId="176" fontId="12" fillId="0" borderId="0" xfId="2" applyNumberFormat="1" applyFont="1" applyAlignment="1">
      <alignment horizontal="center" vertical="center"/>
    </xf>
    <xf numFmtId="176" fontId="12" fillId="0" borderId="0" xfId="2" applyNumberFormat="1" applyFont="1" applyFill="1">
      <alignment vertical="center"/>
    </xf>
    <xf numFmtId="176" fontId="11" fillId="0" borderId="0" xfId="2" applyNumberFormat="1" applyFont="1" applyAlignment="1">
      <alignment horizontal="center" vertical="center"/>
    </xf>
    <xf numFmtId="41" fontId="10" fillId="0" borderId="0" xfId="1" applyFont="1" applyFill="1" applyBorder="1" applyAlignment="1">
      <alignment horizontal="center" vertical="center"/>
    </xf>
    <xf numFmtId="9" fontId="10" fillId="0" borderId="0" xfId="2" applyFont="1">
      <alignment vertical="center"/>
    </xf>
    <xf numFmtId="0" fontId="24" fillId="0" borderId="0" xfId="0" applyFont="1">
      <alignment vertical="center"/>
    </xf>
    <xf numFmtId="0" fontId="25" fillId="7" borderId="2" xfId="0" applyFont="1" applyFill="1" applyBorder="1" applyAlignment="1">
      <alignment horizontal="center" vertical="center"/>
    </xf>
    <xf numFmtId="41" fontId="13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3" fontId="0" fillId="0" borderId="0" xfId="0" applyNumberFormat="1">
      <alignment vertical="center"/>
    </xf>
    <xf numFmtId="41" fontId="13" fillId="0" borderId="0" xfId="1" applyFont="1" applyAlignment="1">
      <alignment horizontal="center" vertical="center"/>
    </xf>
    <xf numFmtId="179" fontId="0" fillId="0" borderId="1" xfId="1" applyNumberFormat="1" applyFont="1" applyBorder="1">
      <alignment vertical="center"/>
    </xf>
    <xf numFmtId="179" fontId="13" fillId="0" borderId="1" xfId="1" applyNumberFormat="1" applyFont="1" applyBorder="1">
      <alignment vertical="center"/>
    </xf>
    <xf numFmtId="0" fontId="34" fillId="0" borderId="1" xfId="1" applyNumberFormat="1" applyFont="1" applyFill="1" applyBorder="1" applyAlignment="1">
      <alignment horizontal="left" vertical="center"/>
    </xf>
    <xf numFmtId="41" fontId="34" fillId="0" borderId="1" xfId="1" applyFont="1" applyFill="1" applyBorder="1">
      <alignment vertical="center"/>
    </xf>
    <xf numFmtId="41" fontId="34" fillId="0" borderId="1" xfId="1" applyFont="1" applyBorder="1">
      <alignment vertical="center"/>
    </xf>
    <xf numFmtId="176" fontId="34" fillId="0" borderId="0" xfId="11" applyNumberFormat="1" applyFont="1" applyAlignment="1">
      <alignment horizontal="right" vertical="center"/>
    </xf>
    <xf numFmtId="0" fontId="35" fillId="0" borderId="0" xfId="0" applyFont="1" applyFill="1">
      <alignment vertical="center"/>
    </xf>
    <xf numFmtId="41" fontId="34" fillId="0" borderId="1" xfId="1" applyFont="1" applyFill="1" applyBorder="1" applyAlignment="1">
      <alignment horizontal="center" vertical="center"/>
    </xf>
    <xf numFmtId="176" fontId="34" fillId="0" borderId="0" xfId="11" applyNumberFormat="1" applyFont="1" applyAlignment="1">
      <alignment horizontal="center" vertical="center"/>
    </xf>
    <xf numFmtId="0" fontId="34" fillId="0" borderId="0" xfId="0" applyFont="1" applyFill="1">
      <alignment vertical="center"/>
    </xf>
    <xf numFmtId="176" fontId="34" fillId="0" borderId="0" xfId="11" applyNumberFormat="1" applyFont="1" applyFill="1" applyAlignment="1">
      <alignment horizontal="center" vertical="center"/>
    </xf>
    <xf numFmtId="9" fontId="0" fillId="0" borderId="0" xfId="2" applyNumberFormat="1" applyFont="1">
      <alignment vertical="center"/>
    </xf>
    <xf numFmtId="176" fontId="13" fillId="0" borderId="0" xfId="2" applyNumberFormat="1" applyFont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41" fontId="33" fillId="0" borderId="1" xfId="1" applyFont="1" applyFill="1" applyBorder="1" applyAlignment="1">
      <alignment horizontal="center" vertical="center"/>
    </xf>
    <xf numFmtId="41" fontId="33" fillId="0" borderId="2" xfId="1" applyFont="1" applyFill="1" applyBorder="1" applyAlignment="1">
      <alignment horizontal="center" vertical="center"/>
    </xf>
    <xf numFmtId="180" fontId="33" fillId="0" borderId="7" xfId="1" applyNumberFormat="1" applyFont="1" applyBorder="1">
      <alignment vertical="center"/>
    </xf>
    <xf numFmtId="180" fontId="33" fillId="0" borderId="1" xfId="1" applyNumberFormat="1" applyFont="1" applyFill="1" applyBorder="1">
      <alignment vertical="center"/>
    </xf>
    <xf numFmtId="180" fontId="33" fillId="0" borderId="2" xfId="1" applyNumberFormat="1" applyFont="1" applyBorder="1">
      <alignment vertical="center"/>
    </xf>
    <xf numFmtId="180" fontId="33" fillId="0" borderId="1" xfId="1" applyNumberFormat="1" applyFont="1" applyBorder="1">
      <alignment vertical="center"/>
    </xf>
    <xf numFmtId="180" fontId="33" fillId="0" borderId="8" xfId="1" applyNumberFormat="1" applyFont="1" applyBorder="1">
      <alignment vertical="center"/>
    </xf>
    <xf numFmtId="180" fontId="38" fillId="0" borderId="6" xfId="1" applyNumberFormat="1" applyFont="1" applyBorder="1">
      <alignment vertical="center"/>
    </xf>
    <xf numFmtId="9" fontId="33" fillId="0" borderId="6" xfId="2" applyFont="1" applyBorder="1">
      <alignment vertical="center"/>
    </xf>
    <xf numFmtId="41" fontId="33" fillId="0" borderId="1" xfId="1" applyFont="1" applyBorder="1">
      <alignment vertical="center"/>
    </xf>
    <xf numFmtId="176" fontId="33" fillId="0" borderId="6" xfId="2" applyNumberFormat="1" applyFont="1" applyBorder="1">
      <alignment vertical="center"/>
    </xf>
    <xf numFmtId="41" fontId="33" fillId="0" borderId="0" xfId="1" applyFont="1">
      <alignment vertical="center"/>
    </xf>
    <xf numFmtId="0" fontId="33" fillId="0" borderId="0" xfId="0" applyFont="1">
      <alignment vertical="center"/>
    </xf>
    <xf numFmtId="180" fontId="33" fillId="0" borderId="7" xfId="1" applyNumberFormat="1" applyFont="1" applyFill="1" applyBorder="1">
      <alignment vertical="center"/>
    </xf>
    <xf numFmtId="180" fontId="33" fillId="8" borderId="1" xfId="1" applyNumberFormat="1" applyFont="1" applyFill="1" applyBorder="1">
      <alignment vertical="center"/>
    </xf>
    <xf numFmtId="180" fontId="33" fillId="0" borderId="15" xfId="1" applyNumberFormat="1" applyFont="1" applyFill="1" applyBorder="1">
      <alignment vertical="center"/>
    </xf>
    <xf numFmtId="180" fontId="33" fillId="8" borderId="14" xfId="1" applyNumberFormat="1" applyFont="1" applyFill="1" applyBorder="1">
      <alignment vertical="center"/>
    </xf>
    <xf numFmtId="180" fontId="33" fillId="0" borderId="17" xfId="1" applyNumberFormat="1" applyFont="1" applyBorder="1">
      <alignment vertical="center"/>
    </xf>
    <xf numFmtId="180" fontId="33" fillId="0" borderId="14" xfId="1" applyNumberFormat="1" applyFont="1" applyBorder="1">
      <alignment vertical="center"/>
    </xf>
    <xf numFmtId="180" fontId="33" fillId="0" borderId="18" xfId="1" applyNumberFormat="1" applyFont="1" applyBorder="1">
      <alignment vertical="center"/>
    </xf>
    <xf numFmtId="0" fontId="38" fillId="0" borderId="1" xfId="0" applyFont="1" applyBorder="1" applyAlignment="1">
      <alignment horizontal="center" vertical="center"/>
    </xf>
    <xf numFmtId="41" fontId="38" fillId="0" borderId="1" xfId="1" applyFont="1" applyBorder="1" applyAlignment="1">
      <alignment horizontal="center" vertical="center"/>
    </xf>
    <xf numFmtId="41" fontId="38" fillId="0" borderId="2" xfId="1" applyFont="1" applyBorder="1" applyAlignment="1">
      <alignment horizontal="center" vertical="center"/>
    </xf>
    <xf numFmtId="41" fontId="38" fillId="0" borderId="9" xfId="1" applyFont="1" applyBorder="1">
      <alignment vertical="center"/>
    </xf>
    <xf numFmtId="41" fontId="38" fillId="0" borderId="10" xfId="1" applyFont="1" applyBorder="1">
      <alignment vertical="center"/>
    </xf>
    <xf numFmtId="41" fontId="38" fillId="0" borderId="13" xfId="1" applyFont="1" applyBorder="1">
      <alignment vertical="center"/>
    </xf>
    <xf numFmtId="41" fontId="38" fillId="0" borderId="11" xfId="1" applyFont="1" applyBorder="1">
      <alignment vertical="center"/>
    </xf>
    <xf numFmtId="41" fontId="38" fillId="0" borderId="6" xfId="1" applyFont="1" applyBorder="1">
      <alignment vertical="center"/>
    </xf>
    <xf numFmtId="41" fontId="38" fillId="0" borderId="1" xfId="1" applyFont="1" applyBorder="1">
      <alignment vertical="center"/>
    </xf>
    <xf numFmtId="41" fontId="38" fillId="0" borderId="0" xfId="1" applyFont="1">
      <alignment vertical="center"/>
    </xf>
    <xf numFmtId="0" fontId="38" fillId="0" borderId="0" xfId="0" applyFont="1">
      <alignment vertical="center"/>
    </xf>
    <xf numFmtId="41" fontId="11" fillId="0" borderId="1" xfId="1" applyFont="1" applyBorder="1">
      <alignment vertical="center"/>
    </xf>
    <xf numFmtId="180" fontId="33" fillId="0" borderId="16" xfId="1" applyNumberFormat="1" applyFont="1" applyFill="1" applyBorder="1">
      <alignment vertical="center"/>
    </xf>
    <xf numFmtId="41" fontId="32" fillId="0" borderId="0" xfId="1" applyFont="1">
      <alignment vertical="center"/>
    </xf>
    <xf numFmtId="41" fontId="32" fillId="0" borderId="0" xfId="1" applyFont="1" applyAlignment="1">
      <alignment horizontal="center" vertical="center"/>
    </xf>
    <xf numFmtId="41" fontId="26" fillId="0" borderId="0" xfId="1" applyFont="1">
      <alignment vertical="center"/>
    </xf>
    <xf numFmtId="41" fontId="24" fillId="0" borderId="0" xfId="1" applyFont="1" applyAlignment="1">
      <alignment horizontal="center" vertical="center"/>
    </xf>
    <xf numFmtId="41" fontId="24" fillId="7" borderId="1" xfId="1" applyFont="1" applyFill="1" applyBorder="1" applyAlignment="1">
      <alignment horizontal="center" vertical="center"/>
    </xf>
    <xf numFmtId="41" fontId="32" fillId="0" borderId="0" xfId="0" applyNumberFormat="1" applyFont="1">
      <alignment vertical="center"/>
    </xf>
    <xf numFmtId="0" fontId="27" fillId="0" borderId="0" xfId="0" applyFont="1" applyAlignment="1">
      <alignment horizontal="right" vertical="center"/>
    </xf>
    <xf numFmtId="41" fontId="37" fillId="0" borderId="0" xfId="0" applyNumberFormat="1" applyFont="1">
      <alignment vertical="center"/>
    </xf>
    <xf numFmtId="41" fontId="26" fillId="0" borderId="0" xfId="0" applyNumberFormat="1" applyFont="1">
      <alignment vertical="center"/>
    </xf>
    <xf numFmtId="41" fontId="31" fillId="0" borderId="0" xfId="1" applyFont="1">
      <alignment vertical="center"/>
    </xf>
    <xf numFmtId="177" fontId="27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41" fontId="33" fillId="0" borderId="0" xfId="1" applyFont="1" applyAlignment="1">
      <alignment horizontal="center" vertical="center"/>
    </xf>
    <xf numFmtId="9" fontId="13" fillId="0" borderId="0" xfId="2" applyFont="1">
      <alignment vertical="center"/>
    </xf>
    <xf numFmtId="0" fontId="39" fillId="0" borderId="0" xfId="0" applyFont="1">
      <alignment vertical="center"/>
    </xf>
    <xf numFmtId="41" fontId="10" fillId="0" borderId="0" xfId="1" applyFont="1" applyAlignment="1">
      <alignment vertical="center"/>
    </xf>
    <xf numFmtId="176" fontId="38" fillId="0" borderId="6" xfId="2" applyNumberFormat="1" applyFont="1" applyBorder="1">
      <alignment vertical="center"/>
    </xf>
    <xf numFmtId="41" fontId="17" fillId="0" borderId="1" xfId="1" applyFont="1" applyBorder="1" applyAlignment="1">
      <alignment horizontal="center" vertical="center"/>
    </xf>
    <xf numFmtId="41" fontId="42" fillId="0" borderId="0" xfId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41" fontId="42" fillId="0" borderId="20" xfId="1" applyFont="1" applyBorder="1" applyAlignment="1">
      <alignment horizontal="center" vertical="center"/>
    </xf>
  </cellXfs>
  <cellStyles count="35">
    <cellStyle name="Comma [0] 19" xfId="13" xr:uid="{00000000-0005-0000-0000-000000000000}"/>
    <cellStyle name="Comma [0] 2" xfId="8" xr:uid="{00000000-0005-0000-0000-000001000000}"/>
    <cellStyle name="Comma [0] 2 10" xfId="28" xr:uid="{810BDD3D-BABB-4D37-8546-A97E745247DA}"/>
    <cellStyle name="Comma [0] 2 10 3" xfId="29" xr:uid="{A892D4E4-C8FE-42B1-8764-8B48545F90FA}"/>
    <cellStyle name="Comma [0] 29" xfId="16" xr:uid="{22E2B2F5-EFB9-4CC0-B9D2-795D27F19D7F}"/>
    <cellStyle name="Comma [0] 33" xfId="26" xr:uid="{69983122-DEEF-41A6-96A1-1267AFEFBADB}"/>
    <cellStyle name="Comma 2" xfId="10" xr:uid="{00000000-0005-0000-0000-000002000000}"/>
    <cellStyle name="Comma 2 46" xfId="5" xr:uid="{00000000-0005-0000-0000-000003000000}"/>
    <cellStyle name="Normal 2" xfId="7" xr:uid="{00000000-0005-0000-0000-000004000000}"/>
    <cellStyle name="Normal 258" xfId="14" xr:uid="{00000000-0005-0000-0000-000005000000}"/>
    <cellStyle name="Normal 3" xfId="6" xr:uid="{00000000-0005-0000-0000-000006000000}"/>
    <cellStyle name="Normal 4" xfId="27" xr:uid="{87413AE4-9D5D-4F37-B52D-913337C7106A}"/>
    <cellStyle name="Normal_Sheet1" xfId="15" xr:uid="{00000000-0005-0000-0000-000007000000}"/>
    <cellStyle name="Percent 2" xfId="9" xr:uid="{00000000-0005-0000-0000-000008000000}"/>
    <cellStyle name="백분율" xfId="2" builtinId="5"/>
    <cellStyle name="백분율 2" xfId="11" xr:uid="{00000000-0005-0000-0000-00000A000000}"/>
    <cellStyle name="백분율 2 2" xfId="18" xr:uid="{9A97F1D2-50E5-479B-8F6A-53DDDD23A0F7}"/>
    <cellStyle name="백분율 2 3" xfId="33" xr:uid="{8841804B-5A30-4D66-AEAB-C0862540BBEE}"/>
    <cellStyle name="백분율 3" xfId="22" xr:uid="{DE6F1447-03C4-4C6D-BA35-7DC5D9898699}"/>
    <cellStyle name="쉼표 [0]" xfId="1" builtinId="6"/>
    <cellStyle name="쉼표 [0] 2" xfId="4" xr:uid="{00000000-0005-0000-0000-00000C000000}"/>
    <cellStyle name="쉼표 [0] 2 2" xfId="19" xr:uid="{7FA4D5CB-7B9F-4156-8FE1-94835D2CC46C}"/>
    <cellStyle name="쉼표 [0] 2 3" xfId="32" xr:uid="{9641EC99-943C-4A46-9B90-8DE5C32F8065}"/>
    <cellStyle name="쉼표 [0] 2 8" xfId="30" xr:uid="{75882C4C-B136-4772-8BD5-9862C9CBAC4E}"/>
    <cellStyle name="쉼표 [0] 2 9" xfId="25" xr:uid="{4564F140-BD0D-4C49-96F9-F4F9EF278351}"/>
    <cellStyle name="쉼표 [0] 3" xfId="20" xr:uid="{9619BF4F-854C-42C7-B359-1F2440BB11FF}"/>
    <cellStyle name="쉼표 [0] 4" xfId="23" xr:uid="{6F4CFFB0-1D83-4BFE-B03C-3A2A330EEA6F}"/>
    <cellStyle name="쉼표 [0] 5" xfId="34" xr:uid="{4AB1EBC4-C04C-4D64-A2D4-A60F2C3A3CFC}"/>
    <cellStyle name="표준" xfId="0" builtinId="0"/>
    <cellStyle name="표준 2" xfId="12" xr:uid="{00000000-0005-0000-0000-00000E000000}"/>
    <cellStyle name="표준 3" xfId="3" xr:uid="{00000000-0005-0000-0000-00000F000000}"/>
    <cellStyle name="표준 3 2" xfId="24" xr:uid="{F91D0ABD-5003-49E0-B504-E7F95F13A419}"/>
    <cellStyle name="표준 3 3" xfId="31" xr:uid="{479C9304-4FD6-460D-8EFC-30D35336F8B3}"/>
    <cellStyle name="표준 4" xfId="17" xr:uid="{741AE64E-E9B6-4D96-BECA-154FEB741569}"/>
    <cellStyle name="표준 5" xfId="21" xr:uid="{A28983B0-38FA-4673-B515-FCB5BB5528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절묘한 입체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5"/>
  <sheetViews>
    <sheetView zoomScaleNormal="100" workbookViewId="0">
      <selection activeCell="B45" sqref="B45"/>
    </sheetView>
  </sheetViews>
  <sheetFormatPr defaultRowHeight="18" customHeight="1" x14ac:dyDescent="0.35"/>
  <cols>
    <col min="1" max="1" width="15.6640625" customWidth="1"/>
    <col min="2" max="6" width="13.6640625" customWidth="1"/>
    <col min="7" max="7" width="6.33203125" style="130" bestFit="1" customWidth="1"/>
    <col min="8" max="8" width="15.6640625" customWidth="1"/>
    <col min="9" max="9" width="13.5546875" customWidth="1"/>
    <col min="10" max="13" width="13.6640625" customWidth="1"/>
    <col min="14" max="14" width="6" bestFit="1" customWidth="1"/>
    <col min="15" max="15" width="15.6640625" customWidth="1"/>
    <col min="16" max="20" width="13.6640625" customWidth="1"/>
    <col min="21" max="21" width="5.44140625" bestFit="1" customWidth="1"/>
    <col min="22" max="22" width="15.6640625" customWidth="1"/>
    <col min="23" max="27" width="13.6640625" customWidth="1"/>
    <col min="29" max="29" width="12.88671875" customWidth="1"/>
    <col min="30" max="30" width="9.109375" style="102"/>
  </cols>
  <sheetData>
    <row r="1" spans="1:30" s="22" customFormat="1" ht="18" customHeight="1" x14ac:dyDescent="0.35">
      <c r="A1" s="1" t="s">
        <v>69</v>
      </c>
      <c r="B1" s="137">
        <f>B11/$F$11</f>
        <v>0.21747549021111184</v>
      </c>
      <c r="C1" s="137">
        <f t="shared" ref="C1:E1" si="0">C11/$F$11</f>
        <v>0.2370749248735852</v>
      </c>
      <c r="D1" s="137">
        <f t="shared" si="0"/>
        <v>0.24949946277224183</v>
      </c>
      <c r="E1" s="137">
        <f t="shared" si="0"/>
        <v>0.29595012214306132</v>
      </c>
      <c r="G1" s="142"/>
      <c r="H1" s="1" t="s">
        <v>93</v>
      </c>
      <c r="I1" s="137">
        <f>I11/M11</f>
        <v>0.20517904856566765</v>
      </c>
      <c r="J1" s="137">
        <f>J11/M11</f>
        <v>0.22835421677314738</v>
      </c>
      <c r="K1" s="137">
        <f>K11/M11</f>
        <v>0.30205077179188611</v>
      </c>
      <c r="L1" s="137">
        <f>L11/M11</f>
        <v>0.26441596286929875</v>
      </c>
      <c r="O1" s="22" t="s">
        <v>94</v>
      </c>
      <c r="P1" s="137">
        <f>P11/T11</f>
        <v>0.3069094483126335</v>
      </c>
      <c r="Q1" s="137">
        <f>Q11/T11</f>
        <v>0.21862500879272809</v>
      </c>
      <c r="R1" s="137">
        <f>R11/T11</f>
        <v>0.21566941116288868</v>
      </c>
      <c r="S1" s="137">
        <f>S11/T11</f>
        <v>0.25879613173174981</v>
      </c>
      <c r="V1" s="22" t="s">
        <v>96</v>
      </c>
      <c r="W1" s="137">
        <f>W11/AA11</f>
        <v>0.25331684653960423</v>
      </c>
      <c r="X1" s="137">
        <f>X11/AA11</f>
        <v>0.2237504537940109</v>
      </c>
      <c r="Y1" s="137">
        <f>Y11/AA11</f>
        <v>0.26117598414713922</v>
      </c>
      <c r="Z1" s="137">
        <f>Z11/AA11</f>
        <v>0.26175671551924556</v>
      </c>
      <c r="AD1" s="115"/>
    </row>
    <row r="2" spans="1:30" s="6" customFormat="1" ht="27" customHeight="1" x14ac:dyDescent="0.35">
      <c r="A2" s="14" t="s">
        <v>39</v>
      </c>
      <c r="B2" s="14" t="s">
        <v>3</v>
      </c>
      <c r="C2" s="14" t="s">
        <v>1</v>
      </c>
      <c r="D2" s="14" t="s">
        <v>2</v>
      </c>
      <c r="E2" s="14" t="s">
        <v>5</v>
      </c>
      <c r="F2" s="14" t="s">
        <v>6</v>
      </c>
      <c r="G2" s="143"/>
      <c r="H2" s="14" t="s">
        <v>39</v>
      </c>
      <c r="I2" s="14" t="s">
        <v>3</v>
      </c>
      <c r="J2" s="14" t="s">
        <v>1</v>
      </c>
      <c r="K2" s="14" t="s">
        <v>2</v>
      </c>
      <c r="L2" s="14" t="s">
        <v>5</v>
      </c>
      <c r="M2" s="14" t="s">
        <v>6</v>
      </c>
      <c r="N2" s="15"/>
      <c r="O2" s="14" t="s">
        <v>39</v>
      </c>
      <c r="P2" s="14" t="s">
        <v>3</v>
      </c>
      <c r="Q2" s="14" t="s">
        <v>1</v>
      </c>
      <c r="R2" s="14" t="s">
        <v>2</v>
      </c>
      <c r="S2" s="14" t="s">
        <v>5</v>
      </c>
      <c r="T2" s="14" t="s">
        <v>6</v>
      </c>
      <c r="U2" s="15"/>
      <c r="V2" s="14" t="s">
        <v>39</v>
      </c>
      <c r="W2" s="14" t="s">
        <v>3</v>
      </c>
      <c r="X2" s="14" t="s">
        <v>1</v>
      </c>
      <c r="Y2" s="14" t="s">
        <v>2</v>
      </c>
      <c r="Z2" s="14" t="s">
        <v>5</v>
      </c>
      <c r="AA2" s="14" t="s">
        <v>6</v>
      </c>
      <c r="AB2" s="16"/>
      <c r="AD2" s="3"/>
    </row>
    <row r="3" spans="1:30" s="6" customFormat="1" ht="18" customHeight="1" x14ac:dyDescent="0.35">
      <c r="A3" s="21" t="s">
        <v>70</v>
      </c>
      <c r="B3" s="9">
        <v>2236338.5242672842</v>
      </c>
      <c r="C3" s="9">
        <v>2222818.3296799995</v>
      </c>
      <c r="D3" s="9">
        <v>2445836.0395642673</v>
      </c>
      <c r="E3" s="9">
        <v>2912857.4333135993</v>
      </c>
      <c r="F3" s="10">
        <f>SUM(B3:E3)</f>
        <v>9817850.3268251494</v>
      </c>
      <c r="G3" s="144"/>
      <c r="H3" s="21" t="s">
        <v>70</v>
      </c>
      <c r="I3" s="9">
        <v>114520.69188</v>
      </c>
      <c r="J3" s="9">
        <v>157046.33280000003</v>
      </c>
      <c r="K3" s="9">
        <v>165216.19380000001</v>
      </c>
      <c r="L3" s="9">
        <v>156623.89007999998</v>
      </c>
      <c r="M3" s="10">
        <f>SUM(I3:L3)</f>
        <v>593407.10856000008</v>
      </c>
      <c r="N3" s="17"/>
      <c r="O3" s="21" t="s">
        <v>70</v>
      </c>
      <c r="P3" s="9">
        <v>260618.66123999999</v>
      </c>
      <c r="Q3" s="9">
        <v>309612.72719999996</v>
      </c>
      <c r="R3" s="9">
        <v>306590.98344000004</v>
      </c>
      <c r="S3" s="9">
        <v>378475.24848000001</v>
      </c>
      <c r="T3" s="10">
        <f>SUM(P3:S3)</f>
        <v>1255297.6203600001</v>
      </c>
      <c r="U3" s="18"/>
      <c r="V3" s="21" t="s">
        <v>70</v>
      </c>
      <c r="W3" s="9">
        <f t="shared" ref="W3:Z8" si="1">I3+P3</f>
        <v>375139.35311999999</v>
      </c>
      <c r="X3" s="9">
        <f t="shared" si="1"/>
        <v>466659.06</v>
      </c>
      <c r="Y3" s="9">
        <f t="shared" si="1"/>
        <v>471807.17724000005</v>
      </c>
      <c r="Z3" s="9">
        <f t="shared" si="1"/>
        <v>535099.13855999999</v>
      </c>
      <c r="AA3" s="10">
        <f>SUM(W3:Z3)</f>
        <v>1848704.7289200001</v>
      </c>
      <c r="AB3" s="16"/>
      <c r="AC3" s="3"/>
      <c r="AD3" s="3"/>
    </row>
    <row r="4" spans="1:30" s="6" customFormat="1" ht="18" customHeight="1" x14ac:dyDescent="0.35">
      <c r="A4" s="21" t="s">
        <v>71</v>
      </c>
      <c r="B4" s="9">
        <v>1842788.8840671997</v>
      </c>
      <c r="C4" s="9">
        <v>2063143.9939998479</v>
      </c>
      <c r="D4" s="9">
        <v>2158333.7012400003</v>
      </c>
      <c r="E4" s="9">
        <v>2499335.3947872003</v>
      </c>
      <c r="F4" s="10">
        <f t="shared" ref="F4:F8" si="2">SUM(B4:E4)</f>
        <v>8563601.9740942474</v>
      </c>
      <c r="G4" s="144"/>
      <c r="H4" s="21" t="s">
        <v>71</v>
      </c>
      <c r="I4" s="9">
        <v>135257.09987999999</v>
      </c>
      <c r="J4" s="9">
        <v>102439.49435999998</v>
      </c>
      <c r="K4" s="9">
        <v>119971.56359999999</v>
      </c>
      <c r="L4" s="9">
        <v>135614.73240000001</v>
      </c>
      <c r="M4" s="10">
        <f t="shared" ref="M4:M8" si="3">SUM(I4:L4)</f>
        <v>493282.89023999998</v>
      </c>
      <c r="N4" s="17"/>
      <c r="O4" s="21" t="s">
        <v>71</v>
      </c>
      <c r="P4" s="9">
        <v>318999.84395999997</v>
      </c>
      <c r="Q4" s="9">
        <v>280651.86072000006</v>
      </c>
      <c r="R4" s="9">
        <v>283803.75576000003</v>
      </c>
      <c r="S4" s="9">
        <v>325860.07188000006</v>
      </c>
      <c r="T4" s="10">
        <f t="shared" ref="T4:T8" si="4">SUM(P4:S4)</f>
        <v>1209315.5323200002</v>
      </c>
      <c r="U4" s="18"/>
      <c r="V4" s="21" t="s">
        <v>71</v>
      </c>
      <c r="W4" s="9">
        <f t="shared" si="1"/>
        <v>454256.94383999996</v>
      </c>
      <c r="X4" s="9">
        <f t="shared" si="1"/>
        <v>383091.35508000001</v>
      </c>
      <c r="Y4" s="9">
        <f t="shared" si="1"/>
        <v>403775.31936000002</v>
      </c>
      <c r="Z4" s="9">
        <f t="shared" si="1"/>
        <v>461474.80428000004</v>
      </c>
      <c r="AA4" s="10">
        <f t="shared" ref="AA4:AA8" si="5">SUM(W4:Z4)</f>
        <v>1702598.4225600001</v>
      </c>
      <c r="AB4" s="16"/>
      <c r="AC4" s="3"/>
      <c r="AD4" s="3"/>
    </row>
    <row r="5" spans="1:30" s="6" customFormat="1" ht="18" customHeight="1" x14ac:dyDescent="0.35">
      <c r="A5" s="21" t="s">
        <v>72</v>
      </c>
      <c r="B5" s="9">
        <v>2180569.7870800006</v>
      </c>
      <c r="C5" s="9">
        <v>2104297.2417599997</v>
      </c>
      <c r="D5" s="9">
        <v>2069042.7717120002</v>
      </c>
      <c r="E5" s="9">
        <v>2494260.3086695997</v>
      </c>
      <c r="F5" s="10">
        <f t="shared" si="2"/>
        <v>8848170.1092216</v>
      </c>
      <c r="G5" s="144"/>
      <c r="H5" s="21" t="s">
        <v>72</v>
      </c>
      <c r="I5" s="9">
        <v>416199.13439999998</v>
      </c>
      <c r="J5" s="9">
        <v>429775.09763999993</v>
      </c>
      <c r="K5" s="9">
        <v>621353.91527999996</v>
      </c>
      <c r="L5" s="9">
        <v>524400.4415999999</v>
      </c>
      <c r="M5" s="10">
        <f t="shared" si="3"/>
        <v>1991728.58892</v>
      </c>
      <c r="N5" s="17"/>
      <c r="O5" s="21" t="s">
        <v>72</v>
      </c>
      <c r="P5" s="9">
        <v>88890.379199999996</v>
      </c>
      <c r="Q5" s="9">
        <v>26132.0304</v>
      </c>
      <c r="R5" s="9">
        <v>67414.578000000009</v>
      </c>
      <c r="S5" s="9">
        <v>69923.210699999996</v>
      </c>
      <c r="T5" s="10">
        <f t="shared" si="4"/>
        <v>252360.19829999999</v>
      </c>
      <c r="U5" s="18"/>
      <c r="V5" s="21" t="s">
        <v>72</v>
      </c>
      <c r="W5" s="9">
        <f t="shared" si="1"/>
        <v>505089.51359999995</v>
      </c>
      <c r="X5" s="9">
        <f t="shared" si="1"/>
        <v>455907.12803999992</v>
      </c>
      <c r="Y5" s="9">
        <f t="shared" si="1"/>
        <v>688768.49327999994</v>
      </c>
      <c r="Z5" s="9">
        <f t="shared" si="1"/>
        <v>594323.65229999996</v>
      </c>
      <c r="AA5" s="10">
        <f t="shared" si="5"/>
        <v>2244088.7872199994</v>
      </c>
      <c r="AB5" s="16"/>
      <c r="AC5" s="3"/>
      <c r="AD5" s="3"/>
    </row>
    <row r="6" spans="1:30" s="6" customFormat="1" ht="18" customHeight="1" x14ac:dyDescent="0.35">
      <c r="A6" s="21" t="s">
        <v>73</v>
      </c>
      <c r="B6" s="9">
        <v>889783.56936000008</v>
      </c>
      <c r="C6" s="9">
        <v>1104275.9834400001</v>
      </c>
      <c r="D6" s="9">
        <v>1060052.3984400001</v>
      </c>
      <c r="E6" s="9">
        <v>1103342.0867112002</v>
      </c>
      <c r="F6" s="10">
        <f t="shared" si="2"/>
        <v>4157454.0379512003</v>
      </c>
      <c r="G6" s="144"/>
      <c r="H6" s="21" t="s">
        <v>73</v>
      </c>
      <c r="I6" s="9">
        <v>52096.472400000006</v>
      </c>
      <c r="J6" s="9">
        <v>80052.957599999994</v>
      </c>
      <c r="K6" s="9">
        <v>96105.534000000014</v>
      </c>
      <c r="L6" s="9">
        <v>81896.749199999991</v>
      </c>
      <c r="M6" s="10">
        <f t="shared" si="3"/>
        <v>310151.7132</v>
      </c>
      <c r="N6" s="17"/>
      <c r="O6" s="21" t="s">
        <v>73</v>
      </c>
      <c r="P6" s="9">
        <v>21121.925999999999</v>
      </c>
      <c r="Q6" s="9">
        <v>24741.300359999997</v>
      </c>
      <c r="R6" s="9">
        <v>32793.651239999999</v>
      </c>
      <c r="S6" s="9">
        <v>28499.852640000005</v>
      </c>
      <c r="T6" s="10">
        <f t="shared" si="4"/>
        <v>107156.73024</v>
      </c>
      <c r="U6" s="18"/>
      <c r="V6" s="21" t="s">
        <v>73</v>
      </c>
      <c r="W6" s="9">
        <f t="shared" si="1"/>
        <v>73218.398400000005</v>
      </c>
      <c r="X6" s="9">
        <f t="shared" si="1"/>
        <v>104794.25795999999</v>
      </c>
      <c r="Y6" s="9">
        <f t="shared" si="1"/>
        <v>128899.18524000002</v>
      </c>
      <c r="Z6" s="9">
        <f t="shared" si="1"/>
        <v>110396.60183999999</v>
      </c>
      <c r="AA6" s="10">
        <f t="shared" si="5"/>
        <v>417308.44344000006</v>
      </c>
      <c r="AB6" s="16"/>
      <c r="AC6" s="3"/>
      <c r="AD6" s="3"/>
    </row>
    <row r="7" spans="1:30" s="6" customFormat="1" ht="18" customHeight="1" x14ac:dyDescent="0.35">
      <c r="A7" s="21" t="s">
        <v>74</v>
      </c>
      <c r="B7" s="9">
        <v>400749.27311999997</v>
      </c>
      <c r="C7" s="9">
        <v>636861.15109679999</v>
      </c>
      <c r="D7" s="9">
        <v>856239.15737135999</v>
      </c>
      <c r="E7" s="9">
        <v>854055.93003359984</v>
      </c>
      <c r="F7" s="10">
        <f t="shared" si="2"/>
        <v>2747905.5116217597</v>
      </c>
      <c r="G7" s="144"/>
      <c r="H7" s="21" t="s">
        <v>74</v>
      </c>
      <c r="I7" s="9">
        <v>50185.749599999996</v>
      </c>
      <c r="J7" s="9">
        <v>58891.649039999997</v>
      </c>
      <c r="K7" s="9">
        <v>90709.651200000022</v>
      </c>
      <c r="L7" s="9">
        <v>77187.057360000021</v>
      </c>
      <c r="M7" s="10">
        <f t="shared" si="3"/>
        <v>276974.10720000003</v>
      </c>
      <c r="N7" s="17"/>
      <c r="O7" s="21" t="s">
        <v>74</v>
      </c>
      <c r="P7" s="9">
        <v>96106.390799999979</v>
      </c>
      <c r="Q7" s="9">
        <v>68155.865399999995</v>
      </c>
      <c r="R7" s="9">
        <v>48915.269759999996</v>
      </c>
      <c r="S7" s="9">
        <v>77441.742000000013</v>
      </c>
      <c r="T7" s="10">
        <f t="shared" si="4"/>
        <v>290619.26795999997</v>
      </c>
      <c r="U7" s="18"/>
      <c r="V7" s="21" t="s">
        <v>74</v>
      </c>
      <c r="W7" s="9">
        <f t="shared" si="1"/>
        <v>146292.14039999997</v>
      </c>
      <c r="X7" s="9">
        <f t="shared" si="1"/>
        <v>127047.51444</v>
      </c>
      <c r="Y7" s="9">
        <f t="shared" si="1"/>
        <v>139624.92096000002</v>
      </c>
      <c r="Z7" s="9">
        <f t="shared" si="1"/>
        <v>154628.79936000003</v>
      </c>
      <c r="AA7" s="10">
        <f t="shared" si="5"/>
        <v>567593.37516000005</v>
      </c>
      <c r="AB7" s="16"/>
      <c r="AC7" s="3"/>
      <c r="AD7" s="3"/>
    </row>
    <row r="8" spans="1:30" s="6" customFormat="1" ht="18" customHeight="1" x14ac:dyDescent="0.35">
      <c r="A8" s="21" t="s">
        <v>75</v>
      </c>
      <c r="B8" s="9">
        <v>1210944.9396001678</v>
      </c>
      <c r="C8" s="9">
        <v>1457523.0697198324</v>
      </c>
      <c r="D8" s="9">
        <v>1455316.5838428005</v>
      </c>
      <c r="E8" s="9">
        <v>2163489.6238799999</v>
      </c>
      <c r="F8" s="10">
        <f t="shared" si="2"/>
        <v>6287274.2170428</v>
      </c>
      <c r="G8" s="144"/>
      <c r="H8" s="21" t="s">
        <v>75</v>
      </c>
      <c r="I8" s="9">
        <v>68989.603200000012</v>
      </c>
      <c r="J8" s="9">
        <v>103611.26075999999</v>
      </c>
      <c r="K8" s="9">
        <v>139184.34599999999</v>
      </c>
      <c r="L8" s="9">
        <v>103246.62599999999</v>
      </c>
      <c r="M8" s="10">
        <f t="shared" si="3"/>
        <v>415031.83596</v>
      </c>
      <c r="N8" s="17"/>
      <c r="O8" s="21" t="s">
        <v>75</v>
      </c>
      <c r="P8" s="9">
        <v>339160.77132000006</v>
      </c>
      <c r="Q8" s="9">
        <v>92020.188119999992</v>
      </c>
      <c r="R8" s="9">
        <v>50962.747919999994</v>
      </c>
      <c r="S8" s="9">
        <v>68350.808399999994</v>
      </c>
      <c r="T8" s="10">
        <f t="shared" si="4"/>
        <v>550494.5157600001</v>
      </c>
      <c r="U8" s="18"/>
      <c r="V8" s="21" t="s">
        <v>75</v>
      </c>
      <c r="W8" s="9">
        <f t="shared" si="1"/>
        <v>408150.37452000007</v>
      </c>
      <c r="X8" s="9">
        <f t="shared" si="1"/>
        <v>195631.44887999998</v>
      </c>
      <c r="Y8" s="9">
        <f t="shared" si="1"/>
        <v>190147.09391999998</v>
      </c>
      <c r="Z8" s="9">
        <f t="shared" si="1"/>
        <v>171597.43439999997</v>
      </c>
      <c r="AA8" s="10">
        <f t="shared" si="5"/>
        <v>965526.35172000015</v>
      </c>
      <c r="AB8" s="16"/>
      <c r="AC8" s="3"/>
      <c r="AD8" s="3"/>
    </row>
    <row r="9" spans="1:30" s="6" customFormat="1" ht="18" customHeight="1" x14ac:dyDescent="0.35">
      <c r="A9" s="21" t="s">
        <v>47</v>
      </c>
      <c r="B9" s="9">
        <v>163000</v>
      </c>
      <c r="C9" s="9">
        <v>227000</v>
      </c>
      <c r="D9" s="9">
        <v>287000</v>
      </c>
      <c r="E9" s="9">
        <v>220000</v>
      </c>
      <c r="F9" s="10">
        <f t="shared" ref="F9:F10" si="6">SUM(B9:E9)</f>
        <v>897000</v>
      </c>
      <c r="G9" s="144"/>
      <c r="H9" s="21"/>
      <c r="I9" s="9"/>
      <c r="J9" s="9"/>
      <c r="K9" s="9"/>
      <c r="L9" s="9"/>
      <c r="M9" s="10"/>
      <c r="N9" s="17"/>
      <c r="O9" s="21"/>
      <c r="P9" s="9"/>
      <c r="Q9" s="9"/>
      <c r="R9" s="9"/>
      <c r="S9" s="9"/>
      <c r="T9" s="10"/>
      <c r="U9" s="18"/>
      <c r="V9" s="21"/>
      <c r="W9" s="9"/>
      <c r="X9" s="9"/>
      <c r="Y9" s="9"/>
      <c r="Z9" s="9"/>
      <c r="AA9" s="10"/>
      <c r="AB9" s="16"/>
      <c r="AC9" s="3"/>
      <c r="AD9" s="3"/>
    </row>
    <row r="10" spans="1:30" s="6" customFormat="1" ht="18" customHeight="1" x14ac:dyDescent="0.35">
      <c r="A10" s="21" t="s">
        <v>26</v>
      </c>
      <c r="B10" s="9">
        <v>88500</v>
      </c>
      <c r="C10" s="9">
        <v>9000</v>
      </c>
      <c r="D10" s="9">
        <v>8000</v>
      </c>
      <c r="E10" s="9">
        <v>17500</v>
      </c>
      <c r="F10" s="10">
        <f t="shared" si="6"/>
        <v>123000</v>
      </c>
      <c r="G10" s="144"/>
      <c r="H10" s="21"/>
      <c r="I10" s="9"/>
      <c r="J10" s="9"/>
      <c r="K10" s="9"/>
      <c r="L10" s="9"/>
      <c r="M10" s="10"/>
      <c r="N10" s="17"/>
      <c r="O10" s="21"/>
      <c r="P10" s="9"/>
      <c r="Q10" s="9"/>
      <c r="R10" s="9"/>
      <c r="S10" s="9"/>
      <c r="T10" s="10"/>
      <c r="U10" s="18"/>
      <c r="V10" s="21"/>
      <c r="W10" s="9"/>
      <c r="X10" s="9"/>
      <c r="Y10" s="9"/>
      <c r="Z10" s="9"/>
      <c r="AA10" s="10"/>
      <c r="AB10" s="16"/>
      <c r="AC10" s="3"/>
      <c r="AD10" s="3"/>
    </row>
    <row r="11" spans="1:30" s="6" customFormat="1" ht="24" customHeight="1" x14ac:dyDescent="0.35">
      <c r="A11" s="8" t="s">
        <v>4</v>
      </c>
      <c r="B11" s="12">
        <f>SUM(B3:B10)</f>
        <v>9012674.9774946533</v>
      </c>
      <c r="C11" s="12">
        <f>SUM(C3:C10)</f>
        <v>9824919.7696964797</v>
      </c>
      <c r="D11" s="12">
        <f>SUM(D3:D10)</f>
        <v>10339820.652170431</v>
      </c>
      <c r="E11" s="12">
        <f>SUM(E3:E10)</f>
        <v>12264840.7773952</v>
      </c>
      <c r="F11" s="12">
        <f>SUM(F3:F10)</f>
        <v>41442256.176756755</v>
      </c>
      <c r="G11" s="144"/>
      <c r="H11" s="8" t="s">
        <v>4</v>
      </c>
      <c r="I11" s="10">
        <f>SUM(I3:I8)</f>
        <v>837248.75135999999</v>
      </c>
      <c r="J11" s="10">
        <f>SUM(J3:J8)</f>
        <v>931816.79219999991</v>
      </c>
      <c r="K11" s="10">
        <f>SUM(K3:K8)</f>
        <v>1232541.2038799999</v>
      </c>
      <c r="L11" s="10">
        <f>SUM(L3:L8)</f>
        <v>1078969.4966399998</v>
      </c>
      <c r="M11" s="10">
        <f>SUM(M3:M8)</f>
        <v>4080576.2440800001</v>
      </c>
      <c r="N11" s="17"/>
      <c r="O11" s="8" t="s">
        <v>4</v>
      </c>
      <c r="P11" s="12">
        <f>SUM(P3:P8)</f>
        <v>1124897.9725199998</v>
      </c>
      <c r="Q11" s="12">
        <f>SUM(Q3:Q8)</f>
        <v>801313.97220000008</v>
      </c>
      <c r="R11" s="12">
        <f>SUM(R3:R8)</f>
        <v>790480.98612000002</v>
      </c>
      <c r="S11" s="12">
        <f>SUM(S3:S8)</f>
        <v>948550.93409999995</v>
      </c>
      <c r="T11" s="12">
        <f>SUM(T3:T8)</f>
        <v>3665243.8649399998</v>
      </c>
      <c r="U11" s="18"/>
      <c r="V11" s="8" t="s">
        <v>4</v>
      </c>
      <c r="W11" s="12">
        <f>SUM(W3:W8)</f>
        <v>1962146.7238799999</v>
      </c>
      <c r="X11" s="12">
        <f>SUM(X3:X8)</f>
        <v>1733130.7644</v>
      </c>
      <c r="Y11" s="12">
        <f>SUM(Y3:Y8)</f>
        <v>2023022.19</v>
      </c>
      <c r="Z11" s="12">
        <f>SUM(Z3:Z8)</f>
        <v>2027520.4307399997</v>
      </c>
      <c r="AA11" s="12">
        <f>SUM(AA3:AA8)</f>
        <v>7745820.1090200003</v>
      </c>
      <c r="AB11" s="4"/>
      <c r="AC11" s="3"/>
      <c r="AD11" s="3"/>
    </row>
    <row r="12" spans="1:30" ht="18" customHeight="1" x14ac:dyDescent="0.35">
      <c r="B12" s="152"/>
      <c r="C12" s="101"/>
      <c r="D12" s="101"/>
      <c r="F12" s="102"/>
      <c r="I12" s="102"/>
      <c r="J12" s="102"/>
      <c r="K12" s="102"/>
      <c r="L12" s="102"/>
      <c r="M12" s="102"/>
      <c r="T12" s="129"/>
    </row>
    <row r="14" spans="1:30" s="6" customFormat="1" ht="18" customHeight="1" x14ac:dyDescent="0.35">
      <c r="A14" s="1" t="s">
        <v>69</v>
      </c>
      <c r="B14" s="130">
        <v>0.21757238184525451</v>
      </c>
      <c r="C14" s="130">
        <v>0.24948215959852202</v>
      </c>
      <c r="D14" s="130">
        <v>0.24847736171620802</v>
      </c>
      <c r="E14" s="130">
        <v>0.28446809684001545</v>
      </c>
      <c r="F14" s="3"/>
      <c r="G14" s="145"/>
      <c r="H14" s="1" t="s">
        <v>79</v>
      </c>
      <c r="I14" s="2">
        <v>0.20341880341880342</v>
      </c>
      <c r="J14" s="2">
        <v>0.25470085470085468</v>
      </c>
      <c r="K14" s="2">
        <v>0.29401709401709403</v>
      </c>
      <c r="L14" s="2">
        <v>0.24786324786324787</v>
      </c>
      <c r="M14" s="22"/>
      <c r="N14" s="22"/>
      <c r="O14" s="22" t="s">
        <v>80</v>
      </c>
      <c r="P14" s="2">
        <v>0.31168831168831168</v>
      </c>
      <c r="Q14" s="2">
        <v>0.22077922077922077</v>
      </c>
      <c r="R14" s="2">
        <v>0.21558441558441557</v>
      </c>
      <c r="S14" s="2">
        <v>0.25194805194805192</v>
      </c>
      <c r="T14" s="22"/>
      <c r="U14" s="22"/>
      <c r="V14" s="22" t="s">
        <v>79</v>
      </c>
      <c r="W14" s="2">
        <f>W24/AA24</f>
        <v>0.25341445244598959</v>
      </c>
      <c r="X14" s="2">
        <f>X24/AA24</f>
        <v>0.23901167121926992</v>
      </c>
      <c r="Y14" s="2">
        <f>Y24/AA24</f>
        <v>0.25776011919543085</v>
      </c>
      <c r="Z14" s="2">
        <f>Z24/AA24</f>
        <v>0.24981375713930967</v>
      </c>
      <c r="AA14" s="3"/>
      <c r="AB14" s="4"/>
      <c r="AD14" s="3"/>
    </row>
    <row r="15" spans="1:30" s="6" customFormat="1" ht="27.75" customHeight="1" x14ac:dyDescent="0.35">
      <c r="A15" s="7" t="s">
        <v>40</v>
      </c>
      <c r="B15" s="7" t="s">
        <v>0</v>
      </c>
      <c r="C15" s="7" t="s">
        <v>1</v>
      </c>
      <c r="D15" s="7" t="s">
        <v>2</v>
      </c>
      <c r="E15" s="7" t="s">
        <v>5</v>
      </c>
      <c r="F15" s="7" t="s">
        <v>6</v>
      </c>
      <c r="G15" s="145"/>
      <c r="H15" s="7" t="s">
        <v>40</v>
      </c>
      <c r="I15" s="7" t="s">
        <v>0</v>
      </c>
      <c r="J15" s="7" t="s">
        <v>1</v>
      </c>
      <c r="K15" s="7" t="s">
        <v>2</v>
      </c>
      <c r="L15" s="7" t="s">
        <v>5</v>
      </c>
      <c r="M15" s="7" t="s">
        <v>6</v>
      </c>
      <c r="N15" s="4"/>
      <c r="O15" s="7" t="s">
        <v>40</v>
      </c>
      <c r="P15" s="7" t="s">
        <v>0</v>
      </c>
      <c r="Q15" s="7" t="s">
        <v>1</v>
      </c>
      <c r="R15" s="7" t="s">
        <v>2</v>
      </c>
      <c r="S15" s="7" t="s">
        <v>5</v>
      </c>
      <c r="T15" s="7" t="s">
        <v>6</v>
      </c>
      <c r="U15" s="4"/>
      <c r="V15" s="7" t="s">
        <v>40</v>
      </c>
      <c r="W15" s="7" t="s">
        <v>0</v>
      </c>
      <c r="X15" s="7" t="s">
        <v>1</v>
      </c>
      <c r="Y15" s="7" t="s">
        <v>2</v>
      </c>
      <c r="Z15" s="7" t="s">
        <v>5</v>
      </c>
      <c r="AA15" s="7" t="s">
        <v>6</v>
      </c>
      <c r="AB15" s="4"/>
      <c r="AD15" s="3"/>
    </row>
    <row r="16" spans="1:30" s="6" customFormat="1" ht="18" customHeight="1" x14ac:dyDescent="0.35">
      <c r="A16" s="21" t="s">
        <v>70</v>
      </c>
      <c r="B16" s="9">
        <v>2459881.6135105109</v>
      </c>
      <c r="C16" s="9">
        <v>2759199.4073410528</v>
      </c>
      <c r="D16" s="9">
        <v>2807862.6719297473</v>
      </c>
      <c r="E16" s="9">
        <v>3137056.3072186895</v>
      </c>
      <c r="F16" s="10">
        <f t="shared" ref="F16:F21" si="7">SUM(B16:E16)</f>
        <v>11164000</v>
      </c>
      <c r="G16" s="141"/>
      <c r="H16" s="21" t="s">
        <v>70</v>
      </c>
      <c r="I16" s="9">
        <v>128000</v>
      </c>
      <c r="J16" s="9">
        <v>161000</v>
      </c>
      <c r="K16" s="9">
        <v>185000</v>
      </c>
      <c r="L16" s="9">
        <v>157000</v>
      </c>
      <c r="M16" s="10">
        <f>SUM(I16:L16)</f>
        <v>631000</v>
      </c>
      <c r="N16" s="141">
        <f t="shared" ref="N16:N21" si="8">M16/M3-1</f>
        <v>6.3350928726191524E-2</v>
      </c>
      <c r="O16" s="21" t="s">
        <v>70</v>
      </c>
      <c r="P16" s="9">
        <v>396000</v>
      </c>
      <c r="Q16" s="9">
        <v>281000</v>
      </c>
      <c r="R16" s="9">
        <v>275000</v>
      </c>
      <c r="S16" s="9">
        <v>321000</v>
      </c>
      <c r="T16" s="10">
        <f t="shared" ref="T16:T21" si="9">SUM(P16:S16)</f>
        <v>1273000</v>
      </c>
      <c r="U16" s="141">
        <f t="shared" ref="U16:U21" si="10">T16/T3-1</f>
        <v>1.4102137495427769E-2</v>
      </c>
      <c r="V16" s="21" t="s">
        <v>70</v>
      </c>
      <c r="W16" s="9">
        <f t="shared" ref="W16:Z21" si="11">I16+P16</f>
        <v>524000</v>
      </c>
      <c r="X16" s="9">
        <f t="shared" si="11"/>
        <v>442000</v>
      </c>
      <c r="Y16" s="9">
        <f t="shared" si="11"/>
        <v>460000</v>
      </c>
      <c r="Z16" s="9">
        <f t="shared" si="11"/>
        <v>478000</v>
      </c>
      <c r="AA16" s="10">
        <f>SUM(W16:Z16)</f>
        <v>1904000</v>
      </c>
      <c r="AB16" s="11"/>
      <c r="AD16" s="3"/>
    </row>
    <row r="17" spans="1:30" s="6" customFormat="1" ht="18" customHeight="1" x14ac:dyDescent="0.35">
      <c r="A17" s="21" t="s">
        <v>71</v>
      </c>
      <c r="B17" s="9">
        <v>2134658.4969475092</v>
      </c>
      <c r="C17" s="9">
        <f>2463056.28556544</f>
        <v>2463056.2855654401</v>
      </c>
      <c r="D17" s="9">
        <v>2530698.9894664553</v>
      </c>
      <c r="E17" s="9">
        <v>2826586.2280205926</v>
      </c>
      <c r="F17" s="10">
        <f t="shared" si="7"/>
        <v>9954999.9999999963</v>
      </c>
      <c r="G17" s="141"/>
      <c r="H17" s="21" t="s">
        <v>71</v>
      </c>
      <c r="I17" s="9">
        <v>107000</v>
      </c>
      <c r="J17" s="9">
        <v>134000</v>
      </c>
      <c r="K17" s="9">
        <v>154000</v>
      </c>
      <c r="L17" s="9">
        <v>130000</v>
      </c>
      <c r="M17" s="10">
        <f t="shared" ref="M17:M21" si="12">SUM(I17:L17)</f>
        <v>525000</v>
      </c>
      <c r="N17" s="141">
        <f t="shared" si="8"/>
        <v>6.4298013143266441E-2</v>
      </c>
      <c r="O17" s="21" t="s">
        <v>71</v>
      </c>
      <c r="P17" s="9">
        <v>382000</v>
      </c>
      <c r="Q17" s="9">
        <v>271000</v>
      </c>
      <c r="R17" s="9">
        <v>264000</v>
      </c>
      <c r="S17" s="9">
        <v>309000</v>
      </c>
      <c r="T17" s="10">
        <f t="shared" si="9"/>
        <v>1226000</v>
      </c>
      <c r="U17" s="141">
        <f t="shared" si="10"/>
        <v>1.3796620678468985E-2</v>
      </c>
      <c r="V17" s="21" t="s">
        <v>71</v>
      </c>
      <c r="W17" s="9">
        <f t="shared" si="11"/>
        <v>489000</v>
      </c>
      <c r="X17" s="9">
        <f t="shared" si="11"/>
        <v>405000</v>
      </c>
      <c r="Y17" s="9">
        <f t="shared" si="11"/>
        <v>418000</v>
      </c>
      <c r="Z17" s="9">
        <f t="shared" si="11"/>
        <v>439000</v>
      </c>
      <c r="AA17" s="10">
        <f t="shared" ref="AA17:AA21" si="13">SUM(W17:Z17)</f>
        <v>1751000</v>
      </c>
      <c r="AB17" s="11"/>
      <c r="AD17" s="3"/>
    </row>
    <row r="18" spans="1:30" s="6" customFormat="1" ht="18" customHeight="1" x14ac:dyDescent="0.35">
      <c r="A18" s="21" t="s">
        <v>72</v>
      </c>
      <c r="B18" s="9">
        <v>2266788.6766028595</v>
      </c>
      <c r="C18" s="9">
        <v>2360829.2740451153</v>
      </c>
      <c r="D18" s="9">
        <v>2529851.7670814805</v>
      </c>
      <c r="E18" s="9">
        <v>2966530.2822705451</v>
      </c>
      <c r="F18" s="10">
        <f t="shared" si="7"/>
        <v>10124000</v>
      </c>
      <c r="G18" s="141"/>
      <c r="H18" s="21" t="s">
        <v>72</v>
      </c>
      <c r="I18" s="9">
        <v>431000</v>
      </c>
      <c r="J18" s="9">
        <v>539000</v>
      </c>
      <c r="K18" s="9">
        <v>622000</v>
      </c>
      <c r="L18" s="9">
        <v>525000</v>
      </c>
      <c r="M18" s="10">
        <f t="shared" si="12"/>
        <v>2117000</v>
      </c>
      <c r="N18" s="141">
        <f t="shared" si="8"/>
        <v>6.2895824148373247E-2</v>
      </c>
      <c r="O18" s="21" t="s">
        <v>72</v>
      </c>
      <c r="P18" s="9">
        <v>80000</v>
      </c>
      <c r="Q18" s="9">
        <v>56000</v>
      </c>
      <c r="R18" s="9">
        <v>55000</v>
      </c>
      <c r="S18" s="9">
        <v>64000</v>
      </c>
      <c r="T18" s="10">
        <f t="shared" si="9"/>
        <v>255000</v>
      </c>
      <c r="U18" s="141">
        <f t="shared" si="10"/>
        <v>1.0460451837424278E-2</v>
      </c>
      <c r="V18" s="21" t="s">
        <v>72</v>
      </c>
      <c r="W18" s="9">
        <f t="shared" si="11"/>
        <v>511000</v>
      </c>
      <c r="X18" s="9">
        <f t="shared" si="11"/>
        <v>595000</v>
      </c>
      <c r="Y18" s="9">
        <f t="shared" si="11"/>
        <v>677000</v>
      </c>
      <c r="Z18" s="9">
        <f t="shared" si="11"/>
        <v>589000</v>
      </c>
      <c r="AA18" s="10">
        <f t="shared" si="13"/>
        <v>2372000</v>
      </c>
      <c r="AB18" s="11"/>
      <c r="AD18" s="3"/>
    </row>
    <row r="19" spans="1:30" s="6" customFormat="1" ht="18" customHeight="1" x14ac:dyDescent="0.35">
      <c r="A19" s="21" t="s">
        <v>73</v>
      </c>
      <c r="B19" s="9">
        <v>1036907.8998784873</v>
      </c>
      <c r="C19" s="9">
        <f>1223170.79512902</f>
        <v>1223170.79512902</v>
      </c>
      <c r="D19" s="9">
        <v>1219114.5277534379</v>
      </c>
      <c r="E19" s="9">
        <v>1396806.7772390554</v>
      </c>
      <c r="F19" s="10">
        <f t="shared" si="7"/>
        <v>4876000</v>
      </c>
      <c r="G19" s="141"/>
      <c r="H19" s="21" t="s">
        <v>73</v>
      </c>
      <c r="I19" s="9">
        <v>67000</v>
      </c>
      <c r="J19" s="9">
        <v>84000</v>
      </c>
      <c r="K19" s="9">
        <v>97000</v>
      </c>
      <c r="L19" s="9">
        <v>82000</v>
      </c>
      <c r="M19" s="10">
        <f t="shared" si="12"/>
        <v>330000</v>
      </c>
      <c r="N19" s="141">
        <f t="shared" si="8"/>
        <v>6.3995412423212716E-2</v>
      </c>
      <c r="O19" s="21" t="s">
        <v>73</v>
      </c>
      <c r="P19" s="9">
        <v>34000</v>
      </c>
      <c r="Q19" s="9">
        <v>24000</v>
      </c>
      <c r="R19" s="9">
        <v>23000</v>
      </c>
      <c r="S19" s="9">
        <v>27000</v>
      </c>
      <c r="T19" s="10">
        <f t="shared" si="9"/>
        <v>108000</v>
      </c>
      <c r="U19" s="141">
        <f t="shared" si="10"/>
        <v>7.8694987996676957E-3</v>
      </c>
      <c r="V19" s="21" t="s">
        <v>73</v>
      </c>
      <c r="W19" s="9">
        <f t="shared" si="11"/>
        <v>101000</v>
      </c>
      <c r="X19" s="9">
        <f t="shared" si="11"/>
        <v>108000</v>
      </c>
      <c r="Y19" s="9">
        <f t="shared" si="11"/>
        <v>120000</v>
      </c>
      <c r="Z19" s="9">
        <f t="shared" si="11"/>
        <v>109000</v>
      </c>
      <c r="AA19" s="10">
        <f t="shared" si="13"/>
        <v>438000</v>
      </c>
      <c r="AB19" s="11"/>
      <c r="AD19" s="3"/>
    </row>
    <row r="20" spans="1:30" s="6" customFormat="1" ht="18" customHeight="1" x14ac:dyDescent="0.35">
      <c r="A20" s="21" t="s">
        <v>74</v>
      </c>
      <c r="B20" s="9">
        <v>741013.63376657886</v>
      </c>
      <c r="C20" s="9">
        <v>886302.49845574121</v>
      </c>
      <c r="D20" s="9">
        <v>869443.93760623829</v>
      </c>
      <c r="E20" s="9">
        <v>994239.93017144129</v>
      </c>
      <c r="F20" s="10">
        <f t="shared" si="7"/>
        <v>3490999.9999999995</v>
      </c>
      <c r="G20" s="141"/>
      <c r="H20" s="21" t="s">
        <v>74</v>
      </c>
      <c r="I20" s="9">
        <v>60000</v>
      </c>
      <c r="J20" s="9">
        <v>75000</v>
      </c>
      <c r="K20" s="9">
        <v>87000</v>
      </c>
      <c r="L20" s="9">
        <v>73000</v>
      </c>
      <c r="M20" s="10">
        <f t="shared" si="12"/>
        <v>295000</v>
      </c>
      <c r="N20" s="141">
        <f t="shared" si="8"/>
        <v>6.508150881765884E-2</v>
      </c>
      <c r="O20" s="21" t="s">
        <v>74</v>
      </c>
      <c r="P20" s="9">
        <v>92000</v>
      </c>
      <c r="Q20" s="9">
        <v>65000</v>
      </c>
      <c r="R20" s="9">
        <v>64000</v>
      </c>
      <c r="S20" s="9">
        <v>74000</v>
      </c>
      <c r="T20" s="10">
        <f t="shared" si="9"/>
        <v>295000</v>
      </c>
      <c r="U20" s="141">
        <f t="shared" si="10"/>
        <v>1.5073783891723869E-2</v>
      </c>
      <c r="V20" s="21" t="s">
        <v>74</v>
      </c>
      <c r="W20" s="9">
        <f t="shared" si="11"/>
        <v>152000</v>
      </c>
      <c r="X20" s="9">
        <f t="shared" si="11"/>
        <v>140000</v>
      </c>
      <c r="Y20" s="9">
        <f t="shared" si="11"/>
        <v>151000</v>
      </c>
      <c r="Z20" s="9">
        <f t="shared" si="11"/>
        <v>147000</v>
      </c>
      <c r="AA20" s="10">
        <f t="shared" si="13"/>
        <v>590000</v>
      </c>
      <c r="AB20" s="11"/>
      <c r="AD20" s="3"/>
    </row>
    <row r="21" spans="1:30" s="6" customFormat="1" ht="18" customHeight="1" x14ac:dyDescent="0.35">
      <c r="A21" s="21" t="s">
        <v>75</v>
      </c>
      <c r="B21" s="9">
        <v>1534286.671732387</v>
      </c>
      <c r="C21" s="9">
        <v>1768238.8381462961</v>
      </c>
      <c r="D21" s="9">
        <v>1778250.4344668291</v>
      </c>
      <c r="E21" s="9">
        <v>2036224.0556544894</v>
      </c>
      <c r="F21" s="10">
        <f t="shared" si="7"/>
        <v>7117000.0000000009</v>
      </c>
      <c r="G21" s="141"/>
      <c r="H21" s="21" t="s">
        <v>75</v>
      </c>
      <c r="I21" s="9">
        <v>90000</v>
      </c>
      <c r="J21" s="9">
        <v>112000</v>
      </c>
      <c r="K21" s="9">
        <v>130000</v>
      </c>
      <c r="L21" s="9">
        <v>109000</v>
      </c>
      <c r="M21" s="10">
        <f t="shared" si="12"/>
        <v>441000</v>
      </c>
      <c r="N21" s="141">
        <f t="shared" si="8"/>
        <v>6.2569089380658527E-2</v>
      </c>
      <c r="O21" s="21" t="s">
        <v>75</v>
      </c>
      <c r="P21" s="9">
        <v>174000</v>
      </c>
      <c r="Q21" s="9">
        <v>123000</v>
      </c>
      <c r="R21" s="9">
        <v>120000</v>
      </c>
      <c r="S21" s="9">
        <v>141000</v>
      </c>
      <c r="T21" s="10">
        <f t="shared" si="9"/>
        <v>558000</v>
      </c>
      <c r="U21" s="141">
        <f t="shared" si="10"/>
        <v>1.3634076317069255E-2</v>
      </c>
      <c r="V21" s="21" t="s">
        <v>75</v>
      </c>
      <c r="W21" s="9">
        <f t="shared" si="11"/>
        <v>264000</v>
      </c>
      <c r="X21" s="9">
        <f t="shared" si="11"/>
        <v>235000</v>
      </c>
      <c r="Y21" s="9">
        <f t="shared" si="11"/>
        <v>250000</v>
      </c>
      <c r="Z21" s="9">
        <f t="shared" si="11"/>
        <v>250000</v>
      </c>
      <c r="AA21" s="10">
        <f t="shared" si="13"/>
        <v>999000</v>
      </c>
      <c r="AB21" s="11"/>
      <c r="AD21" s="3"/>
    </row>
    <row r="22" spans="1:30" s="6" customFormat="1" ht="18" customHeight="1" x14ac:dyDescent="0.35">
      <c r="A22" s="21" t="s">
        <v>25</v>
      </c>
      <c r="B22" s="9">
        <v>215688.25350043955</v>
      </c>
      <c r="C22" s="9">
        <v>270079.38282688352</v>
      </c>
      <c r="D22" s="9">
        <v>306491.7696475109</v>
      </c>
      <c r="E22" s="9">
        <v>161149.03751298558</v>
      </c>
      <c r="F22" s="10">
        <f t="shared" ref="F22:F23" si="14">SUM(B22:E22)</f>
        <v>953408.44348781952</v>
      </c>
      <c r="G22" s="141"/>
      <c r="H22" s="21"/>
      <c r="I22" s="9"/>
      <c r="J22" s="9"/>
      <c r="K22" s="9"/>
      <c r="L22" s="9"/>
      <c r="M22" s="10"/>
      <c r="N22" s="11"/>
      <c r="O22" s="21"/>
      <c r="P22" s="9"/>
      <c r="Q22" s="9"/>
      <c r="R22" s="9"/>
      <c r="S22" s="9"/>
      <c r="T22" s="10"/>
      <c r="U22" s="141"/>
      <c r="V22" s="21"/>
      <c r="W22" s="9"/>
      <c r="X22" s="9"/>
      <c r="Y22" s="9"/>
      <c r="Z22" s="9"/>
      <c r="AA22" s="10"/>
      <c r="AB22" s="11"/>
      <c r="AD22" s="3"/>
    </row>
    <row r="23" spans="1:30" s="6" customFormat="1" ht="18" customHeight="1" x14ac:dyDescent="0.35">
      <c r="A23" s="21" t="s">
        <v>26</v>
      </c>
      <c r="B23" s="9">
        <v>-49195.212466831763</v>
      </c>
      <c r="C23" s="9">
        <v>-49195.212466831763</v>
      </c>
      <c r="D23" s="9">
        <v>-49195.212466831763</v>
      </c>
      <c r="E23" s="9">
        <v>-49195.212466831763</v>
      </c>
      <c r="F23" s="10">
        <f t="shared" si="14"/>
        <v>-196780.84986732705</v>
      </c>
      <c r="G23" s="141"/>
      <c r="H23" s="21"/>
      <c r="I23" s="9"/>
      <c r="J23" s="9"/>
      <c r="K23" s="9"/>
      <c r="L23" s="9"/>
      <c r="M23" s="10"/>
      <c r="N23" s="11"/>
      <c r="O23" s="21"/>
      <c r="P23" s="9"/>
      <c r="Q23" s="9"/>
      <c r="R23" s="9"/>
      <c r="S23" s="9"/>
      <c r="T23" s="10"/>
      <c r="U23" s="141"/>
      <c r="V23" s="21"/>
      <c r="W23" s="9"/>
      <c r="X23" s="9"/>
      <c r="Y23" s="9"/>
      <c r="Z23" s="9"/>
      <c r="AA23" s="10"/>
      <c r="AB23" s="11"/>
      <c r="AD23" s="3"/>
    </row>
    <row r="24" spans="1:30" s="6" customFormat="1" ht="24" customHeight="1" x14ac:dyDescent="0.35">
      <c r="A24" s="8" t="s">
        <v>4</v>
      </c>
      <c r="B24" s="12">
        <f>SUM(B16:B23)</f>
        <v>10340030.033471938</v>
      </c>
      <c r="C24" s="12">
        <f>SUM(C16:C23)</f>
        <v>11681681.269042715</v>
      </c>
      <c r="D24" s="12">
        <f>SUM(D16:D23)</f>
        <v>11992518.885484867</v>
      </c>
      <c r="E24" s="12">
        <f>SUM(E16:E23)</f>
        <v>13469397.405620964</v>
      </c>
      <c r="F24" s="12">
        <f>SUM(B24:E24)</f>
        <v>47483627.593620479</v>
      </c>
      <c r="G24" s="141"/>
      <c r="H24" s="13" t="s">
        <v>4</v>
      </c>
      <c r="I24" s="12">
        <f>SUM(I16:I21)</f>
        <v>883000</v>
      </c>
      <c r="J24" s="12">
        <f>SUM(J16:J21)</f>
        <v>1105000</v>
      </c>
      <c r="K24" s="12">
        <f>SUM(K16:K21)</f>
        <v>1275000</v>
      </c>
      <c r="L24" s="12">
        <f>SUM(L16:L21)</f>
        <v>1076000</v>
      </c>
      <c r="M24" s="12">
        <f>SUM(M16:M21)</f>
        <v>4339000</v>
      </c>
      <c r="N24" s="141">
        <f>M24/M11-1</f>
        <v>6.3330211338390008E-2</v>
      </c>
      <c r="O24" s="13" t="s">
        <v>4</v>
      </c>
      <c r="P24" s="12">
        <f>SUM(P16:P21)</f>
        <v>1158000</v>
      </c>
      <c r="Q24" s="12">
        <f>SUM(Q16:Q21)</f>
        <v>820000</v>
      </c>
      <c r="R24" s="12">
        <f>SUM(R16:R21)</f>
        <v>801000</v>
      </c>
      <c r="S24" s="12">
        <f>SUM(S16:S21)</f>
        <v>936000</v>
      </c>
      <c r="T24" s="12">
        <f>SUM(T16:T21)</f>
        <v>3715000</v>
      </c>
      <c r="U24" s="141">
        <f>T24/T11-1</f>
        <v>1.3575122663990857E-2</v>
      </c>
      <c r="V24" s="13" t="s">
        <v>4</v>
      </c>
      <c r="W24" s="12">
        <f>SUM(W16:W21)</f>
        <v>2041000</v>
      </c>
      <c r="X24" s="12">
        <f>SUM(X16:X21)</f>
        <v>1925000</v>
      </c>
      <c r="Y24" s="12">
        <f>SUM(Y16:Y21)</f>
        <v>2076000</v>
      </c>
      <c r="Z24" s="12">
        <f>SUM(Z16:Z21)</f>
        <v>2012000</v>
      </c>
      <c r="AA24" s="12">
        <f>SUM(AA16:AA21)</f>
        <v>8054000</v>
      </c>
      <c r="AB24" s="11"/>
      <c r="AD24" s="3"/>
    </row>
    <row r="25" spans="1:30" s="6" customFormat="1" ht="18" customHeight="1" x14ac:dyDescent="0.35">
      <c r="B25" s="3"/>
      <c r="C25" s="3"/>
      <c r="D25" s="3"/>
      <c r="E25" s="3"/>
      <c r="F25" s="102"/>
      <c r="G25" s="145"/>
      <c r="I25" s="3"/>
      <c r="J25" s="3"/>
      <c r="K25" s="3"/>
      <c r="L25" s="3"/>
      <c r="M25" s="20"/>
      <c r="N25" s="4"/>
      <c r="P25" s="3"/>
      <c r="Q25" s="3"/>
      <c r="R25" s="3"/>
      <c r="S25" s="3"/>
      <c r="T25" s="20"/>
      <c r="U25" s="4"/>
      <c r="W25" s="3">
        <f>W24-W37</f>
        <v>466000.94416000019</v>
      </c>
      <c r="X25" s="3"/>
      <c r="Y25" s="3"/>
      <c r="Z25" s="3"/>
      <c r="AA25" s="20"/>
      <c r="AB25" s="4"/>
      <c r="AD25" s="3"/>
    </row>
    <row r="26" spans="1:30" ht="18" customHeight="1" x14ac:dyDescent="0.35">
      <c r="B26" s="101"/>
      <c r="C26" s="146"/>
      <c r="D26" s="146"/>
      <c r="E26" s="102"/>
    </row>
    <row r="27" spans="1:30" s="6" customFormat="1" ht="18" customHeight="1" x14ac:dyDescent="0.35">
      <c r="A27" s="1" t="s">
        <v>69</v>
      </c>
      <c r="B27" s="101"/>
      <c r="C27" s="101"/>
      <c r="D27" s="101">
        <v>1590201.1439999999</v>
      </c>
      <c r="E27" s="101"/>
      <c r="F27" s="3"/>
      <c r="G27" s="145"/>
      <c r="H27" s="1" t="s">
        <v>79</v>
      </c>
      <c r="I27" s="2"/>
      <c r="J27" s="2"/>
      <c r="K27" s="216">
        <v>86856</v>
      </c>
      <c r="L27" s="216"/>
      <c r="M27" s="22"/>
      <c r="N27" s="22"/>
      <c r="O27" s="22" t="s">
        <v>80</v>
      </c>
      <c r="P27" s="2"/>
      <c r="Q27" s="2"/>
      <c r="R27" s="2"/>
      <c r="S27" s="2"/>
      <c r="T27" s="22"/>
      <c r="U27" s="22"/>
      <c r="V27" s="22" t="s">
        <v>79</v>
      </c>
      <c r="W27" s="2"/>
      <c r="X27" s="2"/>
      <c r="Y27" s="2"/>
      <c r="Z27" s="2"/>
      <c r="AA27" s="3"/>
      <c r="AB27" s="4"/>
      <c r="AD27" s="3"/>
    </row>
    <row r="28" spans="1:30" s="6" customFormat="1" ht="27.75" customHeight="1" x14ac:dyDescent="0.35">
      <c r="A28" s="126" t="s">
        <v>41</v>
      </c>
      <c r="B28" s="126" t="s">
        <v>0</v>
      </c>
      <c r="C28" s="126" t="s">
        <v>1</v>
      </c>
      <c r="D28" s="126" t="s">
        <v>2</v>
      </c>
      <c r="E28" s="126" t="s">
        <v>5</v>
      </c>
      <c r="F28" s="126" t="s">
        <v>6</v>
      </c>
      <c r="G28" s="145"/>
      <c r="H28" s="126" t="s">
        <v>41</v>
      </c>
      <c r="I28" s="126" t="s">
        <v>0</v>
      </c>
      <c r="J28" s="126" t="s">
        <v>1</v>
      </c>
      <c r="K28" s="126" t="s">
        <v>2</v>
      </c>
      <c r="L28" s="126" t="s">
        <v>5</v>
      </c>
      <c r="M28" s="126" t="s">
        <v>6</v>
      </c>
      <c r="N28" s="4"/>
      <c r="O28" s="126" t="s">
        <v>41</v>
      </c>
      <c r="P28" s="126" t="s">
        <v>0</v>
      </c>
      <c r="Q28" s="126" t="s">
        <v>1</v>
      </c>
      <c r="R28" s="126" t="s">
        <v>2</v>
      </c>
      <c r="S28" s="126" t="s">
        <v>5</v>
      </c>
      <c r="T28" s="126" t="s">
        <v>6</v>
      </c>
      <c r="U28" s="4"/>
      <c r="V28" s="126" t="s">
        <v>41</v>
      </c>
      <c r="W28" s="126" t="s">
        <v>0</v>
      </c>
      <c r="X28" s="126" t="s">
        <v>1</v>
      </c>
      <c r="Y28" s="126" t="s">
        <v>2</v>
      </c>
      <c r="Z28" s="126" t="s">
        <v>5</v>
      </c>
      <c r="AA28" s="126" t="s">
        <v>6</v>
      </c>
      <c r="AB28" s="4"/>
      <c r="AD28" s="3"/>
    </row>
    <row r="29" spans="1:30" s="6" customFormat="1" ht="18" customHeight="1" x14ac:dyDescent="0.35">
      <c r="A29" s="21" t="s">
        <v>70</v>
      </c>
      <c r="B29" s="9">
        <v>2503892.9840316842</v>
      </c>
      <c r="C29" s="9">
        <v>2767361.2717594965</v>
      </c>
      <c r="D29" s="9">
        <v>2802921.0105968006</v>
      </c>
      <c r="E29" s="9"/>
      <c r="F29" s="10">
        <f>SUM(B29:E29)</f>
        <v>8074175.2663879814</v>
      </c>
      <c r="G29" s="11"/>
      <c r="H29" s="21" t="s">
        <v>70</v>
      </c>
      <c r="I29" s="9">
        <v>142291.40856000001</v>
      </c>
      <c r="J29" s="9">
        <v>146205.26508000001</v>
      </c>
      <c r="K29" s="9">
        <v>188091.36192</v>
      </c>
      <c r="L29" s="9"/>
      <c r="M29" s="10"/>
      <c r="N29" s="11"/>
      <c r="O29" s="21" t="s">
        <v>70</v>
      </c>
      <c r="P29" s="9">
        <v>317833.84668000002</v>
      </c>
      <c r="Q29" s="9">
        <v>278164.11000000004</v>
      </c>
      <c r="R29" s="9">
        <v>245855.32020000002</v>
      </c>
      <c r="S29" s="9"/>
      <c r="T29" s="10">
        <f>SUM(P29:S29)</f>
        <v>841853.27688000002</v>
      </c>
      <c r="U29" s="11"/>
      <c r="V29" s="21" t="s">
        <v>70</v>
      </c>
      <c r="W29" s="9">
        <f t="shared" ref="W29:Z34" si="15">I29+P29</f>
        <v>460125.25524000003</v>
      </c>
      <c r="X29" s="9">
        <f t="shared" si="15"/>
        <v>424369.37508000003</v>
      </c>
      <c r="Y29" s="9">
        <f t="shared" si="15"/>
        <v>433946.68212000001</v>
      </c>
      <c r="Z29" s="9">
        <f t="shared" si="15"/>
        <v>0</v>
      </c>
      <c r="AA29" s="10">
        <f>SUM(W29:Z29)</f>
        <v>1318441.31244</v>
      </c>
      <c r="AB29" s="11"/>
      <c r="AD29" s="3"/>
    </row>
    <row r="30" spans="1:30" s="6" customFormat="1" ht="18" customHeight="1" x14ac:dyDescent="0.35">
      <c r="A30" s="21" t="s">
        <v>71</v>
      </c>
      <c r="B30" s="9">
        <v>3021488.7155140834</v>
      </c>
      <c r="C30" s="9">
        <v>6051258.9635135997</v>
      </c>
      <c r="D30" s="9">
        <v>2909467.210363999</v>
      </c>
      <c r="E30" s="9"/>
      <c r="F30" s="10">
        <f t="shared" ref="F30:F34" si="16">SUM(B30:E30)</f>
        <v>11982214.889391683</v>
      </c>
      <c r="G30" s="11"/>
      <c r="H30" s="21" t="s">
        <v>71</v>
      </c>
      <c r="I30" s="9">
        <v>90286.549079999997</v>
      </c>
      <c r="J30" s="9">
        <v>236981.12339999998</v>
      </c>
      <c r="K30" s="9">
        <v>196391.1936</v>
      </c>
      <c r="L30" s="9"/>
      <c r="M30" s="10"/>
      <c r="N30" s="11"/>
      <c r="O30" s="21" t="s">
        <v>71</v>
      </c>
      <c r="P30" s="9">
        <v>206400.75036000001</v>
      </c>
      <c r="Q30" s="9">
        <v>416852.63256</v>
      </c>
      <c r="R30" s="9">
        <v>285578.20199999999</v>
      </c>
      <c r="S30" s="9"/>
      <c r="T30" s="10">
        <f t="shared" ref="T30:T34" si="17">SUM(P30:S30)</f>
        <v>908831.58492000005</v>
      </c>
      <c r="U30" s="11"/>
      <c r="V30" s="21" t="s">
        <v>71</v>
      </c>
      <c r="W30" s="9">
        <f t="shared" si="15"/>
        <v>296687.29943999997</v>
      </c>
      <c r="X30" s="9">
        <f t="shared" si="15"/>
        <v>653833.75595999998</v>
      </c>
      <c r="Y30" s="9">
        <f t="shared" si="15"/>
        <v>481969.39559999999</v>
      </c>
      <c r="Z30" s="9">
        <f t="shared" si="15"/>
        <v>0</v>
      </c>
      <c r="AA30" s="10">
        <f t="shared" ref="AA30:AA34" si="18">SUM(W30:Z30)</f>
        <v>1432490.4509999999</v>
      </c>
      <c r="AB30" s="11"/>
      <c r="AD30" s="3"/>
    </row>
    <row r="31" spans="1:30" s="6" customFormat="1" ht="18" customHeight="1" x14ac:dyDescent="0.35">
      <c r="A31" s="21" t="s">
        <v>72</v>
      </c>
      <c r="B31" s="9">
        <v>2915162.2885488006</v>
      </c>
      <c r="C31" s="9">
        <v>2840407.3105583997</v>
      </c>
      <c r="D31" s="9">
        <v>2949458.2614000007</v>
      </c>
      <c r="E31" s="9"/>
      <c r="F31" s="10">
        <f t="shared" si="16"/>
        <v>8705027.8605072014</v>
      </c>
      <c r="G31" s="11"/>
      <c r="H31" s="21" t="s">
        <v>72</v>
      </c>
      <c r="I31" s="9">
        <v>425253.85644</v>
      </c>
      <c r="J31" s="9">
        <v>676053.17472000001</v>
      </c>
      <c r="K31" s="9">
        <v>623521.83096000005</v>
      </c>
      <c r="L31" s="9"/>
      <c r="M31" s="10"/>
      <c r="N31" s="11"/>
      <c r="O31" s="21" t="s">
        <v>72</v>
      </c>
      <c r="P31" s="9">
        <v>40441.673999999999</v>
      </c>
      <c r="Q31" s="9">
        <v>20044.281600000002</v>
      </c>
      <c r="R31" s="9">
        <v>93021.390000000014</v>
      </c>
      <c r="S31" s="9"/>
      <c r="T31" s="10">
        <f t="shared" si="17"/>
        <v>153507.3456</v>
      </c>
      <c r="U31" s="11"/>
      <c r="V31" s="21" t="s">
        <v>72</v>
      </c>
      <c r="W31" s="9">
        <f t="shared" si="15"/>
        <v>465695.53044</v>
      </c>
      <c r="X31" s="9">
        <f t="shared" si="15"/>
        <v>696097.45632</v>
      </c>
      <c r="Y31" s="9">
        <f t="shared" si="15"/>
        <v>716543.22096000006</v>
      </c>
      <c r="Z31" s="9">
        <f t="shared" si="15"/>
        <v>0</v>
      </c>
      <c r="AA31" s="10">
        <f t="shared" si="18"/>
        <v>1878336.2077200001</v>
      </c>
      <c r="AB31" s="11"/>
      <c r="AD31" s="3"/>
    </row>
    <row r="32" spans="1:30" s="6" customFormat="1" ht="18" customHeight="1" x14ac:dyDescent="0.35">
      <c r="A32" s="21" t="s">
        <v>73</v>
      </c>
      <c r="B32" s="9">
        <v>1438061.5242000003</v>
      </c>
      <c r="C32" s="9">
        <v>2101598.4749255995</v>
      </c>
      <c r="D32" s="9">
        <v>2144439.4423200833</v>
      </c>
      <c r="E32" s="9"/>
      <c r="F32" s="10">
        <f t="shared" si="16"/>
        <v>5684099.4414456831</v>
      </c>
      <c r="G32" s="11"/>
      <c r="H32" s="21" t="s">
        <v>73</v>
      </c>
      <c r="I32" s="9">
        <v>61517.777999999998</v>
      </c>
      <c r="J32" s="9">
        <v>102964.62119999998</v>
      </c>
      <c r="K32" s="9">
        <v>121313.9298</v>
      </c>
      <c r="L32" s="9"/>
      <c r="M32" s="10"/>
      <c r="N32" s="11"/>
      <c r="O32" s="21" t="s">
        <v>73</v>
      </c>
      <c r="P32" s="9">
        <v>14643.285720000002</v>
      </c>
      <c r="Q32" s="9">
        <v>19536.841800000002</v>
      </c>
      <c r="R32" s="9">
        <v>28297.542000000001</v>
      </c>
      <c r="S32" s="9"/>
      <c r="T32" s="10">
        <f t="shared" si="17"/>
        <v>62477.669520000003</v>
      </c>
      <c r="U32" s="11"/>
      <c r="V32" s="21" t="s">
        <v>73</v>
      </c>
      <c r="W32" s="9">
        <f t="shared" si="15"/>
        <v>76161.063720000006</v>
      </c>
      <c r="X32" s="9">
        <f t="shared" si="15"/>
        <v>122501.46299999999</v>
      </c>
      <c r="Y32" s="9">
        <f t="shared" si="15"/>
        <v>149611.4718</v>
      </c>
      <c r="Z32" s="9">
        <f t="shared" si="15"/>
        <v>0</v>
      </c>
      <c r="AA32" s="10">
        <f t="shared" si="18"/>
        <v>348273.99852000002</v>
      </c>
      <c r="AB32" s="11"/>
      <c r="AD32" s="3"/>
    </row>
    <row r="33" spans="1:30" s="6" customFormat="1" ht="18" customHeight="1" x14ac:dyDescent="0.35">
      <c r="A33" s="21" t="s">
        <v>74</v>
      </c>
      <c r="B33" s="9">
        <v>670847.53931999998</v>
      </c>
      <c r="C33" s="9">
        <v>867582.59230720007</v>
      </c>
      <c r="D33" s="9">
        <v>784581.84675360005</v>
      </c>
      <c r="E33" s="9"/>
      <c r="F33" s="10">
        <f t="shared" si="16"/>
        <v>2323011.9783808002</v>
      </c>
      <c r="G33" s="11"/>
      <c r="H33" s="21" t="s">
        <v>74</v>
      </c>
      <c r="I33" s="9">
        <v>67633.23000000001</v>
      </c>
      <c r="J33" s="9">
        <v>139312.02600000004</v>
      </c>
      <c r="K33" s="9">
        <v>45908.892960000005</v>
      </c>
      <c r="L33" s="9"/>
      <c r="M33" s="10"/>
      <c r="N33" s="11"/>
      <c r="O33" s="21" t="s">
        <v>74</v>
      </c>
      <c r="P33" s="9">
        <v>51299.698799999991</v>
      </c>
      <c r="Q33" s="9">
        <v>50519.933520000006</v>
      </c>
      <c r="R33" s="9">
        <v>48495.694799999997</v>
      </c>
      <c r="S33" s="9"/>
      <c r="T33" s="10">
        <f t="shared" si="17"/>
        <v>150315.32712</v>
      </c>
      <c r="U33" s="11"/>
      <c r="V33" s="21" t="s">
        <v>74</v>
      </c>
      <c r="W33" s="9">
        <f t="shared" si="15"/>
        <v>118932.92879999999</v>
      </c>
      <c r="X33" s="9">
        <f t="shared" si="15"/>
        <v>189831.95952000003</v>
      </c>
      <c r="Y33" s="9">
        <f t="shared" si="15"/>
        <v>94404.587759999995</v>
      </c>
      <c r="Z33" s="9">
        <f t="shared" si="15"/>
        <v>0</v>
      </c>
      <c r="AA33" s="10">
        <f t="shared" si="18"/>
        <v>403169.47608000005</v>
      </c>
      <c r="AB33" s="11"/>
      <c r="AD33" s="3"/>
    </row>
    <row r="34" spans="1:30" s="6" customFormat="1" ht="18" customHeight="1" x14ac:dyDescent="0.35">
      <c r="A34" s="21" t="s">
        <v>75</v>
      </c>
      <c r="B34" s="9">
        <v>1638844.0553600003</v>
      </c>
      <c r="C34" s="9">
        <v>1484754.1978800003</v>
      </c>
      <c r="D34" s="9">
        <v>1915047.4839600008</v>
      </c>
      <c r="E34" s="9"/>
      <c r="F34" s="10">
        <f t="shared" si="16"/>
        <v>5038645.7372000013</v>
      </c>
      <c r="G34" s="11"/>
      <c r="H34" s="21" t="s">
        <v>75</v>
      </c>
      <c r="I34" s="9">
        <v>111459.52860000001</v>
      </c>
      <c r="J34" s="9">
        <v>333476.50896000001</v>
      </c>
      <c r="K34" s="9">
        <v>403764.24899999995</v>
      </c>
      <c r="L34" s="9"/>
      <c r="M34" s="10"/>
      <c r="N34" s="11"/>
      <c r="O34" s="21" t="s">
        <v>75</v>
      </c>
      <c r="P34" s="9">
        <v>45937.449600000007</v>
      </c>
      <c r="Q34" s="9">
        <v>70852.83911999999</v>
      </c>
      <c r="R34" s="9">
        <v>413397.12624016783</v>
      </c>
      <c r="S34" s="9"/>
      <c r="T34" s="10">
        <f t="shared" si="17"/>
        <v>530187.41496016784</v>
      </c>
      <c r="U34" s="11"/>
      <c r="V34" s="21" t="s">
        <v>75</v>
      </c>
      <c r="W34" s="9">
        <f t="shared" si="15"/>
        <v>157396.97820000001</v>
      </c>
      <c r="X34" s="9">
        <f t="shared" si="15"/>
        <v>404329.34808000003</v>
      </c>
      <c r="Y34" s="9">
        <f t="shared" si="15"/>
        <v>817161.37524016784</v>
      </c>
      <c r="Z34" s="9">
        <f t="shared" si="15"/>
        <v>0</v>
      </c>
      <c r="AA34" s="10">
        <f t="shared" si="18"/>
        <v>1378887.7015201678</v>
      </c>
      <c r="AB34" s="11"/>
      <c r="AD34" s="3"/>
    </row>
    <row r="35" spans="1:30" s="6" customFormat="1" ht="18" customHeight="1" x14ac:dyDescent="0.35">
      <c r="A35" s="21" t="s">
        <v>25</v>
      </c>
      <c r="B35" s="9">
        <v>252653.98254999999</v>
      </c>
      <c r="C35" s="9">
        <v>226229.13086999996</v>
      </c>
      <c r="D35" s="9">
        <v>363411.96226</v>
      </c>
      <c r="E35" s="9"/>
      <c r="F35" s="10">
        <f>SUM(B35:E35)</f>
        <v>842295.07568000001</v>
      </c>
      <c r="G35" s="11"/>
      <c r="H35" s="21"/>
      <c r="I35" s="9"/>
      <c r="J35" s="9"/>
      <c r="K35" s="9"/>
      <c r="L35" s="9"/>
      <c r="M35" s="10"/>
      <c r="N35" s="11"/>
      <c r="O35" s="21"/>
      <c r="P35" s="9"/>
      <c r="Q35" s="9"/>
      <c r="R35" s="9"/>
      <c r="S35" s="9"/>
      <c r="T35" s="10"/>
      <c r="U35" s="11"/>
      <c r="V35" s="21"/>
      <c r="W35" s="9"/>
      <c r="X35" s="9"/>
      <c r="Y35" s="9"/>
      <c r="Z35" s="9"/>
      <c r="AA35" s="10"/>
      <c r="AB35" s="11"/>
      <c r="AD35" s="3"/>
    </row>
    <row r="36" spans="1:30" s="6" customFormat="1" ht="18" customHeight="1" x14ac:dyDescent="0.35">
      <c r="A36" s="21" t="s">
        <v>26</v>
      </c>
      <c r="B36" s="9">
        <v>-40464.810549999995</v>
      </c>
      <c r="C36" s="9">
        <v>42994.166280000005</v>
      </c>
      <c r="D36" s="9">
        <v>8608.2330699999984</v>
      </c>
      <c r="E36" s="9"/>
      <c r="F36" s="10"/>
      <c r="G36" s="11"/>
      <c r="H36" s="21"/>
      <c r="I36" s="9"/>
      <c r="J36" s="9"/>
      <c r="K36" s="9"/>
      <c r="L36" s="9"/>
      <c r="M36" s="10"/>
      <c r="N36" s="11"/>
      <c r="O36" s="21"/>
      <c r="P36" s="9"/>
      <c r="Q36" s="9"/>
      <c r="R36" s="9"/>
      <c r="S36" s="9"/>
      <c r="T36" s="10"/>
      <c r="U36" s="11"/>
      <c r="V36" s="21"/>
      <c r="W36" s="9"/>
      <c r="X36" s="9"/>
      <c r="Y36" s="9"/>
      <c r="Z36" s="9"/>
      <c r="AA36" s="10"/>
      <c r="AB36" s="11"/>
      <c r="AD36" s="3"/>
    </row>
    <row r="37" spans="1:30" s="6" customFormat="1" ht="24" customHeight="1" x14ac:dyDescent="0.35">
      <c r="A37" s="8" t="s">
        <v>50</v>
      </c>
      <c r="B37" s="12">
        <f>SUM(B29:B36)</f>
        <v>12400486.278974568</v>
      </c>
      <c r="C37" s="12">
        <f>SUM(C29:C36)</f>
        <v>16382186.108094295</v>
      </c>
      <c r="D37" s="12">
        <f>SUM(D29:D36)+D27</f>
        <v>15468136.594724486</v>
      </c>
      <c r="E37" s="12">
        <f>SUM(E29:E36)</f>
        <v>0</v>
      </c>
      <c r="F37" s="12">
        <f>SUM(F29:F36)</f>
        <v>42649470.248993352</v>
      </c>
      <c r="G37" s="11"/>
      <c r="H37" s="13" t="s">
        <v>4</v>
      </c>
      <c r="I37" s="12">
        <f>SUM(I29:I34)</f>
        <v>898442.35068000003</v>
      </c>
      <c r="J37" s="12">
        <f>SUM(J29:J34)</f>
        <v>1634992.71936</v>
      </c>
      <c r="K37" s="12">
        <f>SUM(K29:K34)+K27</f>
        <v>1665847.4582400001</v>
      </c>
      <c r="L37" s="12">
        <f>SUM(L29:L34)</f>
        <v>0</v>
      </c>
      <c r="M37" s="12">
        <f>SUM(M29:M34)</f>
        <v>0</v>
      </c>
      <c r="N37" s="11"/>
      <c r="O37" s="13" t="s">
        <v>4</v>
      </c>
      <c r="P37" s="12">
        <f>SUM(P29:P34)</f>
        <v>676556.70516000013</v>
      </c>
      <c r="Q37" s="12">
        <f>SUM(Q29:Q34)</f>
        <v>855970.63860000006</v>
      </c>
      <c r="R37" s="12">
        <f>SUM(R29:R34)</f>
        <v>1114645.2752401677</v>
      </c>
      <c r="S37" s="12">
        <f>SUM(S29:S34)</f>
        <v>0</v>
      </c>
      <c r="T37" s="12">
        <f>SUM(T29:T34)</f>
        <v>2647172.6190001681</v>
      </c>
      <c r="U37" s="11"/>
      <c r="V37" s="13" t="s">
        <v>4</v>
      </c>
      <c r="W37" s="12">
        <f>SUM(W29:W34)</f>
        <v>1574999.0558399998</v>
      </c>
      <c r="X37" s="12">
        <f>SUM(X29:X34)</f>
        <v>2490963.3579599997</v>
      </c>
      <c r="Y37" s="12">
        <f>SUM(Y29:Y34)</f>
        <v>2693636.7334801676</v>
      </c>
      <c r="Z37" s="12">
        <f>SUM(Z29:Z34)</f>
        <v>0</v>
      </c>
      <c r="AA37" s="12">
        <f>SUM(AA29:AA34)</f>
        <v>6759599.1472801678</v>
      </c>
      <c r="AB37" s="11"/>
      <c r="AD37" s="3"/>
    </row>
    <row r="38" spans="1:30" ht="18" customHeight="1" x14ac:dyDescent="0.35">
      <c r="B38" s="165">
        <f>B37/B41</f>
        <v>0.63019462311114494</v>
      </c>
      <c r="C38" s="129">
        <f>C37/C41</f>
        <v>0.72583588917052866</v>
      </c>
      <c r="D38" s="129">
        <f>D37/D41</f>
        <v>0.68809070066132094</v>
      </c>
      <c r="I38" s="165">
        <f>I37/(I41*1000)</f>
        <v>0.79882662257189374</v>
      </c>
      <c r="J38" s="165">
        <f>J37/(J41*1000)</f>
        <v>1.1610176735305364</v>
      </c>
      <c r="K38" s="165">
        <f>K37/(K41*1000)</f>
        <v>1.0247455941298944</v>
      </c>
      <c r="P38" s="165">
        <f>P37/(P41*1000)</f>
        <v>0.56379725430000016</v>
      </c>
      <c r="Q38" s="165">
        <f>Q37/(Q41*1000)</f>
        <v>1.0070242807058825</v>
      </c>
      <c r="R38" s="165">
        <f>R37/(R41*1000)</f>
        <v>1.3429461147471899</v>
      </c>
      <c r="W38" s="165">
        <f>W37/(W41*1000)</f>
        <v>0.67750562164842698</v>
      </c>
      <c r="X38" s="165">
        <f>X37/(X41*1000)</f>
        <v>1.1030546915393644</v>
      </c>
    </row>
    <row r="39" spans="1:30" ht="18" customHeight="1" x14ac:dyDescent="0.35">
      <c r="B39" s="208">
        <f>B37-B41</f>
        <v>-7276746.4745450448</v>
      </c>
      <c r="C39" s="208">
        <f>C37-C41</f>
        <v>-6187910.4557660874</v>
      </c>
      <c r="D39" s="208">
        <f t="shared" ref="D39:F39" si="19">D37-D41</f>
        <v>-7011656.5195526388</v>
      </c>
      <c r="E39" s="208">
        <f t="shared" si="19"/>
        <v>-25741835.299131416</v>
      </c>
      <c r="F39" s="208">
        <f t="shared" si="19"/>
        <v>-47819487.481795177</v>
      </c>
      <c r="I39" s="208">
        <f>I37-(I41*1000)</f>
        <v>-226260.21342256397</v>
      </c>
      <c r="J39" s="208">
        <f t="shared" ref="J39:M39" si="20">J37-(J41*1000)</f>
        <v>226751.69371897448</v>
      </c>
      <c r="K39" s="208">
        <f t="shared" si="20"/>
        <v>40226.945419487078</v>
      </c>
      <c r="L39" s="208">
        <f t="shared" si="20"/>
        <v>-1370435.8974358975</v>
      </c>
      <c r="M39" s="208">
        <f t="shared" si="20"/>
        <v>-5529000</v>
      </c>
      <c r="P39" s="208">
        <f>P37-(P41*1000)</f>
        <v>-523443.29483999987</v>
      </c>
      <c r="Q39" s="208">
        <f t="shared" ref="Q39:T39" si="21">Q37-(Q41*1000)</f>
        <v>5970.6386000000639</v>
      </c>
      <c r="R39" s="208">
        <f t="shared" si="21"/>
        <v>284645.27524016774</v>
      </c>
      <c r="S39" s="208">
        <f t="shared" si="21"/>
        <v>-970000</v>
      </c>
      <c r="T39" s="208">
        <f t="shared" si="21"/>
        <v>-1202827.3809998319</v>
      </c>
      <c r="W39" s="208">
        <f>W37-(W41*1000)</f>
        <v>-749703.5082625642</v>
      </c>
      <c r="X39" s="208">
        <f t="shared" ref="X39:AA39" si="22">X37-(X41*1000)</f>
        <v>232722.33231897373</v>
      </c>
      <c r="Y39" s="208">
        <f t="shared" si="22"/>
        <v>238016.22065965459</v>
      </c>
      <c r="Z39" s="208">
        <f t="shared" si="22"/>
        <v>-2340435.8974358975</v>
      </c>
      <c r="AA39" s="208">
        <f t="shared" si="22"/>
        <v>-2619400.8527198322</v>
      </c>
    </row>
    <row r="40" spans="1:30" ht="18" customHeight="1" x14ac:dyDescent="0.35">
      <c r="B40" s="101"/>
      <c r="C40" s="101"/>
      <c r="D40" s="101"/>
      <c r="E40" s="101"/>
    </row>
    <row r="41" spans="1:30" ht="18" customHeight="1" x14ac:dyDescent="0.35">
      <c r="A41" s="132" t="s">
        <v>76</v>
      </c>
      <c r="B41" s="154">
        <v>19677232.753519613</v>
      </c>
      <c r="C41" s="154">
        <v>22570096.563860383</v>
      </c>
      <c r="D41" s="154">
        <v>22479793.114277124</v>
      </c>
      <c r="E41" s="154">
        <v>25741835.299131416</v>
      </c>
      <c r="F41" s="155">
        <f>SUM(B41:E41)</f>
        <v>90468957.730788529</v>
      </c>
      <c r="H41" s="132" t="s">
        <v>48</v>
      </c>
      <c r="I41" s="113">
        <v>1124.7025641025641</v>
      </c>
      <c r="J41" s="113">
        <v>1408.2410256410255</v>
      </c>
      <c r="K41" s="113">
        <v>1625.6205128205129</v>
      </c>
      <c r="L41" s="113">
        <v>1370.4358974358975</v>
      </c>
      <c r="M41" s="114">
        <f>SUM(I41:L41)</f>
        <v>5529</v>
      </c>
      <c r="O41" s="132" t="s">
        <v>48</v>
      </c>
      <c r="P41" s="113">
        <v>1200</v>
      </c>
      <c r="Q41" s="113">
        <v>850</v>
      </c>
      <c r="R41" s="113">
        <v>830</v>
      </c>
      <c r="S41" s="113">
        <v>970</v>
      </c>
      <c r="T41" s="114">
        <f>SUM(P41:S41)</f>
        <v>3850</v>
      </c>
      <c r="V41" s="132" t="s">
        <v>48</v>
      </c>
      <c r="W41" s="9">
        <f>I41+P41</f>
        <v>2324.7025641025639</v>
      </c>
      <c r="X41" s="9">
        <f>J41+Q41</f>
        <v>2258.2410256410258</v>
      </c>
      <c r="Y41" s="9">
        <f>K41+R41</f>
        <v>2455.6205128205129</v>
      </c>
      <c r="Z41" s="9">
        <f>L41+S41</f>
        <v>2340.4358974358975</v>
      </c>
      <c r="AA41" s="10">
        <f t="shared" ref="AA41" si="23">SUM(W41:Z41)</f>
        <v>9379</v>
      </c>
    </row>
    <row r="42" spans="1:30" ht="18" customHeight="1" x14ac:dyDescent="0.35">
      <c r="A42" s="132" t="s">
        <v>42</v>
      </c>
      <c r="B42" s="131">
        <v>8.5999999999999993E-2</v>
      </c>
      <c r="C42" s="131">
        <v>8.6999999999999994E-2</v>
      </c>
      <c r="D42" s="131">
        <v>5.8999999999999997E-2</v>
      </c>
      <c r="E42" s="131">
        <v>6.0999999999999999E-2</v>
      </c>
      <c r="F42" s="133">
        <v>7.1999999999999995E-2</v>
      </c>
      <c r="H42" s="132" t="s">
        <v>42</v>
      </c>
      <c r="I42" s="131">
        <v>5.9000000000000004E-2</v>
      </c>
      <c r="J42" s="131">
        <v>6.4000000000000001E-2</v>
      </c>
      <c r="K42" s="131">
        <v>6.4000000000000001E-2</v>
      </c>
      <c r="L42" s="131">
        <v>6.4000000000000001E-2</v>
      </c>
      <c r="M42" s="133">
        <v>6.3E-2</v>
      </c>
      <c r="O42" s="132" t="s">
        <v>42</v>
      </c>
      <c r="P42" s="131">
        <v>0.03</v>
      </c>
      <c r="Q42" s="131">
        <v>3.4000000000000002E-2</v>
      </c>
      <c r="R42" s="131">
        <v>3.5000000000000003E-2</v>
      </c>
      <c r="S42" s="131">
        <v>3.5000000000000003E-2</v>
      </c>
      <c r="T42" s="133">
        <v>3.4000000000000002E-2</v>
      </c>
      <c r="V42" s="132" t="s">
        <v>42</v>
      </c>
      <c r="W42" s="9"/>
      <c r="X42" s="9"/>
      <c r="Y42" s="9"/>
      <c r="Z42" s="9"/>
      <c r="AA42" s="10"/>
    </row>
    <row r="43" spans="1:30" ht="18" customHeight="1" x14ac:dyDescent="0.35">
      <c r="A43" s="22" t="s">
        <v>43</v>
      </c>
      <c r="B43" s="130">
        <f>B41/F41</f>
        <v>0.21750259146428774</v>
      </c>
      <c r="C43" s="130">
        <f>C41/F41</f>
        <v>0.24947890558243155</v>
      </c>
      <c r="D43" s="130">
        <f>D41/F41</f>
        <v>0.2484807350292571</v>
      </c>
      <c r="E43" s="130">
        <f>E41/F41</f>
        <v>0.28453776792402369</v>
      </c>
      <c r="F43" s="129"/>
      <c r="H43" s="22" t="s">
        <v>43</v>
      </c>
      <c r="I43" s="130">
        <v>0.20341880341880342</v>
      </c>
      <c r="J43" s="130">
        <v>0.25470085470085468</v>
      </c>
      <c r="K43" s="130">
        <v>0.29401709401709403</v>
      </c>
      <c r="L43" s="130">
        <v>0.24786324786324787</v>
      </c>
      <c r="M43" s="130"/>
      <c r="O43" s="22" t="s">
        <v>43</v>
      </c>
      <c r="P43" s="130">
        <f>P41/$T$41</f>
        <v>0.31168831168831168</v>
      </c>
      <c r="Q43" s="130">
        <f t="shared" ref="Q43:S43" si="24">Q41/$T$41</f>
        <v>0.22077922077922077</v>
      </c>
      <c r="R43" s="130">
        <f t="shared" si="24"/>
        <v>0.21558441558441557</v>
      </c>
      <c r="S43" s="130">
        <f t="shared" si="24"/>
        <v>0.25194805194805192</v>
      </c>
      <c r="T43" s="130"/>
      <c r="V43" s="22" t="s">
        <v>43</v>
      </c>
      <c r="W43" s="130">
        <f>W41/$AA$41</f>
        <v>0.24786251882957286</v>
      </c>
      <c r="X43" s="130">
        <f t="shared" ref="X43:Z43" si="25">X41/$AA$41</f>
        <v>0.240776311508799</v>
      </c>
      <c r="Y43" s="130">
        <f t="shared" si="25"/>
        <v>0.26182114434593379</v>
      </c>
      <c r="Z43" s="130">
        <f t="shared" si="25"/>
        <v>0.24954002531569436</v>
      </c>
      <c r="AA43" s="130"/>
    </row>
    <row r="44" spans="1:30" ht="18" customHeight="1" x14ac:dyDescent="0.35">
      <c r="B44" s="102"/>
      <c r="C44" s="102"/>
      <c r="D44" s="102"/>
      <c r="E44" s="102"/>
      <c r="F44" s="102"/>
    </row>
    <row r="45" spans="1:30" ht="18" customHeight="1" x14ac:dyDescent="0.35">
      <c r="A45" s="134" t="s">
        <v>46</v>
      </c>
      <c r="B45" s="135">
        <v>1190.4760000000001</v>
      </c>
      <c r="C45" s="102"/>
      <c r="D45" s="102"/>
      <c r="E45" s="102"/>
      <c r="F45" s="102"/>
    </row>
    <row r="46" spans="1:30" ht="18" customHeight="1" x14ac:dyDescent="0.35">
      <c r="B46" s="102"/>
      <c r="C46" s="102"/>
      <c r="D46" s="102"/>
      <c r="E46" s="102"/>
      <c r="F46" s="102"/>
      <c r="M46" s="102"/>
      <c r="T46" s="102"/>
    </row>
    <row r="47" spans="1:30" ht="18" customHeight="1" x14ac:dyDescent="0.35">
      <c r="B47" s="102"/>
      <c r="C47" s="102"/>
      <c r="D47" s="102"/>
      <c r="E47" s="102"/>
      <c r="F47" s="102"/>
      <c r="M47" s="140"/>
      <c r="T47" s="140"/>
    </row>
    <row r="48" spans="1:30" ht="18" customHeight="1" x14ac:dyDescent="0.35">
      <c r="B48" s="102"/>
      <c r="C48" s="102"/>
      <c r="D48" s="102"/>
      <c r="E48" s="102"/>
      <c r="F48" s="102"/>
    </row>
    <row r="50" spans="1:30" s="111" customFormat="1" ht="26.25" customHeight="1" x14ac:dyDescent="0.35">
      <c r="A50"/>
      <c r="B50"/>
      <c r="C50"/>
      <c r="D50"/>
      <c r="E50"/>
      <c r="F50"/>
      <c r="G50" s="166"/>
      <c r="AD50" s="153"/>
    </row>
    <row r="53" spans="1:30" ht="18" customHeight="1" x14ac:dyDescent="0.35">
      <c r="P53" s="102"/>
    </row>
    <row r="54" spans="1:30" ht="18" customHeight="1" x14ac:dyDescent="0.35">
      <c r="H54" s="101"/>
    </row>
    <row r="55" spans="1:30" ht="18" customHeight="1" x14ac:dyDescent="0.35">
      <c r="H55" s="102"/>
    </row>
  </sheetData>
  <dataConsolidate/>
  <phoneticPr fontId="8" type="noConversion"/>
  <pageMargins left="0.7" right="0.7" top="0.75" bottom="0.75" header="0.3" footer="0.3"/>
  <pageSetup paperSize="9" orientation="portrait" r:id="rId1"/>
  <ignoredErrors>
    <ignoredError sqref="F24 K37 D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B1:Y37"/>
  <sheetViews>
    <sheetView zoomScale="90" zoomScaleNormal="90" workbookViewId="0">
      <pane xSplit="2" topLeftCell="G1" activePane="topRight" state="frozen"/>
      <selection activeCell="K11" sqref="K11"/>
      <selection pane="topRight" activeCell="G4" sqref="G4"/>
    </sheetView>
  </sheetViews>
  <sheetFormatPr defaultColWidth="9.109375" defaultRowHeight="21" customHeight="1" x14ac:dyDescent="0.35"/>
  <cols>
    <col min="1" max="1" width="2.44140625" style="138" customWidth="1"/>
    <col min="2" max="2" width="21.6640625" style="22" bestFit="1" customWidth="1"/>
    <col min="3" max="6" width="13.6640625" style="22" hidden="1" customWidth="1"/>
    <col min="7" max="10" width="13.6640625" style="138" customWidth="1"/>
    <col min="11" max="11" width="16" style="138" bestFit="1" customWidth="1"/>
    <col min="12" max="14" width="13.6640625" style="138" customWidth="1"/>
    <col min="15" max="15" width="13.6640625" style="22" customWidth="1"/>
    <col min="16" max="16" width="11.6640625" style="138" customWidth="1"/>
    <col min="17" max="17" width="13.5546875" style="203" customWidth="1"/>
    <col min="18" max="18" width="11.6640625" style="138" customWidth="1"/>
    <col min="19" max="19" width="12.6640625" style="203" customWidth="1"/>
    <col min="20" max="20" width="46.109375" style="138" customWidth="1"/>
    <col min="21" max="21" width="1.88671875" style="138" customWidth="1"/>
    <col min="22" max="25" width="12.6640625" style="138" customWidth="1"/>
    <col min="26" max="30" width="9.109375" style="138" customWidth="1"/>
    <col min="31" max="16384" width="9.109375" style="138"/>
  </cols>
  <sheetData>
    <row r="1" spans="2:25" ht="21" customHeight="1" x14ac:dyDescent="0.35">
      <c r="B1" s="119"/>
      <c r="C1" s="119"/>
      <c r="D1" s="119"/>
      <c r="E1" s="119"/>
      <c r="F1" s="119"/>
    </row>
    <row r="2" spans="2:25" s="103" customFormat="1" ht="21" customHeight="1" thickBot="1" x14ac:dyDescent="0.4">
      <c r="E2" s="213">
        <v>1590201.1439999999</v>
      </c>
      <c r="F2" s="213">
        <f>L25</f>
        <v>0</v>
      </c>
      <c r="H2" s="103" t="s">
        <v>33</v>
      </c>
      <c r="J2" s="103" t="s">
        <v>33</v>
      </c>
      <c r="K2" s="103" t="s">
        <v>33</v>
      </c>
      <c r="M2" s="103" t="s">
        <v>33</v>
      </c>
      <c r="N2" s="103" t="s">
        <v>33</v>
      </c>
      <c r="P2" s="104"/>
      <c r="Q2" s="204"/>
      <c r="R2" s="104"/>
      <c r="S2" s="204"/>
      <c r="V2" s="105" t="s">
        <v>90</v>
      </c>
    </row>
    <row r="3" spans="2:25" s="111" customFormat="1" ht="24" customHeight="1" x14ac:dyDescent="0.35">
      <c r="B3" s="149" t="s">
        <v>23</v>
      </c>
      <c r="C3" s="117" t="s">
        <v>37</v>
      </c>
      <c r="D3" s="117" t="s">
        <v>38</v>
      </c>
      <c r="E3" s="118" t="s">
        <v>36</v>
      </c>
      <c r="F3" s="118" t="s">
        <v>32</v>
      </c>
      <c r="G3" s="107" t="s">
        <v>60</v>
      </c>
      <c r="H3" s="108" t="s">
        <v>61</v>
      </c>
      <c r="I3" s="120" t="s">
        <v>24</v>
      </c>
      <c r="J3" s="108" t="s">
        <v>32</v>
      </c>
      <c r="K3" s="108" t="s">
        <v>28</v>
      </c>
      <c r="L3" s="108" t="s">
        <v>29</v>
      </c>
      <c r="M3" s="108" t="s">
        <v>30</v>
      </c>
      <c r="N3" s="109" t="s">
        <v>31</v>
      </c>
      <c r="O3" s="110" t="s">
        <v>67</v>
      </c>
      <c r="P3" s="110" t="s">
        <v>44</v>
      </c>
      <c r="Q3" s="205" t="s">
        <v>45</v>
      </c>
      <c r="R3" s="110" t="s">
        <v>34</v>
      </c>
      <c r="S3" s="205" t="s">
        <v>35</v>
      </c>
      <c r="T3" s="106" t="s">
        <v>51</v>
      </c>
      <c r="V3" s="112" t="s">
        <v>52</v>
      </c>
      <c r="W3" s="112" t="s">
        <v>53</v>
      </c>
      <c r="X3" s="112" t="s">
        <v>54</v>
      </c>
      <c r="Y3" s="112" t="s">
        <v>27</v>
      </c>
    </row>
    <row r="4" spans="2:25" s="180" customFormat="1" ht="19.2" customHeight="1" x14ac:dyDescent="0.35">
      <c r="B4" s="167" t="s">
        <v>70</v>
      </c>
      <c r="C4" s="168">
        <v>2503892.9840316842</v>
      </c>
      <c r="D4" s="168">
        <v>2767361.2717594965</v>
      </c>
      <c r="E4" s="169">
        <v>2802921.0105968006</v>
      </c>
      <c r="F4" s="169"/>
      <c r="G4" s="170">
        <v>3137056.3072186895</v>
      </c>
      <c r="H4" s="60">
        <v>2885000</v>
      </c>
      <c r="I4" s="172">
        <f>H4-G4</f>
        <v>-252056.30721868947</v>
      </c>
      <c r="J4" s="173"/>
      <c r="K4" s="173"/>
      <c r="L4" s="173">
        <f>(J4+K4)-H4</f>
        <v>-2885000</v>
      </c>
      <c r="M4" s="173"/>
      <c r="N4" s="174"/>
      <c r="O4" s="175">
        <f t="shared" ref="O4:O9" si="0">C4+D4+E4+H4-Y4</f>
        <v>10917459.791187981</v>
      </c>
      <c r="P4" s="178">
        <f>O4/목표!F16</f>
        <v>0.97791649867323371</v>
      </c>
      <c r="Q4" s="177">
        <f>O4-목표!F16</f>
        <v>-246540.20881201886</v>
      </c>
      <c r="R4" s="178">
        <f>O4/목표!F3-1</f>
        <v>0.11200104175130754</v>
      </c>
      <c r="S4" s="177">
        <f>O4-목표!F3</f>
        <v>1099609.4643628318</v>
      </c>
      <c r="T4" s="177"/>
      <c r="U4" s="179"/>
      <c r="V4" s="177">
        <v>0</v>
      </c>
      <c r="W4" s="177"/>
      <c r="X4" s="177">
        <v>41715.475200000001</v>
      </c>
      <c r="Y4" s="177">
        <f>SUM(V4:X4)</f>
        <v>41715.475200000001</v>
      </c>
    </row>
    <row r="5" spans="2:25" s="180" customFormat="1" ht="21" customHeight="1" x14ac:dyDescent="0.35">
      <c r="B5" s="167" t="s">
        <v>71</v>
      </c>
      <c r="C5" s="168">
        <v>3021488.7155140834</v>
      </c>
      <c r="D5" s="168">
        <v>6051258.9635135997</v>
      </c>
      <c r="E5" s="169">
        <v>2909467.210363999</v>
      </c>
      <c r="F5" s="169"/>
      <c r="G5" s="170">
        <v>2826586.2280205926</v>
      </c>
      <c r="H5" s="60">
        <v>3180000</v>
      </c>
      <c r="I5" s="172">
        <f t="shared" ref="I5:I12" si="1">H5-G5</f>
        <v>353413.77197940741</v>
      </c>
      <c r="J5" s="173"/>
      <c r="K5" s="173"/>
      <c r="L5" s="173">
        <f t="shared" ref="L5:L12" si="2">(J5+K5)-H5</f>
        <v>-3180000</v>
      </c>
      <c r="M5" s="173"/>
      <c r="N5" s="174"/>
      <c r="O5" s="175">
        <f t="shared" si="0"/>
        <v>15007306.234791683</v>
      </c>
      <c r="P5" s="178">
        <f>O5/목표!F17</f>
        <v>1.5075144384522037</v>
      </c>
      <c r="Q5" s="177">
        <f>O5-목표!F17</f>
        <v>5052306.2347916868</v>
      </c>
      <c r="R5" s="178">
        <f>O5/목표!F4-1</f>
        <v>0.75245256379153136</v>
      </c>
      <c r="S5" s="177">
        <f>O5-목표!F4</f>
        <v>6443704.2606974356</v>
      </c>
      <c r="T5" s="177" t="s">
        <v>81</v>
      </c>
      <c r="U5" s="179"/>
      <c r="V5" s="177">
        <v>16026.867360000004</v>
      </c>
      <c r="W5" s="177">
        <v>34.271999999999998</v>
      </c>
      <c r="X5" s="177">
        <v>138847.51523999998</v>
      </c>
      <c r="Y5" s="177">
        <f t="shared" ref="Y5:Y11" si="3">SUM(V5:X5)</f>
        <v>154908.65459999998</v>
      </c>
    </row>
    <row r="6" spans="2:25" s="180" customFormat="1" ht="21" customHeight="1" x14ac:dyDescent="0.35">
      <c r="B6" s="167" t="s">
        <v>72</v>
      </c>
      <c r="C6" s="168">
        <v>2915162.2885488006</v>
      </c>
      <c r="D6" s="168">
        <v>2840407.3105583997</v>
      </c>
      <c r="E6" s="169">
        <v>2949458.2614000007</v>
      </c>
      <c r="F6" s="169"/>
      <c r="G6" s="170">
        <v>2966530.2822705451</v>
      </c>
      <c r="H6" s="60">
        <v>3810475.1027999991</v>
      </c>
      <c r="I6" s="172">
        <f t="shared" si="1"/>
        <v>843944.82052945392</v>
      </c>
      <c r="J6" s="173"/>
      <c r="K6" s="173"/>
      <c r="L6" s="173">
        <f t="shared" si="2"/>
        <v>-3810475.1027999991</v>
      </c>
      <c r="M6" s="173"/>
      <c r="N6" s="174"/>
      <c r="O6" s="175">
        <f t="shared" si="0"/>
        <v>12109556.1213072</v>
      </c>
      <c r="P6" s="178">
        <f>O6/목표!F18</f>
        <v>1.1961236785171079</v>
      </c>
      <c r="Q6" s="177">
        <f>O6-목표!F18</f>
        <v>1985556.1213071998</v>
      </c>
      <c r="R6" s="178">
        <f>O6/목표!F5-1</f>
        <v>0.36859440673349742</v>
      </c>
      <c r="S6" s="177">
        <f>O6-목표!F5</f>
        <v>3261386.0120855998</v>
      </c>
      <c r="T6" s="177"/>
      <c r="U6" s="179"/>
      <c r="V6" s="177">
        <v>72377.348400000003</v>
      </c>
      <c r="W6" s="177"/>
      <c r="X6" s="177">
        <v>333569.49360000005</v>
      </c>
      <c r="Y6" s="177">
        <f t="shared" si="3"/>
        <v>405946.84200000006</v>
      </c>
    </row>
    <row r="7" spans="2:25" s="180" customFormat="1" ht="21" customHeight="1" x14ac:dyDescent="0.35">
      <c r="B7" s="167" t="s">
        <v>73</v>
      </c>
      <c r="C7" s="168">
        <v>1438061.5242000003</v>
      </c>
      <c r="D7" s="168">
        <v>2101598.4749255995</v>
      </c>
      <c r="E7" s="169">
        <v>2144439.4423200833</v>
      </c>
      <c r="F7" s="169"/>
      <c r="G7" s="170">
        <v>1396806.7772390554</v>
      </c>
      <c r="H7" s="53">
        <v>2091612</v>
      </c>
      <c r="I7" s="172">
        <f t="shared" si="1"/>
        <v>694805.22276094463</v>
      </c>
      <c r="J7" s="173"/>
      <c r="K7" s="173"/>
      <c r="L7" s="173">
        <f t="shared" si="2"/>
        <v>-2091612</v>
      </c>
      <c r="M7" s="173"/>
      <c r="N7" s="174"/>
      <c r="O7" s="175">
        <f t="shared" si="0"/>
        <v>7542383.0202456834</v>
      </c>
      <c r="P7" s="178">
        <f>O7/목표!F19</f>
        <v>1.5468381911906652</v>
      </c>
      <c r="Q7" s="177">
        <f>O7-목표!F19</f>
        <v>2666383.0202456834</v>
      </c>
      <c r="R7" s="178">
        <f>O7/목표!F6-1</f>
        <v>0.81418313982433865</v>
      </c>
      <c r="S7" s="177">
        <f>O7-목표!F6</f>
        <v>3384928.9822944831</v>
      </c>
      <c r="T7" s="177" t="s">
        <v>82</v>
      </c>
      <c r="U7" s="179"/>
      <c r="V7" s="177">
        <v>4636.0019999999995</v>
      </c>
      <c r="W7" s="177"/>
      <c r="X7" s="177">
        <v>228692.4192</v>
      </c>
      <c r="Y7" s="177">
        <f t="shared" si="3"/>
        <v>233328.42120000001</v>
      </c>
    </row>
    <row r="8" spans="2:25" s="180" customFormat="1" ht="21" customHeight="1" x14ac:dyDescent="0.35">
      <c r="B8" s="167" t="s">
        <v>74</v>
      </c>
      <c r="C8" s="168">
        <v>670847.53931999998</v>
      </c>
      <c r="D8" s="168">
        <v>867582.59230720007</v>
      </c>
      <c r="E8" s="169">
        <v>784581.84675360005</v>
      </c>
      <c r="F8" s="169"/>
      <c r="G8" s="170">
        <v>994239.93017144129</v>
      </c>
      <c r="H8" s="39">
        <v>775401</v>
      </c>
      <c r="I8" s="172">
        <f t="shared" si="1"/>
        <v>-218838.93017144129</v>
      </c>
      <c r="J8" s="173"/>
      <c r="K8" s="173"/>
      <c r="L8" s="173">
        <f t="shared" si="2"/>
        <v>-775401</v>
      </c>
      <c r="M8" s="173"/>
      <c r="N8" s="174"/>
      <c r="O8" s="175">
        <f t="shared" si="0"/>
        <v>3087204.1023808001</v>
      </c>
      <c r="P8" s="178">
        <f>O8/목표!F20</f>
        <v>0.88433231234053289</v>
      </c>
      <c r="Q8" s="177">
        <f>O8-목표!F20</f>
        <v>-403795.89761919947</v>
      </c>
      <c r="R8" s="178">
        <f>O8/목표!F7-1</f>
        <v>0.1234753485241904</v>
      </c>
      <c r="S8" s="177">
        <f>O8-목표!F7</f>
        <v>339298.59075904032</v>
      </c>
      <c r="T8" s="177"/>
      <c r="U8" s="179"/>
      <c r="V8" s="177">
        <v>0</v>
      </c>
      <c r="W8" s="177"/>
      <c r="X8" s="177">
        <v>11208.876</v>
      </c>
      <c r="Y8" s="177">
        <f t="shared" si="3"/>
        <v>11208.876</v>
      </c>
    </row>
    <row r="9" spans="2:25" s="180" customFormat="1" ht="21" customHeight="1" x14ac:dyDescent="0.35">
      <c r="B9" s="167" t="s">
        <v>75</v>
      </c>
      <c r="C9" s="168">
        <v>1638844.0553600003</v>
      </c>
      <c r="D9" s="168">
        <v>1484754.1978800003</v>
      </c>
      <c r="E9" s="169">
        <v>1915047.4839600008</v>
      </c>
      <c r="F9" s="169"/>
      <c r="G9" s="170">
        <v>2036224.0556544894</v>
      </c>
      <c r="H9" s="171">
        <v>1953388</v>
      </c>
      <c r="I9" s="172">
        <f t="shared" si="1"/>
        <v>-82836.055654489435</v>
      </c>
      <c r="J9" s="173"/>
      <c r="K9" s="173"/>
      <c r="L9" s="173">
        <f t="shared" si="2"/>
        <v>-1953388</v>
      </c>
      <c r="M9" s="173"/>
      <c r="N9" s="174"/>
      <c r="O9" s="175">
        <f t="shared" si="0"/>
        <v>6978416.707200001</v>
      </c>
      <c r="P9" s="178">
        <f>O9/목표!F21</f>
        <v>0.98052784982436425</v>
      </c>
      <c r="Q9" s="177">
        <f>O9-목표!F21</f>
        <v>-138583.29279999994</v>
      </c>
      <c r="R9" s="178">
        <f>O9/목표!F8-1</f>
        <v>0.10992720633748299</v>
      </c>
      <c r="S9" s="177">
        <f>O9-목표!F8</f>
        <v>691142.49015720095</v>
      </c>
      <c r="T9" s="177"/>
      <c r="U9" s="179"/>
      <c r="V9" s="177">
        <v>0</v>
      </c>
      <c r="W9" s="177"/>
      <c r="X9" s="177">
        <v>13617.029999999999</v>
      </c>
      <c r="Y9" s="177">
        <f t="shared" si="3"/>
        <v>13617.029999999999</v>
      </c>
    </row>
    <row r="10" spans="2:25" s="180" customFormat="1" ht="21" customHeight="1" x14ac:dyDescent="0.35">
      <c r="B10" s="167" t="s">
        <v>25</v>
      </c>
      <c r="C10" s="168">
        <v>252653.98254999999</v>
      </c>
      <c r="D10" s="168">
        <v>226229.13086999996</v>
      </c>
      <c r="E10" s="169">
        <v>363411.96226</v>
      </c>
      <c r="F10" s="169"/>
      <c r="G10" s="181">
        <v>161149.03751298558</v>
      </c>
      <c r="H10" s="182">
        <v>161100</v>
      </c>
      <c r="I10" s="172">
        <f t="shared" si="1"/>
        <v>-49.037512985581998</v>
      </c>
      <c r="J10" s="173"/>
      <c r="K10" s="173"/>
      <c r="L10" s="173">
        <f t="shared" si="2"/>
        <v>-161100</v>
      </c>
      <c r="M10" s="173"/>
      <c r="N10" s="174"/>
      <c r="O10" s="175">
        <f t="shared" ref="O10:O12" si="4">C10+D10+E10+H10</f>
        <v>1003395.07568</v>
      </c>
      <c r="P10" s="178">
        <f>O10/목표!F22</f>
        <v>1.0524293995229539</v>
      </c>
      <c r="Q10" s="177">
        <f>O10-목표!F22</f>
        <v>49986.632192180492</v>
      </c>
      <c r="R10" s="178">
        <f>O10/목표!F9-1</f>
        <v>0.11861212450390179</v>
      </c>
      <c r="S10" s="177">
        <f>O10-목표!F9</f>
        <v>106395.07568000001</v>
      </c>
      <c r="T10" s="177"/>
      <c r="U10" s="179"/>
      <c r="V10" s="177"/>
      <c r="W10" s="177"/>
      <c r="X10" s="177"/>
      <c r="Y10" s="177">
        <f t="shared" si="3"/>
        <v>0</v>
      </c>
    </row>
    <row r="11" spans="2:25" s="180" customFormat="1" ht="21" customHeight="1" x14ac:dyDescent="0.35">
      <c r="B11" s="167" t="s">
        <v>26</v>
      </c>
      <c r="C11" s="168">
        <v>-40464.810549999995</v>
      </c>
      <c r="D11" s="168">
        <v>42994.166280000005</v>
      </c>
      <c r="E11" s="169">
        <v>8608.2330699999984</v>
      </c>
      <c r="F11" s="169"/>
      <c r="G11" s="200">
        <v>-49195.212466831763</v>
      </c>
      <c r="H11" s="171">
        <v>0</v>
      </c>
      <c r="I11" s="172">
        <f t="shared" si="1"/>
        <v>49195.212466831763</v>
      </c>
      <c r="J11" s="173"/>
      <c r="K11" s="173"/>
      <c r="L11" s="173">
        <f t="shared" si="2"/>
        <v>0</v>
      </c>
      <c r="M11" s="173"/>
      <c r="N11" s="174"/>
      <c r="O11" s="175">
        <f t="shared" si="4"/>
        <v>11137.588800000009</v>
      </c>
      <c r="P11" s="176"/>
      <c r="Q11" s="177"/>
      <c r="R11" s="178"/>
      <c r="S11" s="177"/>
      <c r="T11" s="177"/>
      <c r="U11" s="179"/>
      <c r="V11" s="177"/>
      <c r="W11" s="177"/>
      <c r="X11" s="177"/>
      <c r="Y11" s="177">
        <f t="shared" si="3"/>
        <v>0</v>
      </c>
    </row>
    <row r="12" spans="2:25" s="180" customFormat="1" ht="21" customHeight="1" x14ac:dyDescent="0.35">
      <c r="B12" s="167" t="s">
        <v>49</v>
      </c>
      <c r="C12" s="168">
        <v>0</v>
      </c>
      <c r="D12" s="168">
        <v>0</v>
      </c>
      <c r="E12" s="169">
        <v>0</v>
      </c>
      <c r="F12" s="169"/>
      <c r="G12" s="183"/>
      <c r="H12" s="184"/>
      <c r="I12" s="185">
        <f t="shared" si="1"/>
        <v>0</v>
      </c>
      <c r="J12" s="186"/>
      <c r="K12" s="186"/>
      <c r="L12" s="186">
        <f t="shared" si="2"/>
        <v>0</v>
      </c>
      <c r="M12" s="186"/>
      <c r="N12" s="187"/>
      <c r="O12" s="175">
        <f t="shared" si="4"/>
        <v>0</v>
      </c>
      <c r="P12" s="176"/>
      <c r="Q12" s="177"/>
      <c r="R12" s="178"/>
      <c r="S12" s="177"/>
      <c r="T12" s="177"/>
      <c r="U12" s="179"/>
      <c r="V12" s="177"/>
      <c r="W12" s="177"/>
      <c r="X12" s="177"/>
      <c r="Y12" s="177">
        <f>SUM(V12:X12)</f>
        <v>0</v>
      </c>
    </row>
    <row r="13" spans="2:25" s="198" customFormat="1" ht="21" customHeight="1" thickBot="1" x14ac:dyDescent="0.4">
      <c r="B13" s="188" t="s">
        <v>27</v>
      </c>
      <c r="C13" s="189">
        <f>SUM(C4:C12)</f>
        <v>12400486.278974568</v>
      </c>
      <c r="D13" s="189">
        <f>SUM(D4:D12)</f>
        <v>16382186.108094295</v>
      </c>
      <c r="E13" s="189">
        <f>SUM(E4:E12)+E2</f>
        <v>15468136.594724486</v>
      </c>
      <c r="F13" s="190">
        <f t="shared" ref="F13:O13" si="5">SUM(F4:F12)</f>
        <v>0</v>
      </c>
      <c r="G13" s="191">
        <f t="shared" si="5"/>
        <v>13469397.405620964</v>
      </c>
      <c r="H13" s="192">
        <f t="shared" si="5"/>
        <v>14856976.102799999</v>
      </c>
      <c r="I13" s="193">
        <f t="shared" si="5"/>
        <v>1387578.697179032</v>
      </c>
      <c r="J13" s="192">
        <f t="shared" si="5"/>
        <v>0</v>
      </c>
      <c r="K13" s="192">
        <f t="shared" si="5"/>
        <v>0</v>
      </c>
      <c r="L13" s="192">
        <f t="shared" si="5"/>
        <v>-14856976.102799999</v>
      </c>
      <c r="M13" s="192">
        <f t="shared" si="5"/>
        <v>0</v>
      </c>
      <c r="N13" s="194">
        <f t="shared" si="5"/>
        <v>0</v>
      </c>
      <c r="O13" s="195">
        <f t="shared" si="5"/>
        <v>56656858.641593345</v>
      </c>
      <c r="P13" s="217">
        <f>O13/목표!F24</f>
        <v>1.1931872418527119</v>
      </c>
      <c r="Q13" s="196">
        <f>SUM(Q4:Q12)</f>
        <v>8965312.6093055345</v>
      </c>
      <c r="R13" s="217">
        <f>O13/목표!F11-1</f>
        <v>0.36712775481972515</v>
      </c>
      <c r="S13" s="196">
        <f>SUM(S4:S12)</f>
        <v>15326464.876036594</v>
      </c>
      <c r="T13" s="177" t="s">
        <v>83</v>
      </c>
      <c r="U13" s="197"/>
      <c r="V13" s="196">
        <f>SUM(V4:V12)</f>
        <v>93040.21776</v>
      </c>
      <c r="W13" s="196">
        <f>SUM(W4:W12)</f>
        <v>34.271999999999998</v>
      </c>
      <c r="X13" s="196">
        <f>SUM(X4:X12)</f>
        <v>767650.80924000009</v>
      </c>
      <c r="Y13" s="196">
        <f>SUM(Y4:Y12)</f>
        <v>860725.29900000012</v>
      </c>
    </row>
    <row r="14" spans="2:25" ht="21" customHeight="1" x14ac:dyDescent="0.35">
      <c r="G14" s="116"/>
      <c r="H14" s="136"/>
      <c r="I14" s="136"/>
      <c r="J14" s="136"/>
      <c r="K14" s="136"/>
      <c r="L14" s="136"/>
      <c r="M14" s="136"/>
      <c r="N14" s="136"/>
      <c r="O14" s="115"/>
      <c r="P14" s="136"/>
      <c r="R14" s="136"/>
      <c r="T14" s="136"/>
      <c r="U14" s="136"/>
      <c r="V14" s="136"/>
      <c r="W14" s="136"/>
      <c r="X14" s="136"/>
      <c r="Y14" s="136"/>
    </row>
    <row r="15" spans="2:25" ht="21" customHeight="1" x14ac:dyDescent="0.35">
      <c r="C15" s="150"/>
      <c r="G15" s="22" t="s">
        <v>62</v>
      </c>
      <c r="H15" s="115">
        <f>H16-G13</f>
        <v>1387578.6971790344</v>
      </c>
      <c r="I15" s="136"/>
      <c r="J15" s="22"/>
      <c r="K15" s="22"/>
      <c r="L15" s="22"/>
      <c r="M15" s="22"/>
      <c r="N15" s="22"/>
      <c r="P15" s="22"/>
      <c r="R15" s="136"/>
      <c r="T15" s="136"/>
      <c r="U15" s="136"/>
    </row>
    <row r="16" spans="2:25" ht="21" customHeight="1" x14ac:dyDescent="0.35">
      <c r="G16" s="148" t="s">
        <v>63</v>
      </c>
      <c r="H16" s="151">
        <f>H13+L25+H24</f>
        <v>14856976.102799999</v>
      </c>
      <c r="I16" s="214">
        <f>H16/G13</f>
        <v>1.1030171324962155</v>
      </c>
      <c r="J16" s="22"/>
      <c r="K16" s="22"/>
      <c r="L16" s="22"/>
      <c r="M16" s="22"/>
      <c r="N16" s="22"/>
      <c r="P16" s="22"/>
    </row>
    <row r="17" spans="7:17" ht="21" customHeight="1" x14ac:dyDescent="0.35">
      <c r="G17" s="22"/>
      <c r="H17" s="22"/>
      <c r="I17" s="22"/>
      <c r="J17" s="22"/>
      <c r="K17" s="22"/>
      <c r="L17" s="22"/>
      <c r="M17" s="22"/>
      <c r="N17" s="22"/>
      <c r="P17" s="22"/>
    </row>
    <row r="18" spans="7:17" ht="21" customHeight="1" x14ac:dyDescent="0.35">
      <c r="G18" s="22"/>
      <c r="H18" s="22"/>
      <c r="I18" s="22"/>
      <c r="J18" s="22"/>
      <c r="K18" s="22"/>
      <c r="L18" s="22"/>
      <c r="M18" s="22"/>
      <c r="N18" s="22"/>
      <c r="P18" s="22"/>
    </row>
    <row r="19" spans="7:17" ht="21" customHeight="1" x14ac:dyDescent="0.35">
      <c r="G19" s="22"/>
      <c r="H19" s="22"/>
      <c r="I19" s="22"/>
      <c r="J19" s="22"/>
      <c r="K19" s="22"/>
      <c r="L19" s="22"/>
      <c r="M19" s="22"/>
      <c r="N19" s="22"/>
      <c r="P19" s="22"/>
    </row>
    <row r="20" spans="7:17" ht="21" customHeight="1" x14ac:dyDescent="0.35">
      <c r="G20" s="22"/>
      <c r="H20" s="22"/>
      <c r="I20" s="22"/>
      <c r="J20" s="22"/>
      <c r="K20" s="22"/>
      <c r="L20" s="22"/>
      <c r="M20" s="22"/>
      <c r="N20" s="22"/>
      <c r="P20" s="22"/>
    </row>
    <row r="21" spans="7:17" ht="21" customHeight="1" x14ac:dyDescent="0.35">
      <c r="G21" s="22"/>
      <c r="H21" s="22"/>
      <c r="I21" s="22"/>
      <c r="J21" s="22"/>
      <c r="K21" s="22"/>
      <c r="L21" s="22"/>
      <c r="M21" s="22"/>
      <c r="N21" s="22"/>
      <c r="P21" s="22"/>
    </row>
    <row r="22" spans="7:17" ht="21" customHeight="1" x14ac:dyDescent="0.35">
      <c r="G22" s="22"/>
      <c r="H22" s="22"/>
      <c r="I22" s="22"/>
      <c r="J22" s="22"/>
      <c r="K22" s="22"/>
      <c r="L22" s="22"/>
      <c r="M22" s="22"/>
      <c r="N22" s="22"/>
      <c r="P22" s="22"/>
    </row>
    <row r="23" spans="7:17" ht="21" customHeight="1" x14ac:dyDescent="0.35">
      <c r="G23" s="22"/>
      <c r="H23" s="22"/>
      <c r="I23" s="22"/>
      <c r="J23" s="22"/>
      <c r="K23" s="22"/>
      <c r="L23" s="22"/>
      <c r="M23" s="22"/>
      <c r="N23" s="22"/>
      <c r="P23" s="22"/>
    </row>
    <row r="24" spans="7:17" ht="21" customHeight="1" x14ac:dyDescent="0.35">
      <c r="G24" s="22"/>
      <c r="H24" s="22"/>
      <c r="I24" s="22"/>
      <c r="J24" s="22"/>
      <c r="K24" s="22"/>
      <c r="L24" s="22"/>
      <c r="M24" s="22"/>
      <c r="N24" s="22"/>
      <c r="P24" s="22"/>
    </row>
    <row r="25" spans="7:17" ht="21" customHeight="1" x14ac:dyDescent="0.35">
      <c r="G25" s="136"/>
      <c r="J25" s="22"/>
      <c r="K25" s="22"/>
      <c r="L25" s="22"/>
      <c r="M25" s="22"/>
      <c r="N25" s="22"/>
      <c r="P25" s="22"/>
      <c r="Q25" s="212"/>
    </row>
    <row r="26" spans="7:17" ht="21" customHeight="1" x14ac:dyDescent="0.35">
      <c r="G26" s="215"/>
      <c r="H26" s="136"/>
      <c r="J26" s="22"/>
      <c r="K26" s="22"/>
      <c r="L26" s="22"/>
      <c r="M26" s="22"/>
      <c r="N26" s="22"/>
      <c r="P26" s="22"/>
      <c r="Q26" s="209"/>
    </row>
    <row r="27" spans="7:17" ht="30.75" customHeight="1" x14ac:dyDescent="0.35">
      <c r="L27" s="202"/>
      <c r="M27" s="206"/>
      <c r="N27" s="201"/>
      <c r="O27" s="115"/>
    </row>
    <row r="28" spans="7:17" ht="21" customHeight="1" x14ac:dyDescent="0.35">
      <c r="L28" s="202"/>
      <c r="M28" s="206"/>
      <c r="N28" s="201"/>
      <c r="O28" s="115"/>
    </row>
    <row r="29" spans="7:17" ht="21" customHeight="1" x14ac:dyDescent="0.35">
      <c r="I29" s="207" t="s">
        <v>64</v>
      </c>
      <c r="J29" s="211">
        <v>44172</v>
      </c>
      <c r="K29" s="138" t="s">
        <v>55</v>
      </c>
      <c r="L29" s="115">
        <v>21247000</v>
      </c>
      <c r="M29" s="142" t="e">
        <f>L29/L18</f>
        <v>#DIV/0!</v>
      </c>
      <c r="N29" s="136"/>
    </row>
    <row r="30" spans="7:17" ht="21" customHeight="1" x14ac:dyDescent="0.35">
      <c r="I30" s="207" t="s">
        <v>66</v>
      </c>
      <c r="K30" s="138" t="s">
        <v>29</v>
      </c>
      <c r="L30" s="136">
        <f>L18-L29</f>
        <v>-21247000</v>
      </c>
      <c r="M30" s="136"/>
      <c r="N30" s="136"/>
    </row>
    <row r="31" spans="7:17" ht="21" customHeight="1" x14ac:dyDescent="0.35">
      <c r="K31" s="138" t="s">
        <v>56</v>
      </c>
      <c r="L31" s="136">
        <v>15</v>
      </c>
      <c r="M31" s="136"/>
      <c r="N31" s="136"/>
    </row>
    <row r="32" spans="7:17" ht="21" customHeight="1" x14ac:dyDescent="0.35">
      <c r="K32" s="138" t="s">
        <v>57</v>
      </c>
      <c r="L32" s="136">
        <f>L30/L31</f>
        <v>-1416466.6666666667</v>
      </c>
      <c r="M32" s="136"/>
      <c r="N32" s="136"/>
    </row>
    <row r="33" spans="11:14" ht="21" customHeight="1" x14ac:dyDescent="0.35">
      <c r="K33" s="138" t="s">
        <v>58</v>
      </c>
      <c r="L33" s="210">
        <f>L29/45</f>
        <v>472155.55555555556</v>
      </c>
      <c r="M33" s="210"/>
      <c r="N33" s="136"/>
    </row>
    <row r="34" spans="11:14" ht="21" customHeight="1" x14ac:dyDescent="0.35">
      <c r="L34" s="136"/>
      <c r="M34" s="136"/>
      <c r="N34" s="136"/>
    </row>
    <row r="35" spans="11:14" ht="21" customHeight="1" x14ac:dyDescent="0.35">
      <c r="L35" s="136"/>
      <c r="M35" s="136"/>
      <c r="N35" s="136"/>
    </row>
    <row r="36" spans="11:14" ht="21" customHeight="1" x14ac:dyDescent="0.35">
      <c r="L36" s="136"/>
      <c r="M36" s="136"/>
      <c r="N36" s="136"/>
    </row>
    <row r="37" spans="11:14" ht="21" customHeight="1" x14ac:dyDescent="0.35">
      <c r="L37" s="136"/>
      <c r="M37" s="136"/>
      <c r="N37" s="136"/>
    </row>
  </sheetData>
  <phoneticPr fontId="8" type="noConversion"/>
  <pageMargins left="0.11811023622047245" right="0.11811023622047245" top="0.74803149606299213" bottom="0.74803149606299213" header="0" footer="0"/>
  <pageSetup paperSize="9" scale="60" orientation="landscape" r:id="rId1"/>
  <ignoredErrors>
    <ignoredError sqref="L13 E13 P13 R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N35"/>
  <sheetViews>
    <sheetView tabSelected="1" zoomScale="90" zoomScaleNormal="90" workbookViewId="0">
      <selection activeCell="A4" sqref="A4"/>
    </sheetView>
  </sheetViews>
  <sheetFormatPr defaultColWidth="10.33203125" defaultRowHeight="18" customHeight="1" x14ac:dyDescent="0.35"/>
  <cols>
    <col min="1" max="1" width="30.109375" style="6" bestFit="1" customWidth="1"/>
    <col min="2" max="7" width="16.6640625" style="6" customWidth="1"/>
    <col min="8" max="8" width="17.88671875" style="6" customWidth="1"/>
    <col min="9" max="9" width="7.5546875" style="91" customWidth="1"/>
    <col min="10" max="10" width="6.5546875" style="31" customWidth="1"/>
    <col min="11" max="11" width="30.109375" style="6" bestFit="1" customWidth="1"/>
    <col min="12" max="17" width="14.5546875" style="6" customWidth="1"/>
    <col min="18" max="18" width="16.88671875" style="6" customWidth="1"/>
    <col min="19" max="19" width="7.6640625" style="4" customWidth="1"/>
    <col min="20" max="20" width="6.5546875" style="5" customWidth="1"/>
    <col min="21" max="21" width="30.109375" style="6" bestFit="1" customWidth="1"/>
    <col min="22" max="27" width="14.5546875" style="6" customWidth="1"/>
    <col min="28" max="28" width="16.88671875" style="6" customWidth="1"/>
    <col min="29" max="29" width="7.6640625" style="4" customWidth="1"/>
    <col min="30" max="30" width="6.5546875" style="5" customWidth="1"/>
    <col min="31" max="31" width="30.109375" style="6" bestFit="1" customWidth="1"/>
    <col min="32" max="37" width="14.5546875" style="6" customWidth="1"/>
    <col min="38" max="38" width="16.88671875" style="6" customWidth="1"/>
    <col min="39" max="39" width="7.6640625" style="4" customWidth="1"/>
    <col min="40" max="40" width="10.33203125" style="5"/>
    <col min="41" max="16384" width="10.33203125" style="6"/>
  </cols>
  <sheetData>
    <row r="1" spans="1:40" ht="18" customHeight="1" x14ac:dyDescent="0.35">
      <c r="A1" s="30">
        <f ca="1">NOW()</f>
        <v>44206.710560069441</v>
      </c>
      <c r="B1" s="3">
        <f ca="1">WEEKNUM(A1)</f>
        <v>3</v>
      </c>
      <c r="C1" s="6" t="s">
        <v>13</v>
      </c>
    </row>
    <row r="2" spans="1:40" ht="30" customHeight="1" x14ac:dyDescent="0.35">
      <c r="A2" s="6" t="s">
        <v>65</v>
      </c>
      <c r="B2" s="32">
        <v>61</v>
      </c>
      <c r="C2" s="33" t="s">
        <v>14</v>
      </c>
      <c r="D2" s="23">
        <f>100%/B2</f>
        <v>1.6393442622950821E-2</v>
      </c>
      <c r="E2" s="3"/>
      <c r="F2" s="147"/>
      <c r="H2" s="3">
        <v>44</v>
      </c>
      <c r="I2" s="90">
        <f>H2*D2</f>
        <v>0.72131147540983609</v>
      </c>
      <c r="K2" s="34"/>
      <c r="L2" s="19"/>
      <c r="M2" s="26"/>
      <c r="X2" s="3"/>
      <c r="AH2" s="3"/>
    </row>
    <row r="3" spans="1:40" ht="21" customHeight="1" x14ac:dyDescent="0.35">
      <c r="A3" s="1" t="s">
        <v>77</v>
      </c>
      <c r="C3" s="219"/>
      <c r="D3" s="220" t="s">
        <v>88</v>
      </c>
      <c r="E3" s="219">
        <f>C3+SUM(B27:E27)</f>
        <v>11967087.102799999</v>
      </c>
      <c r="F3" s="147"/>
      <c r="G3" s="147"/>
      <c r="H3" s="3"/>
      <c r="K3" s="1" t="s">
        <v>98</v>
      </c>
      <c r="N3" s="222" t="s">
        <v>68</v>
      </c>
      <c r="O3" s="222">
        <f>M3+SUM(L27:O27)</f>
        <v>1179534.0144000002</v>
      </c>
      <c r="P3" s="3"/>
      <c r="Q3" s="3"/>
      <c r="R3" s="19"/>
      <c r="U3" s="1" t="s">
        <v>97</v>
      </c>
      <c r="W3" s="3"/>
      <c r="X3" s="3"/>
      <c r="Y3" s="3"/>
      <c r="Z3" s="3"/>
      <c r="AA3" s="3"/>
      <c r="AB3" s="19"/>
      <c r="AE3" s="1" t="s">
        <v>95</v>
      </c>
      <c r="AF3" s="19"/>
      <c r="AG3" s="19"/>
      <c r="AH3" s="19"/>
      <c r="AI3" s="19"/>
      <c r="AJ3" s="19"/>
      <c r="AK3" s="19"/>
      <c r="AL3" s="19"/>
    </row>
    <row r="4" spans="1:40" s="37" customFormat="1" ht="24" customHeight="1" x14ac:dyDescent="0.35">
      <c r="A4" s="127" t="s">
        <v>78</v>
      </c>
      <c r="B4" s="127" t="s">
        <v>70</v>
      </c>
      <c r="C4" s="127" t="s">
        <v>71</v>
      </c>
      <c r="D4" s="127" t="s">
        <v>72</v>
      </c>
      <c r="E4" s="127" t="s">
        <v>73</v>
      </c>
      <c r="F4" s="88" t="s">
        <v>74</v>
      </c>
      <c r="G4" s="88" t="s">
        <v>75</v>
      </c>
      <c r="H4" s="127" t="s">
        <v>4</v>
      </c>
      <c r="I4" s="92"/>
      <c r="J4" s="36"/>
      <c r="K4" s="127" t="s">
        <v>78</v>
      </c>
      <c r="L4" s="221" t="s">
        <v>70</v>
      </c>
      <c r="M4" s="221" t="s">
        <v>71</v>
      </c>
      <c r="N4" s="221" t="s">
        <v>72</v>
      </c>
      <c r="O4" s="221" t="s">
        <v>73</v>
      </c>
      <c r="P4" s="88" t="s">
        <v>74</v>
      </c>
      <c r="Q4" s="88" t="s">
        <v>75</v>
      </c>
      <c r="R4" s="127" t="s">
        <v>4</v>
      </c>
      <c r="S4" s="35"/>
      <c r="T4" s="35"/>
      <c r="U4" s="127" t="s">
        <v>78</v>
      </c>
      <c r="V4" s="127" t="s">
        <v>70</v>
      </c>
      <c r="W4" s="127" t="s">
        <v>71</v>
      </c>
      <c r="X4" s="127" t="s">
        <v>72</v>
      </c>
      <c r="Y4" s="127" t="s">
        <v>73</v>
      </c>
      <c r="Z4" s="88" t="s">
        <v>74</v>
      </c>
      <c r="AA4" s="88" t="s">
        <v>75</v>
      </c>
      <c r="AB4" s="127" t="s">
        <v>4</v>
      </c>
      <c r="AC4" s="35"/>
      <c r="AD4" s="35"/>
      <c r="AE4" s="127" t="s">
        <v>78</v>
      </c>
      <c r="AF4" s="127" t="s">
        <v>70</v>
      </c>
      <c r="AG4" s="127" t="s">
        <v>71</v>
      </c>
      <c r="AH4" s="127" t="s">
        <v>72</v>
      </c>
      <c r="AI4" s="127" t="s">
        <v>73</v>
      </c>
      <c r="AJ4" s="88" t="s">
        <v>74</v>
      </c>
      <c r="AK4" s="88" t="s">
        <v>75</v>
      </c>
      <c r="AL4" s="127" t="s">
        <v>4</v>
      </c>
      <c r="AM4" s="35"/>
      <c r="AN4" s="35"/>
    </row>
    <row r="5" spans="1:40" s="40" customFormat="1" ht="18" customHeight="1" x14ac:dyDescent="0.35">
      <c r="A5" s="38" t="s">
        <v>59</v>
      </c>
      <c r="B5" s="9">
        <v>3137056.3072186895</v>
      </c>
      <c r="C5" s="9">
        <v>2826586.2280205926</v>
      </c>
      <c r="D5" s="9">
        <v>2966530.2822705451</v>
      </c>
      <c r="E5" s="9">
        <v>1396806.7772390554</v>
      </c>
      <c r="F5" s="199">
        <v>854116</v>
      </c>
      <c r="G5" s="58">
        <v>2036224.0556544894</v>
      </c>
      <c r="H5" s="39">
        <f t="shared" ref="H5:H11" si="0">SUM(B5:G5)</f>
        <v>13217319.650403369</v>
      </c>
      <c r="I5" s="93"/>
      <c r="J5" s="41"/>
      <c r="K5" s="38" t="s">
        <v>59</v>
      </c>
      <c r="L5" s="9">
        <v>157000</v>
      </c>
      <c r="M5" s="9">
        <v>130000</v>
      </c>
      <c r="N5" s="9">
        <v>525000</v>
      </c>
      <c r="O5" s="9">
        <v>82000</v>
      </c>
      <c r="P5" s="39">
        <v>73000</v>
      </c>
      <c r="Q5" s="39">
        <v>109000</v>
      </c>
      <c r="R5" s="39">
        <f t="shared" ref="R5:R11" si="1">SUM(L5:Q5)</f>
        <v>1076000</v>
      </c>
      <c r="U5" s="38" t="s">
        <v>59</v>
      </c>
      <c r="V5" s="9">
        <v>321000</v>
      </c>
      <c r="W5" s="9">
        <v>309000</v>
      </c>
      <c r="X5" s="9">
        <v>64000</v>
      </c>
      <c r="Y5" s="9">
        <v>27000</v>
      </c>
      <c r="Z5" s="39">
        <v>74000</v>
      </c>
      <c r="AA5" s="39">
        <v>141000</v>
      </c>
      <c r="AB5" s="39">
        <f t="shared" ref="AB5:AB11" si="2">SUM(V5:AA5)</f>
        <v>936000</v>
      </c>
      <c r="AE5" s="38" t="s">
        <v>59</v>
      </c>
      <c r="AF5" s="9">
        <f t="shared" ref="AF5:AI7" si="3">L5+V5</f>
        <v>478000</v>
      </c>
      <c r="AG5" s="9">
        <f t="shared" si="3"/>
        <v>439000</v>
      </c>
      <c r="AH5" s="9">
        <f t="shared" si="3"/>
        <v>589000</v>
      </c>
      <c r="AI5" s="9">
        <f t="shared" si="3"/>
        <v>109000</v>
      </c>
      <c r="AJ5" s="9">
        <f t="shared" ref="AJ5:AK7" si="4">P5+Z5</f>
        <v>147000</v>
      </c>
      <c r="AK5" s="9">
        <f t="shared" si="4"/>
        <v>250000</v>
      </c>
      <c r="AL5" s="39">
        <f t="shared" ref="AL5:AL11" si="5">SUM(AF5:AK5)</f>
        <v>2012000</v>
      </c>
    </row>
    <row r="6" spans="1:40" s="47" customFormat="1" ht="18" customHeight="1" x14ac:dyDescent="0.35">
      <c r="A6" s="42" t="s">
        <v>85</v>
      </c>
      <c r="B6" s="43">
        <v>3137056.3072186895</v>
      </c>
      <c r="C6" s="43">
        <v>2826586.2280205926</v>
      </c>
      <c r="D6" s="43">
        <v>2966530.2822705451</v>
      </c>
      <c r="E6" s="43">
        <v>1396806.7772390554</v>
      </c>
      <c r="F6" s="43">
        <v>854116</v>
      </c>
      <c r="G6" s="218">
        <v>2036224.0556544894</v>
      </c>
      <c r="H6" s="43">
        <f t="shared" si="0"/>
        <v>13217319.650403369</v>
      </c>
      <c r="I6" s="94"/>
      <c r="J6" s="45"/>
      <c r="K6" s="42" t="s">
        <v>84</v>
      </c>
      <c r="L6" s="46">
        <v>157000</v>
      </c>
      <c r="M6" s="43">
        <v>130000</v>
      </c>
      <c r="N6" s="43">
        <v>525000</v>
      </c>
      <c r="O6" s="43">
        <v>82000</v>
      </c>
      <c r="P6" s="43">
        <v>73000</v>
      </c>
      <c r="Q6" s="43">
        <v>109000</v>
      </c>
      <c r="R6" s="43">
        <f t="shared" si="1"/>
        <v>1076000</v>
      </c>
      <c r="S6" s="44"/>
      <c r="T6" s="44"/>
      <c r="U6" s="42" t="s">
        <v>84</v>
      </c>
      <c r="V6" s="46">
        <v>321000</v>
      </c>
      <c r="W6" s="43">
        <v>309000</v>
      </c>
      <c r="X6" s="43">
        <v>64000</v>
      </c>
      <c r="Y6" s="43">
        <v>27000</v>
      </c>
      <c r="Z6" s="43">
        <v>74000</v>
      </c>
      <c r="AA6" s="43">
        <v>141000</v>
      </c>
      <c r="AB6" s="43">
        <f t="shared" si="2"/>
        <v>936000</v>
      </c>
      <c r="AC6" s="44"/>
      <c r="AD6" s="44"/>
      <c r="AE6" s="42" t="s">
        <v>84</v>
      </c>
      <c r="AF6" s="46">
        <f t="shared" si="3"/>
        <v>478000</v>
      </c>
      <c r="AG6" s="46">
        <f t="shared" si="3"/>
        <v>439000</v>
      </c>
      <c r="AH6" s="46">
        <f t="shared" si="3"/>
        <v>589000</v>
      </c>
      <c r="AI6" s="46">
        <f t="shared" si="3"/>
        <v>109000</v>
      </c>
      <c r="AJ6" s="46">
        <f t="shared" si="4"/>
        <v>147000</v>
      </c>
      <c r="AK6" s="46">
        <f>Q6+AA6</f>
        <v>250000</v>
      </c>
      <c r="AL6" s="43">
        <f t="shared" si="5"/>
        <v>2012000</v>
      </c>
      <c r="AM6" s="44"/>
      <c r="AN6" s="44"/>
    </row>
    <row r="7" spans="1:40" s="51" customFormat="1" ht="24" customHeight="1" x14ac:dyDescent="0.35">
      <c r="A7" s="48" t="s">
        <v>7</v>
      </c>
      <c r="B7" s="49">
        <v>2571831.6665383996</v>
      </c>
      <c r="C7" s="49">
        <v>2618815</v>
      </c>
      <c r="D7" s="49">
        <v>3256067.4928567987</v>
      </c>
      <c r="E7" s="49">
        <v>1486121</v>
      </c>
      <c r="F7" s="49">
        <v>537562</v>
      </c>
      <c r="G7" s="49">
        <v>1687423</v>
      </c>
      <c r="H7" s="49">
        <f t="shared" si="0"/>
        <v>12157820.159395199</v>
      </c>
      <c r="I7" s="90">
        <f>H7/H6</f>
        <v>0.91984006447359878</v>
      </c>
      <c r="J7" s="31"/>
      <c r="K7" s="48" t="s">
        <v>7</v>
      </c>
      <c r="L7" s="50">
        <v>162254.51087999999</v>
      </c>
      <c r="M7" s="49">
        <v>129390</v>
      </c>
      <c r="N7" s="49">
        <v>613906.60380000004</v>
      </c>
      <c r="O7" s="49">
        <v>113310</v>
      </c>
      <c r="P7" s="49">
        <v>44160</v>
      </c>
      <c r="Q7" s="49">
        <v>291930</v>
      </c>
      <c r="R7" s="49">
        <f t="shared" si="1"/>
        <v>1354951.1146800001</v>
      </c>
      <c r="S7" s="123">
        <f>R7/R6</f>
        <v>1.2592482478438662</v>
      </c>
      <c r="T7" s="5"/>
      <c r="U7" s="48" t="s">
        <v>7</v>
      </c>
      <c r="V7" s="50">
        <v>291925.34447983198</v>
      </c>
      <c r="W7" s="49">
        <v>301671</v>
      </c>
      <c r="X7" s="49">
        <v>22905.666000000001</v>
      </c>
      <c r="Y7" s="49">
        <v>41492</v>
      </c>
      <c r="Z7" s="49">
        <v>69010</v>
      </c>
      <c r="AA7" s="49">
        <v>684870</v>
      </c>
      <c r="AB7" s="49">
        <f t="shared" si="2"/>
        <v>1411874.0104798321</v>
      </c>
      <c r="AC7" s="123">
        <f>AB7/AB6</f>
        <v>1.508412404358795</v>
      </c>
      <c r="AD7" s="5"/>
      <c r="AE7" s="48" t="s">
        <v>7</v>
      </c>
      <c r="AF7" s="50">
        <f t="shared" si="3"/>
        <v>454179.85535983194</v>
      </c>
      <c r="AG7" s="50">
        <f t="shared" si="3"/>
        <v>431061</v>
      </c>
      <c r="AH7" s="50">
        <f t="shared" si="3"/>
        <v>636812.26980000001</v>
      </c>
      <c r="AI7" s="50">
        <f t="shared" si="3"/>
        <v>154802</v>
      </c>
      <c r="AJ7" s="50">
        <f t="shared" si="4"/>
        <v>113170</v>
      </c>
      <c r="AK7" s="50">
        <f t="shared" ref="AK7" si="6">Q7+AA7</f>
        <v>976800</v>
      </c>
      <c r="AL7" s="49">
        <f t="shared" si="5"/>
        <v>2766825.1251598317</v>
      </c>
      <c r="AM7" s="123">
        <f>AL7/AL6</f>
        <v>1.3751615930217851</v>
      </c>
      <c r="AN7" s="5"/>
    </row>
    <row r="8" spans="1:40" ht="18" customHeight="1" x14ac:dyDescent="0.35">
      <c r="A8" s="52" t="s">
        <v>8</v>
      </c>
      <c r="B8" s="53">
        <f>B6-B7</f>
        <v>565224.64068028983</v>
      </c>
      <c r="C8" s="53">
        <f>C6-C7</f>
        <v>207771.22802059259</v>
      </c>
      <c r="D8" s="53">
        <f>D6-D7</f>
        <v>-289537.21058625355</v>
      </c>
      <c r="E8" s="53">
        <f>E6-E7</f>
        <v>-89314.222760944627</v>
      </c>
      <c r="F8" s="53">
        <f t="shared" ref="F8:G8" si="7">F6-F7</f>
        <v>316554</v>
      </c>
      <c r="G8" s="53">
        <f t="shared" si="7"/>
        <v>348801.05565448944</v>
      </c>
      <c r="H8" s="53">
        <f t="shared" si="0"/>
        <v>1059499.4910081737</v>
      </c>
      <c r="I8" s="121"/>
      <c r="K8" s="52" t="s">
        <v>8</v>
      </c>
      <c r="L8" s="53">
        <f>L6-L7</f>
        <v>-5254.5108799999871</v>
      </c>
      <c r="M8" s="53">
        <f>M6-M7</f>
        <v>610</v>
      </c>
      <c r="N8" s="53">
        <f>N6-N7</f>
        <v>-88906.603800000041</v>
      </c>
      <c r="O8" s="53">
        <f>O6-O7</f>
        <v>-31310</v>
      </c>
      <c r="P8" s="53">
        <f t="shared" ref="P8:Q8" si="8">P6-P7</f>
        <v>28840</v>
      </c>
      <c r="Q8" s="53">
        <f t="shared" si="8"/>
        <v>-182930</v>
      </c>
      <c r="R8" s="53">
        <f t="shared" si="1"/>
        <v>-278951.11468</v>
      </c>
      <c r="S8" s="124"/>
      <c r="U8" s="52" t="s">
        <v>8</v>
      </c>
      <c r="V8" s="53">
        <f>V6-V7</f>
        <v>29074.655520168017</v>
      </c>
      <c r="W8" s="53">
        <f t="shared" ref="W8:AA8" si="9">W6-W7</f>
        <v>7329</v>
      </c>
      <c r="X8" s="53">
        <f t="shared" si="9"/>
        <v>41094.334000000003</v>
      </c>
      <c r="Y8" s="53">
        <f t="shared" si="9"/>
        <v>-14492</v>
      </c>
      <c r="Z8" s="53">
        <f t="shared" si="9"/>
        <v>4990</v>
      </c>
      <c r="AA8" s="53">
        <f t="shared" si="9"/>
        <v>-543870</v>
      </c>
      <c r="AB8" s="53">
        <f t="shared" si="2"/>
        <v>-475874.01047983195</v>
      </c>
      <c r="AC8" s="124"/>
      <c r="AE8" s="52" t="s">
        <v>8</v>
      </c>
      <c r="AF8" s="53">
        <f>AF6-AF7</f>
        <v>23820.144640168059</v>
      </c>
      <c r="AG8" s="53">
        <f>AG6-AG7</f>
        <v>7939</v>
      </c>
      <c r="AH8" s="53">
        <f>AH6-AH7</f>
        <v>-47812.269800000009</v>
      </c>
      <c r="AI8" s="53">
        <f>AI6-AI7</f>
        <v>-45802</v>
      </c>
      <c r="AJ8" s="53">
        <f t="shared" ref="AJ8:AK8" si="10">AJ6-AJ7</f>
        <v>33830</v>
      </c>
      <c r="AK8" s="53">
        <f t="shared" si="10"/>
        <v>-726800</v>
      </c>
      <c r="AL8" s="53">
        <f t="shared" si="5"/>
        <v>-754825.12515983195</v>
      </c>
      <c r="AM8" s="124"/>
    </row>
    <row r="9" spans="1:40" s="56" customFormat="1" ht="24" customHeight="1" x14ac:dyDescent="0.35">
      <c r="A9" s="48" t="s">
        <v>15</v>
      </c>
      <c r="B9" s="49">
        <f>SUM(B10:B13)</f>
        <v>292775.47519999999</v>
      </c>
      <c r="C9" s="49">
        <f t="shared" ref="B9:G9" si="11">SUM(C10:C13)</f>
        <v>549516.87844862055</v>
      </c>
      <c r="D9" s="49">
        <f t="shared" si="11"/>
        <v>506808.07119999995</v>
      </c>
      <c r="E9" s="49">
        <f t="shared" si="11"/>
        <v>605491</v>
      </c>
      <c r="F9" s="49">
        <f t="shared" si="11"/>
        <v>211711</v>
      </c>
      <c r="G9" s="49">
        <f t="shared" si="11"/>
        <v>265965</v>
      </c>
      <c r="H9" s="49">
        <f t="shared" si="0"/>
        <v>2432267.4248486208</v>
      </c>
      <c r="I9" s="122"/>
      <c r="J9" s="54"/>
      <c r="K9" s="48" t="s">
        <v>15</v>
      </c>
      <c r="L9" s="49">
        <f>SUM(L10:L13)</f>
        <v>17215.944</v>
      </c>
      <c r="M9" s="49">
        <f t="shared" ref="M9:P9" si="12">SUM(M10:M13)</f>
        <v>33111.421048387361</v>
      </c>
      <c r="N9" s="49">
        <f t="shared" si="12"/>
        <v>78034.410600000003</v>
      </c>
      <c r="O9" s="49">
        <f t="shared" si="12"/>
        <v>29040</v>
      </c>
      <c r="P9" s="49">
        <f t="shared" si="12"/>
        <v>4816</v>
      </c>
      <c r="Q9" s="49">
        <f>SUM(Q10:Q13)</f>
        <v>0</v>
      </c>
      <c r="R9" s="49">
        <f t="shared" si="1"/>
        <v>162217.77564838738</v>
      </c>
      <c r="S9" s="125"/>
      <c r="T9" s="55"/>
      <c r="U9" s="48" t="s">
        <v>15</v>
      </c>
      <c r="V9" s="49">
        <f>SUM(V10:V13)</f>
        <v>2146.16</v>
      </c>
      <c r="W9" s="49">
        <f t="shared" ref="W9:AA9" si="13">SUM(W10:W13)</f>
        <v>40494.628444420552</v>
      </c>
      <c r="X9" s="49">
        <f t="shared" si="13"/>
        <v>0</v>
      </c>
      <c r="Y9" s="49">
        <f t="shared" si="13"/>
        <v>306</v>
      </c>
      <c r="Z9" s="49">
        <f t="shared" si="13"/>
        <v>3095</v>
      </c>
      <c r="AA9" s="49">
        <f t="shared" si="13"/>
        <v>644895</v>
      </c>
      <c r="AB9" s="49">
        <f t="shared" si="2"/>
        <v>690936.78844442056</v>
      </c>
      <c r="AC9" s="125"/>
      <c r="AD9" s="55"/>
      <c r="AE9" s="48" t="s">
        <v>15</v>
      </c>
      <c r="AF9" s="49">
        <f>SUM(AF10:AF13)</f>
        <v>19362.103999999999</v>
      </c>
      <c r="AG9" s="49">
        <f t="shared" ref="AG9:AK9" si="14">SUM(AG10:AG13)</f>
        <v>73606.049492807913</v>
      </c>
      <c r="AH9" s="49">
        <f t="shared" si="14"/>
        <v>78034.410600000003</v>
      </c>
      <c r="AI9" s="49">
        <f t="shared" si="14"/>
        <v>29346</v>
      </c>
      <c r="AJ9" s="49">
        <f t="shared" si="14"/>
        <v>7911</v>
      </c>
      <c r="AK9" s="49">
        <f t="shared" si="14"/>
        <v>644895</v>
      </c>
      <c r="AL9" s="49">
        <f t="shared" si="5"/>
        <v>853154.56409280794</v>
      </c>
      <c r="AM9" s="125"/>
      <c r="AN9" s="55"/>
    </row>
    <row r="10" spans="1:40" s="163" customFormat="1" ht="18" customHeight="1" x14ac:dyDescent="0.35">
      <c r="A10" s="156" t="s">
        <v>99</v>
      </c>
      <c r="B10" s="157">
        <v>41715.475199999993</v>
      </c>
      <c r="C10" s="157">
        <v>138848</v>
      </c>
      <c r="D10" s="157">
        <v>333569.49359999999</v>
      </c>
      <c r="E10" s="157">
        <v>228692</v>
      </c>
      <c r="F10" s="158">
        <v>0</v>
      </c>
      <c r="G10" s="158">
        <v>0</v>
      </c>
      <c r="H10" s="158">
        <f>SUM(B10:G10)</f>
        <v>742824.96879999992</v>
      </c>
      <c r="I10" s="159">
        <f>H10/H6</f>
        <v>5.620087797281427E-2</v>
      </c>
      <c r="J10" s="160"/>
      <c r="K10" s="156" t="s">
        <v>99</v>
      </c>
      <c r="L10" s="161">
        <v>475.94400000000002</v>
      </c>
      <c r="M10" s="157">
        <v>8547</v>
      </c>
      <c r="N10" s="157">
        <v>24735.156599999998</v>
      </c>
      <c r="O10" s="157">
        <v>16035</v>
      </c>
      <c r="P10" s="158">
        <v>0</v>
      </c>
      <c r="Q10" s="158">
        <v>0</v>
      </c>
      <c r="R10" s="158">
        <f>SUM(L10:Q10)</f>
        <v>49793.100599999998</v>
      </c>
      <c r="S10" s="162">
        <f>R10/R6</f>
        <v>4.6276115799256501E-2</v>
      </c>
      <c r="U10" s="156" t="s">
        <v>99</v>
      </c>
      <c r="V10" s="161">
        <v>146.16</v>
      </c>
      <c r="W10" s="157">
        <v>1057</v>
      </c>
      <c r="X10" s="157"/>
      <c r="Y10" s="157">
        <v>265</v>
      </c>
      <c r="Z10" s="158">
        <v>0</v>
      </c>
      <c r="AA10" s="158">
        <v>0</v>
      </c>
      <c r="AB10" s="158">
        <f>SUM(V10:AA10)</f>
        <v>1468.16</v>
      </c>
      <c r="AC10" s="162">
        <f>AB10/AB6</f>
        <v>1.5685470085470086E-3</v>
      </c>
      <c r="AE10" s="156" t="s">
        <v>99</v>
      </c>
      <c r="AF10" s="161">
        <f t="shared" ref="AF10:AK10" si="15">L10+V10</f>
        <v>622.10400000000004</v>
      </c>
      <c r="AG10" s="161">
        <f t="shared" si="15"/>
        <v>9604</v>
      </c>
      <c r="AH10" s="161">
        <f t="shared" si="15"/>
        <v>24735.156599999998</v>
      </c>
      <c r="AI10" s="161">
        <f t="shared" si="15"/>
        <v>16300</v>
      </c>
      <c r="AJ10" s="161">
        <f t="shared" si="15"/>
        <v>0</v>
      </c>
      <c r="AK10" s="161">
        <f t="shared" si="15"/>
        <v>0</v>
      </c>
      <c r="AL10" s="158">
        <f>SUM(AF10:AK10)</f>
        <v>51261.260599999994</v>
      </c>
      <c r="AM10" s="164">
        <f>AL10/AL6</f>
        <v>2.5477763717693835E-2</v>
      </c>
    </row>
    <row r="11" spans="1:40" ht="18" customHeight="1" x14ac:dyDescent="0.35">
      <c r="A11" s="57" t="s">
        <v>100</v>
      </c>
      <c r="B11" s="53">
        <v>31148</v>
      </c>
      <c r="C11" s="53">
        <v>131719</v>
      </c>
      <c r="D11" s="53">
        <v>142574.57759999996</v>
      </c>
      <c r="E11" s="53">
        <v>292598</v>
      </c>
      <c r="F11" s="60">
        <v>0</v>
      </c>
      <c r="G11" s="53">
        <v>0</v>
      </c>
      <c r="H11" s="53">
        <f t="shared" si="0"/>
        <v>598039.57759999996</v>
      </c>
      <c r="I11" s="90">
        <f>H11/H6</f>
        <v>4.5246660701116423E-2</v>
      </c>
      <c r="K11" s="57" t="s">
        <v>100</v>
      </c>
      <c r="L11" s="58">
        <v>16740</v>
      </c>
      <c r="M11" s="53">
        <v>8928</v>
      </c>
      <c r="N11" s="53">
        <v>25846.253999999997</v>
      </c>
      <c r="O11" s="53">
        <v>12013</v>
      </c>
      <c r="P11" s="53">
        <v>0</v>
      </c>
      <c r="Q11" s="53">
        <v>0</v>
      </c>
      <c r="R11" s="53">
        <f t="shared" si="1"/>
        <v>63527.254000000001</v>
      </c>
      <c r="S11" s="123">
        <f>R11/R6</f>
        <v>5.9040198884758366E-2</v>
      </c>
      <c r="U11" s="57" t="s">
        <v>100</v>
      </c>
      <c r="V11" s="58">
        <v>0</v>
      </c>
      <c r="W11" s="53">
        <v>212</v>
      </c>
      <c r="X11" s="53">
        <v>0</v>
      </c>
      <c r="Y11" s="53">
        <v>0</v>
      </c>
      <c r="Z11" s="53">
        <v>0</v>
      </c>
      <c r="AA11" s="53">
        <v>0</v>
      </c>
      <c r="AB11" s="53">
        <f t="shared" si="2"/>
        <v>212</v>
      </c>
      <c r="AC11" s="123">
        <f>AB11/AB6</f>
        <v>2.2649572649572648E-4</v>
      </c>
      <c r="AE11" s="57" t="s">
        <v>100</v>
      </c>
      <c r="AF11" s="9">
        <f t="shared" ref="AF11:AI13" si="16">L11+V11</f>
        <v>16740</v>
      </c>
      <c r="AG11" s="9">
        <f t="shared" si="16"/>
        <v>9140</v>
      </c>
      <c r="AH11" s="9">
        <f t="shared" si="16"/>
        <v>25846.253999999997</v>
      </c>
      <c r="AI11" s="9">
        <f t="shared" si="16"/>
        <v>12013</v>
      </c>
      <c r="AJ11" s="9">
        <f t="shared" ref="AJ11:AK13" si="17">P11+Z11</f>
        <v>0</v>
      </c>
      <c r="AK11" s="9">
        <f t="shared" si="17"/>
        <v>0</v>
      </c>
      <c r="AL11" s="53">
        <f t="shared" si="5"/>
        <v>63739.254000000001</v>
      </c>
      <c r="AM11" s="123">
        <f>AL11/AL6</f>
        <v>3.1679549701789267E-2</v>
      </c>
    </row>
    <row r="12" spans="1:40" ht="18" customHeight="1" x14ac:dyDescent="0.35">
      <c r="A12" s="57" t="s">
        <v>92</v>
      </c>
      <c r="B12" s="53">
        <v>160793</v>
      </c>
      <c r="C12" s="53">
        <v>70357.878448620555</v>
      </c>
      <c r="D12" s="53">
        <v>0</v>
      </c>
      <c r="E12" s="53">
        <v>53119</v>
      </c>
      <c r="F12" s="53">
        <v>34755</v>
      </c>
      <c r="G12" s="53">
        <v>160746</v>
      </c>
      <c r="H12" s="53">
        <f t="shared" ref="H12:H13" si="18">SUM(B12:G12)</f>
        <v>479770.87844862055</v>
      </c>
      <c r="K12" s="57" t="s">
        <v>92</v>
      </c>
      <c r="L12" s="58">
        <v>0</v>
      </c>
      <c r="M12" s="53">
        <v>1552.4210483873601</v>
      </c>
      <c r="N12" s="53">
        <v>0</v>
      </c>
      <c r="O12" s="53">
        <v>0</v>
      </c>
      <c r="P12" s="53">
        <v>740</v>
      </c>
      <c r="Q12" s="53">
        <v>0</v>
      </c>
      <c r="R12" s="53">
        <f t="shared" ref="R12:R13" si="19">SUM(L12:Q12)</f>
        <v>2292.4210483873603</v>
      </c>
      <c r="U12" s="57" t="s">
        <v>92</v>
      </c>
      <c r="V12" s="58">
        <v>0</v>
      </c>
      <c r="W12" s="53">
        <v>33339.628444420552</v>
      </c>
      <c r="X12" s="53">
        <v>0</v>
      </c>
      <c r="Y12" s="53">
        <v>41</v>
      </c>
      <c r="Z12" s="53">
        <v>1526</v>
      </c>
      <c r="AA12" s="53">
        <v>644895</v>
      </c>
      <c r="AB12" s="53">
        <f t="shared" ref="AB12:AB13" si="20">SUM(V12:AA12)</f>
        <v>679801.62844442052</v>
      </c>
      <c r="AE12" s="57" t="s">
        <v>92</v>
      </c>
      <c r="AF12" s="9">
        <f t="shared" si="16"/>
        <v>0</v>
      </c>
      <c r="AG12" s="9">
        <f t="shared" si="16"/>
        <v>34892.049492807913</v>
      </c>
      <c r="AH12" s="9">
        <f t="shared" si="16"/>
        <v>0</v>
      </c>
      <c r="AI12" s="9">
        <f t="shared" si="16"/>
        <v>41</v>
      </c>
      <c r="AJ12" s="9">
        <f t="shared" si="17"/>
        <v>2266</v>
      </c>
      <c r="AK12" s="9">
        <f t="shared" si="17"/>
        <v>644895</v>
      </c>
      <c r="AL12" s="53">
        <f t="shared" ref="AL12:AL13" si="21">SUM(AF12:AK12)</f>
        <v>682094.04949280794</v>
      </c>
      <c r="AM12" s="124"/>
    </row>
    <row r="13" spans="1:40" s="63" customFormat="1" ht="18" customHeight="1" x14ac:dyDescent="0.35">
      <c r="A13" s="59" t="s">
        <v>101</v>
      </c>
      <c r="B13" s="60">
        <v>59119</v>
      </c>
      <c r="C13" s="60">
        <v>208592</v>
      </c>
      <c r="D13" s="60">
        <v>30664</v>
      </c>
      <c r="E13" s="60">
        <v>31082</v>
      </c>
      <c r="F13" s="60">
        <v>176956</v>
      </c>
      <c r="G13" s="53">
        <v>105219</v>
      </c>
      <c r="H13" s="53">
        <f t="shared" si="18"/>
        <v>611632</v>
      </c>
      <c r="I13" s="93"/>
      <c r="J13" s="61"/>
      <c r="K13" s="59" t="s">
        <v>101</v>
      </c>
      <c r="L13" s="9">
        <v>0</v>
      </c>
      <c r="M13" s="60">
        <v>14084</v>
      </c>
      <c r="N13" s="60">
        <v>27453</v>
      </c>
      <c r="O13" s="60">
        <v>992</v>
      </c>
      <c r="P13" s="53">
        <v>4076</v>
      </c>
      <c r="Q13" s="53">
        <v>0</v>
      </c>
      <c r="R13" s="53">
        <f t="shared" si="19"/>
        <v>46605</v>
      </c>
      <c r="S13" s="40"/>
      <c r="T13" s="62"/>
      <c r="U13" s="59" t="s">
        <v>101</v>
      </c>
      <c r="V13" s="9">
        <v>2000</v>
      </c>
      <c r="W13" s="60">
        <v>5886</v>
      </c>
      <c r="X13" s="53">
        <v>0</v>
      </c>
      <c r="Y13" s="60">
        <v>0</v>
      </c>
      <c r="Z13" s="53">
        <v>1569</v>
      </c>
      <c r="AA13" s="60"/>
      <c r="AB13" s="53">
        <f t="shared" si="20"/>
        <v>9455</v>
      </c>
      <c r="AC13" s="40"/>
      <c r="AD13" s="62"/>
      <c r="AE13" s="59" t="s">
        <v>101</v>
      </c>
      <c r="AF13" s="9">
        <f t="shared" si="16"/>
        <v>2000</v>
      </c>
      <c r="AG13" s="9">
        <f t="shared" si="16"/>
        <v>19970</v>
      </c>
      <c r="AH13" s="9">
        <f t="shared" si="16"/>
        <v>27453</v>
      </c>
      <c r="AI13" s="9">
        <f t="shared" si="16"/>
        <v>992</v>
      </c>
      <c r="AJ13" s="9">
        <f t="shared" si="17"/>
        <v>5645</v>
      </c>
      <c r="AK13" s="9">
        <f t="shared" si="17"/>
        <v>0</v>
      </c>
      <c r="AL13" s="53">
        <f t="shared" si="21"/>
        <v>56060</v>
      </c>
      <c r="AM13" s="40"/>
      <c r="AN13" s="62"/>
    </row>
    <row r="14" spans="1:40" ht="24" customHeight="1" x14ac:dyDescent="0.35">
      <c r="A14" s="139" t="s">
        <v>9</v>
      </c>
      <c r="B14" s="128">
        <f t="shared" ref="B14:G14" si="22">B7+B9</f>
        <v>2864607.1417383999</v>
      </c>
      <c r="C14" s="128">
        <f t="shared" si="22"/>
        <v>3168331.8784486204</v>
      </c>
      <c r="D14" s="128">
        <f t="shared" si="22"/>
        <v>3762875.5640567988</v>
      </c>
      <c r="E14" s="128">
        <f t="shared" si="22"/>
        <v>2091612</v>
      </c>
      <c r="F14" s="89">
        <f t="shared" si="22"/>
        <v>749273</v>
      </c>
      <c r="G14" s="89">
        <f t="shared" si="22"/>
        <v>1953388</v>
      </c>
      <c r="H14" s="128">
        <f>SUM(B14:G14)</f>
        <v>14590087.584243819</v>
      </c>
      <c r="I14" s="95"/>
      <c r="K14" s="139" t="s">
        <v>9</v>
      </c>
      <c r="L14" s="128">
        <f t="shared" ref="L14:Q14" si="23">L7+L9</f>
        <v>179470.45487999998</v>
      </c>
      <c r="M14" s="128">
        <f t="shared" si="23"/>
        <v>162501.42104838736</v>
      </c>
      <c r="N14" s="128">
        <f t="shared" si="23"/>
        <v>691941.01439999999</v>
      </c>
      <c r="O14" s="128">
        <f t="shared" si="23"/>
        <v>142350</v>
      </c>
      <c r="P14" s="89">
        <f t="shared" si="23"/>
        <v>48976</v>
      </c>
      <c r="Q14" s="89">
        <f t="shared" si="23"/>
        <v>291930</v>
      </c>
      <c r="R14" s="128">
        <f>SUM(L14:Q14)</f>
        <v>1517168.8903283873</v>
      </c>
      <c r="S14" s="24"/>
      <c r="U14" s="139" t="s">
        <v>9</v>
      </c>
      <c r="V14" s="128">
        <f t="shared" ref="V14:AA14" si="24">V7+V9</f>
        <v>294071.50447983196</v>
      </c>
      <c r="W14" s="128">
        <f t="shared" si="24"/>
        <v>342165.62844442052</v>
      </c>
      <c r="X14" s="128">
        <f t="shared" si="24"/>
        <v>22905.666000000001</v>
      </c>
      <c r="Y14" s="128">
        <f t="shared" si="24"/>
        <v>41798</v>
      </c>
      <c r="Z14" s="89">
        <f t="shared" si="24"/>
        <v>72105</v>
      </c>
      <c r="AA14" s="89">
        <f t="shared" si="24"/>
        <v>1329765</v>
      </c>
      <c r="AB14" s="128">
        <f>SUM(V14:AA14)</f>
        <v>2102810.7989242524</v>
      </c>
      <c r="AC14" s="24"/>
      <c r="AE14" s="139" t="s">
        <v>9</v>
      </c>
      <c r="AF14" s="128">
        <f t="shared" ref="AF14:AK14" si="25">AF7+AF9</f>
        <v>473541.95935983193</v>
      </c>
      <c r="AG14" s="128">
        <f t="shared" si="25"/>
        <v>504667.04949280794</v>
      </c>
      <c r="AH14" s="128">
        <f t="shared" si="25"/>
        <v>714846.68039999995</v>
      </c>
      <c r="AI14" s="128">
        <f t="shared" si="25"/>
        <v>184148</v>
      </c>
      <c r="AJ14" s="89">
        <f t="shared" si="25"/>
        <v>121081</v>
      </c>
      <c r="AK14" s="89">
        <f t="shared" si="25"/>
        <v>1621695</v>
      </c>
      <c r="AL14" s="128">
        <f>SUM(AF14:AK14)</f>
        <v>3619979.6892526401</v>
      </c>
      <c r="AM14" s="24"/>
    </row>
    <row r="15" spans="1:40" ht="18" customHeight="1" x14ac:dyDescent="0.35">
      <c r="B15" s="23">
        <f t="shared" ref="B15:H15" si="26">B14/B6</f>
        <v>0.91315133080226962</v>
      </c>
      <c r="C15" s="23">
        <f t="shared" si="26"/>
        <v>1.120904024451908</v>
      </c>
      <c r="D15" s="23">
        <f t="shared" si="26"/>
        <v>1.2684433348095612</v>
      </c>
      <c r="E15" s="23">
        <f t="shared" si="26"/>
        <v>1.4974240060134192</v>
      </c>
      <c r="F15" s="23">
        <f t="shared" si="26"/>
        <v>0.87724969442089828</v>
      </c>
      <c r="G15" s="23">
        <f t="shared" si="26"/>
        <v>0.95931879135576559</v>
      </c>
      <c r="H15" s="23">
        <f t="shared" si="26"/>
        <v>1.1038612948880717</v>
      </c>
      <c r="L15" s="23">
        <f t="shared" ref="L15:R15" si="27">L14/L6</f>
        <v>1.1431239164331208</v>
      </c>
      <c r="M15" s="23">
        <f t="shared" si="27"/>
        <v>1.2500109311414414</v>
      </c>
      <c r="N15" s="23">
        <f t="shared" si="27"/>
        <v>1.3179828845714285</v>
      </c>
      <c r="O15" s="23">
        <f t="shared" si="27"/>
        <v>1.7359756097560977</v>
      </c>
      <c r="P15" s="23">
        <f t="shared" si="27"/>
        <v>0.67090410958904112</v>
      </c>
      <c r="Q15" s="23">
        <f t="shared" si="27"/>
        <v>2.6782568807339451</v>
      </c>
      <c r="R15" s="23">
        <f t="shared" si="27"/>
        <v>1.410008262386977</v>
      </c>
      <c r="V15" s="23">
        <f t="shared" ref="V15:AB15" si="28">V14/V6</f>
        <v>0.91611060585617432</v>
      </c>
      <c r="W15" s="23">
        <f t="shared" si="28"/>
        <v>1.1073321308880923</v>
      </c>
      <c r="X15" s="23">
        <f t="shared" si="28"/>
        <v>0.35790103125</v>
      </c>
      <c r="Y15" s="23">
        <f t="shared" si="28"/>
        <v>1.5480740740740742</v>
      </c>
      <c r="Z15" s="23">
        <f t="shared" si="28"/>
        <v>0.9743918918918919</v>
      </c>
      <c r="AA15" s="23">
        <f t="shared" si="28"/>
        <v>9.4309574468085113</v>
      </c>
      <c r="AB15" s="23">
        <f t="shared" si="28"/>
        <v>2.2465927338934319</v>
      </c>
      <c r="AF15" s="23">
        <f t="shared" ref="AF15:AL15" si="29">AF14/AF6</f>
        <v>0.9906735551460919</v>
      </c>
      <c r="AG15" s="23">
        <f t="shared" si="29"/>
        <v>1.1495832562478541</v>
      </c>
      <c r="AH15" s="23">
        <f t="shared" si="29"/>
        <v>1.2136615966044142</v>
      </c>
      <c r="AI15" s="23">
        <f t="shared" si="29"/>
        <v>1.6894311926605505</v>
      </c>
      <c r="AJ15" s="23">
        <f t="shared" si="29"/>
        <v>0.82368027210884354</v>
      </c>
      <c r="AK15" s="23">
        <f t="shared" si="29"/>
        <v>6.4867800000000004</v>
      </c>
      <c r="AL15" s="23">
        <f t="shared" si="29"/>
        <v>1.7991946765669184</v>
      </c>
    </row>
    <row r="16" spans="1:40" s="67" customFormat="1" ht="18" customHeight="1" x14ac:dyDescent="0.35">
      <c r="A16" s="64" t="s">
        <v>16</v>
      </c>
      <c r="B16" s="65">
        <f t="shared" ref="B16:H16" si="30">B14-B6</f>
        <v>-272449.16548028961</v>
      </c>
      <c r="C16" s="65">
        <f t="shared" si="30"/>
        <v>341745.65042802785</v>
      </c>
      <c r="D16" s="65">
        <f t="shared" si="30"/>
        <v>796345.28178625368</v>
      </c>
      <c r="E16" s="65">
        <f t="shared" si="30"/>
        <v>694805.22276094463</v>
      </c>
      <c r="F16" s="65">
        <f t="shared" si="30"/>
        <v>-104843</v>
      </c>
      <c r="G16" s="65">
        <f t="shared" si="30"/>
        <v>-82836.055654489435</v>
      </c>
      <c r="H16" s="65">
        <f t="shared" si="30"/>
        <v>1372767.9338404499</v>
      </c>
      <c r="I16" s="96"/>
      <c r="J16" s="31"/>
      <c r="K16" s="64" t="s">
        <v>16</v>
      </c>
      <c r="L16" s="65">
        <f t="shared" ref="L16:R16" si="31">L14-L6</f>
        <v>22470.454879999976</v>
      </c>
      <c r="M16" s="65">
        <f t="shared" si="31"/>
        <v>32501.421048387361</v>
      </c>
      <c r="N16" s="65">
        <f t="shared" si="31"/>
        <v>166941.01439999999</v>
      </c>
      <c r="O16" s="65">
        <f t="shared" si="31"/>
        <v>60350</v>
      </c>
      <c r="P16" s="65">
        <f t="shared" si="31"/>
        <v>-24024</v>
      </c>
      <c r="Q16" s="65">
        <f t="shared" si="31"/>
        <v>182930</v>
      </c>
      <c r="R16" s="65">
        <f t="shared" si="31"/>
        <v>441168.89032838726</v>
      </c>
      <c r="S16" s="4"/>
      <c r="T16" s="5"/>
      <c r="U16" s="64" t="s">
        <v>16</v>
      </c>
      <c r="V16" s="65">
        <f t="shared" ref="V16:AB16" si="32">V14-V6</f>
        <v>-26928.495520168042</v>
      </c>
      <c r="W16" s="65">
        <f t="shared" si="32"/>
        <v>33165.628444420523</v>
      </c>
      <c r="X16" s="65">
        <f t="shared" si="32"/>
        <v>-41094.334000000003</v>
      </c>
      <c r="Y16" s="65">
        <f t="shared" si="32"/>
        <v>14798</v>
      </c>
      <c r="Z16" s="65">
        <f t="shared" si="32"/>
        <v>-1895</v>
      </c>
      <c r="AA16" s="65">
        <f t="shared" si="32"/>
        <v>1188765</v>
      </c>
      <c r="AB16" s="65">
        <f t="shared" si="32"/>
        <v>1166810.7989242524</v>
      </c>
      <c r="AC16" s="4"/>
      <c r="AD16" s="5"/>
      <c r="AE16" s="64" t="s">
        <v>16</v>
      </c>
      <c r="AF16" s="66">
        <f>L16+V16</f>
        <v>-4458.0406401680666</v>
      </c>
      <c r="AG16" s="66">
        <f t="shared" ref="AG16:AL16" si="33">M16+W16</f>
        <v>65667.049492807884</v>
      </c>
      <c r="AH16" s="66">
        <f t="shared" si="33"/>
        <v>125846.68039999998</v>
      </c>
      <c r="AI16" s="66">
        <f t="shared" si="33"/>
        <v>75148</v>
      </c>
      <c r="AJ16" s="66">
        <f t="shared" si="33"/>
        <v>-25919</v>
      </c>
      <c r="AK16" s="66">
        <f t="shared" si="33"/>
        <v>1371695</v>
      </c>
      <c r="AL16" s="66">
        <f t="shared" si="33"/>
        <v>1607979.6892526397</v>
      </c>
      <c r="AM16" s="4"/>
      <c r="AN16" s="5"/>
    </row>
    <row r="17" spans="1:40" ht="18" customHeight="1" x14ac:dyDescent="0.35">
      <c r="C17" s="26"/>
      <c r="D17" s="68"/>
      <c r="E17" s="26"/>
      <c r="F17" s="26"/>
      <c r="G17" s="26"/>
      <c r="H17" s="26"/>
      <c r="M17" s="26"/>
      <c r="N17" s="26"/>
      <c r="O17" s="26"/>
      <c r="P17" s="26"/>
      <c r="Q17" s="26"/>
      <c r="R17" s="26"/>
      <c r="W17" s="26"/>
      <c r="X17" s="26"/>
      <c r="Y17" s="26"/>
      <c r="Z17" s="26"/>
      <c r="AA17" s="26"/>
      <c r="AB17" s="26"/>
      <c r="AG17" s="26"/>
      <c r="AH17" s="26"/>
      <c r="AI17" s="26"/>
      <c r="AJ17" s="26"/>
      <c r="AK17" s="26"/>
      <c r="AL17" s="26"/>
    </row>
    <row r="18" spans="1:40" s="56" customFormat="1" ht="24" customHeight="1" x14ac:dyDescent="0.35">
      <c r="A18" s="48" t="s">
        <v>17</v>
      </c>
      <c r="B18" s="49">
        <f>SUM(B19:B20)</f>
        <v>0</v>
      </c>
      <c r="C18" s="49">
        <f t="shared" ref="C18:G18" si="34">SUM(C19:C20)</f>
        <v>10018.774003003839</v>
      </c>
      <c r="D18" s="49">
        <f>SUM(D19:D20)</f>
        <v>47600</v>
      </c>
      <c r="E18" s="49">
        <f t="shared" si="34"/>
        <v>46497</v>
      </c>
      <c r="F18" s="49">
        <f t="shared" si="34"/>
        <v>26128</v>
      </c>
      <c r="G18" s="49">
        <f t="shared" si="34"/>
        <v>0</v>
      </c>
      <c r="H18" s="49">
        <f>SUM(B18:G18)</f>
        <v>130243.77400300384</v>
      </c>
      <c r="I18" s="97"/>
      <c r="J18" s="70"/>
      <c r="K18" s="48" t="s">
        <v>17</v>
      </c>
      <c r="L18" s="49">
        <f>SUM(L19:L20)</f>
        <v>0</v>
      </c>
      <c r="M18" s="49">
        <f t="shared" ref="M18:Q18" si="35">SUM(M19:M20)</f>
        <v>2229.8139567702301</v>
      </c>
      <c r="N18" s="49">
        <f t="shared" si="35"/>
        <v>0</v>
      </c>
      <c r="O18" s="49">
        <f t="shared" si="35"/>
        <v>0</v>
      </c>
      <c r="P18" s="49">
        <f t="shared" si="35"/>
        <v>3664</v>
      </c>
      <c r="Q18" s="49">
        <f t="shared" si="35"/>
        <v>0</v>
      </c>
      <c r="R18" s="49">
        <f>SUM(L18:Q18)</f>
        <v>5893.8139567702301</v>
      </c>
      <c r="S18" s="69"/>
      <c r="U18" s="48" t="s">
        <v>17</v>
      </c>
      <c r="V18" s="49">
        <f>SUM(V19:V20)</f>
        <v>0</v>
      </c>
      <c r="W18" s="49">
        <f t="shared" ref="W18:AA18" si="36">SUM(W19:W20)</f>
        <v>2229.8139567702301</v>
      </c>
      <c r="X18" s="49">
        <f t="shared" si="36"/>
        <v>0</v>
      </c>
      <c r="Y18" s="49">
        <f t="shared" si="36"/>
        <v>0</v>
      </c>
      <c r="Z18" s="49">
        <f t="shared" si="36"/>
        <v>359</v>
      </c>
      <c r="AA18" s="49">
        <f t="shared" si="36"/>
        <v>0</v>
      </c>
      <c r="AB18" s="49">
        <f>SUM(V18:AA18)</f>
        <v>2588.8139567702301</v>
      </c>
      <c r="AC18" s="69"/>
      <c r="AE18" s="48" t="s">
        <v>17</v>
      </c>
      <c r="AF18" s="50">
        <f t="shared" ref="AF18:AI20" si="37">L18+V18</f>
        <v>0</v>
      </c>
      <c r="AG18" s="50">
        <f t="shared" si="37"/>
        <v>4459.6279135404602</v>
      </c>
      <c r="AH18" s="50">
        <f t="shared" si="37"/>
        <v>0</v>
      </c>
      <c r="AI18" s="50">
        <f t="shared" si="37"/>
        <v>0</v>
      </c>
      <c r="AJ18" s="50">
        <f t="shared" ref="AJ18:AK21" si="38">P18+Z18</f>
        <v>4023</v>
      </c>
      <c r="AK18" s="50">
        <f t="shared" si="38"/>
        <v>0</v>
      </c>
      <c r="AL18" s="49">
        <f>SUM(AF18:AK18)</f>
        <v>8482.6279135404602</v>
      </c>
      <c r="AM18" s="69"/>
    </row>
    <row r="19" spans="1:40" s="63" customFormat="1" ht="18" customHeight="1" x14ac:dyDescent="0.35">
      <c r="A19" s="71" t="s">
        <v>91</v>
      </c>
      <c r="B19" s="9"/>
      <c r="C19" s="199">
        <v>10018.774003003839</v>
      </c>
      <c r="D19" s="60">
        <v>0</v>
      </c>
      <c r="E19" s="60">
        <v>37676</v>
      </c>
      <c r="F19" s="60">
        <v>0</v>
      </c>
      <c r="G19" s="60">
        <v>0</v>
      </c>
      <c r="H19" s="60">
        <f>SUM(B19:G19)</f>
        <v>47694.77400300384</v>
      </c>
      <c r="I19" s="93"/>
      <c r="J19" s="61"/>
      <c r="K19" s="71" t="s">
        <v>92</v>
      </c>
      <c r="L19" s="9"/>
      <c r="M19" s="53">
        <v>2229.8139567702301</v>
      </c>
      <c r="N19" s="9"/>
      <c r="O19" s="60">
        <v>0</v>
      </c>
      <c r="P19" s="60">
        <v>2741</v>
      </c>
      <c r="Q19" s="60">
        <v>0</v>
      </c>
      <c r="R19" s="60">
        <f>SUM(L19:Q19)</f>
        <v>4970.8139567702301</v>
      </c>
      <c r="S19" s="40"/>
      <c r="T19" s="62"/>
      <c r="U19" s="71" t="s">
        <v>92</v>
      </c>
      <c r="V19" s="9"/>
      <c r="W19" s="60">
        <v>2229.8139567702301</v>
      </c>
      <c r="X19" s="60">
        <v>0</v>
      </c>
      <c r="Y19" s="60">
        <v>0</v>
      </c>
      <c r="Z19" s="60">
        <v>359</v>
      </c>
      <c r="AA19" s="60">
        <v>0</v>
      </c>
      <c r="AB19" s="60">
        <f>SUM(V19:AA19)</f>
        <v>2588.8139567702301</v>
      </c>
      <c r="AC19" s="40"/>
      <c r="AD19" s="5"/>
      <c r="AE19" s="71" t="s">
        <v>92</v>
      </c>
      <c r="AF19" s="9">
        <f t="shared" si="37"/>
        <v>0</v>
      </c>
      <c r="AG19" s="9">
        <f t="shared" si="37"/>
        <v>4459.6279135404602</v>
      </c>
      <c r="AH19" s="9">
        <f t="shared" si="37"/>
        <v>0</v>
      </c>
      <c r="AI19" s="9">
        <f t="shared" si="37"/>
        <v>0</v>
      </c>
      <c r="AJ19" s="9">
        <f t="shared" si="38"/>
        <v>3100</v>
      </c>
      <c r="AK19" s="9">
        <f t="shared" si="38"/>
        <v>0</v>
      </c>
      <c r="AL19" s="60">
        <f>SUM(AF19:AK19)</f>
        <v>7559.6279135404602</v>
      </c>
      <c r="AM19" s="40"/>
      <c r="AN19" s="62"/>
    </row>
    <row r="20" spans="1:40" s="63" customFormat="1" ht="18" customHeight="1" x14ac:dyDescent="0.35">
      <c r="A20" s="72" t="s">
        <v>18</v>
      </c>
      <c r="B20" s="9"/>
      <c r="C20" s="199"/>
      <c r="D20" s="60">
        <v>47600</v>
      </c>
      <c r="E20" s="60">
        <v>8821</v>
      </c>
      <c r="F20" s="60">
        <v>26128</v>
      </c>
      <c r="G20" s="60">
        <v>0</v>
      </c>
      <c r="H20" s="60">
        <f>SUM(B20:G20)</f>
        <v>82549</v>
      </c>
      <c r="I20" s="93"/>
      <c r="J20" s="61"/>
      <c r="K20" s="72" t="s">
        <v>18</v>
      </c>
      <c r="L20" s="9"/>
      <c r="M20" s="60"/>
      <c r="N20" s="9"/>
      <c r="O20" s="60">
        <v>0</v>
      </c>
      <c r="P20" s="60">
        <v>923</v>
      </c>
      <c r="Q20" s="60">
        <v>0</v>
      </c>
      <c r="R20" s="60">
        <f>SUM(L20:Q20)</f>
        <v>923</v>
      </c>
      <c r="S20" s="40"/>
      <c r="T20" s="62"/>
      <c r="U20" s="72" t="s">
        <v>18</v>
      </c>
      <c r="V20" s="9"/>
      <c r="W20" s="60"/>
      <c r="X20" s="60">
        <v>0</v>
      </c>
      <c r="Y20" s="60">
        <v>0</v>
      </c>
      <c r="Z20" s="60">
        <v>0</v>
      </c>
      <c r="AA20" s="60">
        <v>0</v>
      </c>
      <c r="AB20" s="60">
        <f>SUM(V20:AA20)</f>
        <v>0</v>
      </c>
      <c r="AC20" s="40"/>
      <c r="AD20" s="5"/>
      <c r="AE20" s="72" t="s">
        <v>18</v>
      </c>
      <c r="AF20" s="9">
        <f t="shared" si="37"/>
        <v>0</v>
      </c>
      <c r="AG20" s="9">
        <f t="shared" si="37"/>
        <v>0</v>
      </c>
      <c r="AH20" s="9">
        <f t="shared" si="37"/>
        <v>0</v>
      </c>
      <c r="AI20" s="9">
        <f t="shared" si="37"/>
        <v>0</v>
      </c>
      <c r="AJ20" s="9">
        <f t="shared" si="38"/>
        <v>923</v>
      </c>
      <c r="AK20" s="9">
        <f t="shared" si="38"/>
        <v>0</v>
      </c>
      <c r="AL20" s="60">
        <f>SUM(AF20:AK20)</f>
        <v>923</v>
      </c>
      <c r="AM20" s="40"/>
      <c r="AN20" s="62"/>
    </row>
    <row r="21" spans="1:40" s="78" customFormat="1" ht="18" customHeight="1" x14ac:dyDescent="0.35">
      <c r="A21" s="73" t="s">
        <v>19</v>
      </c>
      <c r="B21" s="74">
        <f>B16+B18</f>
        <v>-272449.16548028961</v>
      </c>
      <c r="C21" s="74">
        <f t="shared" ref="C21:H21" si="39">C16+C18</f>
        <v>351764.42443103169</v>
      </c>
      <c r="D21" s="74">
        <f t="shared" si="39"/>
        <v>843945.28178625368</v>
      </c>
      <c r="E21" s="74">
        <f t="shared" si="39"/>
        <v>741302.22276094463</v>
      </c>
      <c r="F21" s="74">
        <f t="shared" si="39"/>
        <v>-78715</v>
      </c>
      <c r="G21" s="74">
        <f t="shared" si="39"/>
        <v>-82836.055654489435</v>
      </c>
      <c r="H21" s="74">
        <f t="shared" si="39"/>
        <v>1503011.7078434536</v>
      </c>
      <c r="I21" s="98"/>
      <c r="J21" s="76"/>
      <c r="K21" s="73" t="s">
        <v>19</v>
      </c>
      <c r="L21" s="74">
        <f>L16+L18</f>
        <v>22470.454879999976</v>
      </c>
      <c r="M21" s="74">
        <f t="shared" ref="M21:R21" si="40">M16+M18</f>
        <v>34731.235005157592</v>
      </c>
      <c r="N21" s="74">
        <f t="shared" si="40"/>
        <v>166941.01439999999</v>
      </c>
      <c r="O21" s="74">
        <f t="shared" si="40"/>
        <v>60350</v>
      </c>
      <c r="P21" s="74">
        <f t="shared" si="40"/>
        <v>-20360</v>
      </c>
      <c r="Q21" s="74">
        <f t="shared" si="40"/>
        <v>182930</v>
      </c>
      <c r="R21" s="74">
        <f t="shared" si="40"/>
        <v>447062.7042851575</v>
      </c>
      <c r="S21" s="75"/>
      <c r="T21" s="77"/>
      <c r="U21" s="73" t="s">
        <v>19</v>
      </c>
      <c r="V21" s="74">
        <f>V16+V18</f>
        <v>-26928.495520168042</v>
      </c>
      <c r="W21" s="74">
        <f t="shared" ref="W21:AB21" si="41">W16+W18</f>
        <v>35395.442401190754</v>
      </c>
      <c r="X21" s="74">
        <f t="shared" si="41"/>
        <v>-41094.334000000003</v>
      </c>
      <c r="Y21" s="74">
        <f t="shared" si="41"/>
        <v>14798</v>
      </c>
      <c r="Z21" s="74">
        <f t="shared" si="41"/>
        <v>-1536</v>
      </c>
      <c r="AA21" s="74">
        <f t="shared" si="41"/>
        <v>1188765</v>
      </c>
      <c r="AB21" s="74">
        <f t="shared" si="41"/>
        <v>1169399.6128810225</v>
      </c>
      <c r="AC21" s="75"/>
      <c r="AD21" s="77"/>
      <c r="AE21" s="73" t="s">
        <v>19</v>
      </c>
      <c r="AF21" s="74">
        <f>L21+V21</f>
        <v>-4458.0406401680666</v>
      </c>
      <c r="AG21" s="74">
        <f t="shared" ref="AG21:AI21" si="42">M21+W21</f>
        <v>70126.677406348346</v>
      </c>
      <c r="AH21" s="74">
        <f t="shared" si="42"/>
        <v>125846.68039999998</v>
      </c>
      <c r="AI21" s="74">
        <f t="shared" si="42"/>
        <v>75148</v>
      </c>
      <c r="AJ21" s="74">
        <f t="shared" si="38"/>
        <v>-21896</v>
      </c>
      <c r="AK21" s="74">
        <f t="shared" si="38"/>
        <v>1371695</v>
      </c>
      <c r="AL21" s="74">
        <f t="shared" ref="AL21" si="43">R21+AB21</f>
        <v>1616462.3171661799</v>
      </c>
      <c r="AM21" s="74"/>
      <c r="AN21" s="77"/>
    </row>
    <row r="22" spans="1:40" s="78" customFormat="1" ht="18" customHeight="1" x14ac:dyDescent="0.35">
      <c r="A22" s="73"/>
      <c r="B22" s="79"/>
      <c r="C22" s="80"/>
      <c r="D22" s="80"/>
      <c r="E22" s="80"/>
      <c r="F22" s="80"/>
      <c r="G22" s="80"/>
      <c r="H22" s="81"/>
      <c r="I22" s="98"/>
      <c r="J22" s="76"/>
      <c r="K22" s="73"/>
      <c r="L22" s="79"/>
      <c r="M22" s="80"/>
      <c r="N22" s="80"/>
      <c r="O22" s="80"/>
      <c r="P22" s="80"/>
      <c r="Q22" s="80"/>
      <c r="R22" s="80"/>
      <c r="S22" s="75"/>
      <c r="T22" s="77"/>
      <c r="U22" s="73"/>
      <c r="V22" s="79"/>
      <c r="W22" s="80"/>
      <c r="X22" s="80"/>
      <c r="Y22" s="80"/>
      <c r="Z22" s="80"/>
      <c r="AA22" s="80"/>
      <c r="AB22" s="81"/>
      <c r="AC22" s="75"/>
      <c r="AD22" s="77"/>
      <c r="AE22" s="73"/>
      <c r="AF22" s="81"/>
      <c r="AG22" s="81"/>
      <c r="AH22" s="81"/>
      <c r="AI22" s="81"/>
      <c r="AJ22" s="81"/>
      <c r="AK22" s="81"/>
      <c r="AL22" s="80"/>
      <c r="AM22" s="75"/>
      <c r="AN22" s="77"/>
    </row>
    <row r="23" spans="1:40" s="82" customFormat="1" ht="18" customHeight="1" x14ac:dyDescent="0.35">
      <c r="A23" s="48" t="s">
        <v>10</v>
      </c>
      <c r="B23" s="48">
        <v>0</v>
      </c>
      <c r="C23" s="48">
        <v>0</v>
      </c>
      <c r="D23" s="48"/>
      <c r="E23" s="48">
        <v>0</v>
      </c>
      <c r="F23" s="48">
        <v>0</v>
      </c>
      <c r="G23" s="48">
        <v>0</v>
      </c>
      <c r="H23" s="48">
        <f>SUM(B23:G23)</f>
        <v>0</v>
      </c>
      <c r="I23" s="97"/>
      <c r="J23" s="83"/>
      <c r="K23" s="48" t="s">
        <v>10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f>SUM(L23:Q23)</f>
        <v>0</v>
      </c>
      <c r="U23" s="48" t="s">
        <v>10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217710</v>
      </c>
      <c r="AB23" s="48">
        <f>SUM(V23:AA23)</f>
        <v>217710</v>
      </c>
      <c r="AE23" s="48" t="s">
        <v>10</v>
      </c>
      <c r="AF23" s="84">
        <f>L23+V23</f>
        <v>0</v>
      </c>
      <c r="AG23" s="84">
        <f t="shared" ref="AG23:AK23" si="44">M23+W23</f>
        <v>0</v>
      </c>
      <c r="AH23" s="84">
        <f t="shared" si="44"/>
        <v>0</v>
      </c>
      <c r="AI23" s="84">
        <f t="shared" si="44"/>
        <v>0</v>
      </c>
      <c r="AJ23" s="84">
        <f t="shared" si="44"/>
        <v>0</v>
      </c>
      <c r="AK23" s="84">
        <f t="shared" si="44"/>
        <v>217710</v>
      </c>
      <c r="AL23" s="48">
        <f>SUM(AF23:AK23)</f>
        <v>217710</v>
      </c>
    </row>
    <row r="24" spans="1:40" ht="18" customHeight="1" x14ac:dyDescent="0.35">
      <c r="D24" s="19"/>
      <c r="R24" s="19"/>
      <c r="AB24" s="19"/>
    </row>
    <row r="25" spans="1:40" s="31" customFormat="1" ht="18" customHeight="1" x14ac:dyDescent="0.35">
      <c r="A25" s="15"/>
      <c r="B25" s="85"/>
      <c r="C25" s="85"/>
      <c r="D25" s="85"/>
      <c r="E25" s="85"/>
      <c r="F25" s="85"/>
      <c r="G25" s="85"/>
      <c r="H25" s="85"/>
      <c r="I25" s="99"/>
      <c r="K25" s="15"/>
      <c r="L25" s="85"/>
      <c r="M25" s="85"/>
      <c r="N25" s="85"/>
      <c r="O25" s="85"/>
      <c r="P25" s="85"/>
      <c r="Q25" s="85"/>
      <c r="R25" s="85"/>
      <c r="S25" s="15"/>
      <c r="U25" s="15"/>
      <c r="V25" s="85"/>
      <c r="W25" s="85"/>
      <c r="X25" s="85"/>
      <c r="Y25" s="85"/>
      <c r="Z25" s="85"/>
      <c r="AA25" s="85"/>
      <c r="AB25" s="85"/>
      <c r="AC25" s="15"/>
      <c r="AE25" s="15"/>
      <c r="AF25" s="85"/>
      <c r="AG25" s="85"/>
      <c r="AH25" s="85"/>
      <c r="AI25" s="85"/>
      <c r="AJ25" s="85"/>
      <c r="AK25" s="85"/>
      <c r="AL25" s="85"/>
      <c r="AM25" s="15"/>
    </row>
    <row r="26" spans="1:40" ht="18" customHeight="1" x14ac:dyDescent="0.35">
      <c r="A26" s="8" t="s">
        <v>11</v>
      </c>
      <c r="B26" s="60">
        <v>2885000</v>
      </c>
      <c r="C26" s="60">
        <v>3180000</v>
      </c>
      <c r="D26" s="60">
        <v>3810475.1027999991</v>
      </c>
      <c r="E26" s="53">
        <v>2091612</v>
      </c>
      <c r="F26" s="39">
        <f>F14+F18</f>
        <v>775401</v>
      </c>
      <c r="G26" s="39">
        <f>G14+G18</f>
        <v>1953388</v>
      </c>
      <c r="H26" s="53">
        <f>SUM(B26:G26)</f>
        <v>14695876.102799999</v>
      </c>
      <c r="I26" s="100">
        <f>H26/H5</f>
        <v>1.1118650748793464</v>
      </c>
      <c r="J26" s="24"/>
      <c r="K26" s="8" t="s">
        <v>11</v>
      </c>
      <c r="L26" s="53">
        <v>180180</v>
      </c>
      <c r="M26" s="53">
        <v>166200</v>
      </c>
      <c r="N26" s="60">
        <v>691941.0144000001</v>
      </c>
      <c r="O26" s="60">
        <v>141213</v>
      </c>
      <c r="P26" s="60">
        <f>P14+P18</f>
        <v>52640</v>
      </c>
      <c r="Q26" s="60">
        <f>Q14+Q18</f>
        <v>291930</v>
      </c>
      <c r="R26" s="53">
        <f>SUM(L26:Q26)</f>
        <v>1524104.0144000002</v>
      </c>
      <c r="S26" s="25">
        <f>R26/R5</f>
        <v>1.4164535449814128</v>
      </c>
      <c r="U26" s="8" t="s">
        <v>11</v>
      </c>
      <c r="V26" s="58">
        <v>294090</v>
      </c>
      <c r="W26" s="60">
        <v>345456</v>
      </c>
      <c r="X26" s="53">
        <v>22905.666000000001</v>
      </c>
      <c r="Y26" s="60">
        <v>41780</v>
      </c>
      <c r="Z26" s="60">
        <f>Z14+Z18</f>
        <v>72464</v>
      </c>
      <c r="AA26" s="60">
        <v>1112055</v>
      </c>
      <c r="AB26" s="53">
        <f>SUM(V26:AA26)</f>
        <v>1888750.666</v>
      </c>
      <c r="AC26" s="25">
        <f>AB26/AB5</f>
        <v>2.0178960106837605</v>
      </c>
      <c r="AE26" s="8" t="s">
        <v>11</v>
      </c>
      <c r="AF26" s="9">
        <f t="shared" ref="AF26:AH27" si="45">L26+V26</f>
        <v>474270</v>
      </c>
      <c r="AG26" s="9">
        <f t="shared" si="45"/>
        <v>511656</v>
      </c>
      <c r="AH26" s="9">
        <f t="shared" si="45"/>
        <v>714846.68040000007</v>
      </c>
      <c r="AI26" s="9">
        <f t="shared" ref="AI26:AI27" si="46">O26+Y26</f>
        <v>182993</v>
      </c>
      <c r="AJ26" s="9">
        <f t="shared" ref="AJ26:AJ27" si="47">P26+Z26</f>
        <v>125104</v>
      </c>
      <c r="AK26" s="9">
        <f t="shared" ref="AK26:AK27" si="48">Q26+AA26</f>
        <v>1403985</v>
      </c>
      <c r="AL26" s="53">
        <f>SUM(AF26:AK26)</f>
        <v>3412854.6804</v>
      </c>
      <c r="AM26" s="25">
        <f>AL26/AL5</f>
        <v>1.6962498411530815</v>
      </c>
    </row>
    <row r="27" spans="1:40" s="63" customFormat="1" ht="18" customHeight="1" x14ac:dyDescent="0.35">
      <c r="A27" s="13" t="s">
        <v>89</v>
      </c>
      <c r="B27" s="60">
        <v>2885000</v>
      </c>
      <c r="C27" s="60">
        <v>3180000</v>
      </c>
      <c r="D27" s="60">
        <v>3810475.1027999991</v>
      </c>
      <c r="E27" s="53">
        <v>2091612</v>
      </c>
      <c r="F27" s="39">
        <f>F14+F18</f>
        <v>775401</v>
      </c>
      <c r="G27" s="39">
        <f>G14+G18</f>
        <v>1953388</v>
      </c>
      <c r="H27" s="53">
        <f>SUM(B27:G27)</f>
        <v>14695876.102799999</v>
      </c>
      <c r="I27" s="100">
        <f>H27/H5</f>
        <v>1.1118650748793464</v>
      </c>
      <c r="J27" s="25"/>
      <c r="K27" s="13" t="s">
        <v>89</v>
      </c>
      <c r="L27" s="53">
        <v>180180</v>
      </c>
      <c r="M27" s="53">
        <v>166200</v>
      </c>
      <c r="N27" s="60">
        <v>691941.0144000001</v>
      </c>
      <c r="O27" s="60">
        <v>141213</v>
      </c>
      <c r="P27" s="60">
        <f>P14+P18</f>
        <v>52640</v>
      </c>
      <c r="Q27" s="60">
        <f>Q14+Q18</f>
        <v>291930</v>
      </c>
      <c r="R27" s="60">
        <f>SUM(L27:Q27)</f>
        <v>1524104.0144000002</v>
      </c>
      <c r="S27" s="25">
        <f>R27/R5</f>
        <v>1.4164535449814128</v>
      </c>
      <c r="T27" s="62"/>
      <c r="U27" s="13" t="s">
        <v>89</v>
      </c>
      <c r="V27" s="58">
        <v>294090</v>
      </c>
      <c r="W27" s="60">
        <v>345456</v>
      </c>
      <c r="X27" s="53">
        <v>22905.666000000001</v>
      </c>
      <c r="Y27" s="60">
        <v>41780</v>
      </c>
      <c r="Z27" s="60">
        <f>Z14+Z18</f>
        <v>72464</v>
      </c>
      <c r="AA27" s="60">
        <f>AA14+AA18</f>
        <v>1329765</v>
      </c>
      <c r="AB27" s="60">
        <f>SUM(V27:AA27)</f>
        <v>2106460.6660000002</v>
      </c>
      <c r="AC27" s="25">
        <f>AB27/AB5</f>
        <v>2.250492164529915</v>
      </c>
      <c r="AD27" s="62"/>
      <c r="AE27" s="13" t="s">
        <v>89</v>
      </c>
      <c r="AF27" s="9">
        <f t="shared" si="45"/>
        <v>474270</v>
      </c>
      <c r="AG27" s="9">
        <f t="shared" si="45"/>
        <v>511656</v>
      </c>
      <c r="AH27" s="9">
        <f t="shared" si="45"/>
        <v>714846.68040000007</v>
      </c>
      <c r="AI27" s="9">
        <f t="shared" si="46"/>
        <v>182993</v>
      </c>
      <c r="AJ27" s="9">
        <f t="shared" si="47"/>
        <v>125104</v>
      </c>
      <c r="AK27" s="9">
        <f t="shared" si="48"/>
        <v>1621695</v>
      </c>
      <c r="AL27" s="60">
        <f>SUM(AF27:AK27)</f>
        <v>3630564.6804</v>
      </c>
      <c r="AM27" s="25">
        <f>AL27/AL5</f>
        <v>1.8044556065606361</v>
      </c>
      <c r="AN27" s="62"/>
    </row>
    <row r="28" spans="1:40" ht="18" customHeight="1" x14ac:dyDescent="0.35">
      <c r="A28" s="37" t="s">
        <v>20</v>
      </c>
      <c r="B28" s="19">
        <f t="shared" ref="B28:G28" si="49">B27-B5</f>
        <v>-252056.30721868947</v>
      </c>
      <c r="C28" s="19">
        <f t="shared" si="49"/>
        <v>353413.77197940741</v>
      </c>
      <c r="D28" s="19">
        <f t="shared" si="49"/>
        <v>843944.82052945392</v>
      </c>
      <c r="E28" s="19">
        <f t="shared" si="49"/>
        <v>694805.22276094463</v>
      </c>
      <c r="F28" s="19">
        <f t="shared" si="49"/>
        <v>-78715</v>
      </c>
      <c r="G28" s="19">
        <f t="shared" si="49"/>
        <v>-82836.055654489435</v>
      </c>
      <c r="H28" s="19">
        <f>SUM(B28:G28)</f>
        <v>1478556.452396627</v>
      </c>
      <c r="I28" s="95"/>
      <c r="K28" s="37" t="s">
        <v>12</v>
      </c>
      <c r="L28" s="3">
        <f t="shared" ref="L28:R28" si="50">L27-L5</f>
        <v>23180</v>
      </c>
      <c r="M28" s="3">
        <f t="shared" si="50"/>
        <v>36200</v>
      </c>
      <c r="N28" s="3">
        <f t="shared" si="50"/>
        <v>166941.0144000001</v>
      </c>
      <c r="O28" s="3">
        <f t="shared" si="50"/>
        <v>59213</v>
      </c>
      <c r="P28" s="3">
        <f t="shared" si="50"/>
        <v>-20360</v>
      </c>
      <c r="Q28" s="3">
        <f t="shared" si="50"/>
        <v>182930</v>
      </c>
      <c r="R28" s="3">
        <f t="shared" si="50"/>
        <v>448104.01440000022</v>
      </c>
      <c r="U28" s="37" t="s">
        <v>12</v>
      </c>
      <c r="V28" s="3">
        <f t="shared" ref="V28:AB28" si="51">V27-V5</f>
        <v>-26910</v>
      </c>
      <c r="W28" s="3">
        <f t="shared" si="51"/>
        <v>36456</v>
      </c>
      <c r="X28" s="3">
        <f t="shared" si="51"/>
        <v>-41094.334000000003</v>
      </c>
      <c r="Y28" s="3">
        <f t="shared" si="51"/>
        <v>14780</v>
      </c>
      <c r="Z28" s="3">
        <f t="shared" si="51"/>
        <v>-1536</v>
      </c>
      <c r="AA28" s="3">
        <f t="shared" si="51"/>
        <v>1188765</v>
      </c>
      <c r="AB28" s="3">
        <f t="shared" si="51"/>
        <v>1170460.6660000002</v>
      </c>
      <c r="AE28" s="37" t="s">
        <v>12</v>
      </c>
      <c r="AF28" s="19">
        <f>AF27-AF5</f>
        <v>-3730</v>
      </c>
      <c r="AG28" s="19">
        <f t="shared" ref="AG28:AK28" si="52">AG27-AG5</f>
        <v>72656</v>
      </c>
      <c r="AH28" s="19">
        <f t="shared" si="52"/>
        <v>125846.68040000007</v>
      </c>
      <c r="AI28" s="19">
        <f t="shared" si="52"/>
        <v>73993</v>
      </c>
      <c r="AJ28" s="19">
        <f t="shared" si="52"/>
        <v>-21896</v>
      </c>
      <c r="AK28" s="19">
        <f t="shared" si="52"/>
        <v>1371695</v>
      </c>
      <c r="AL28" s="19">
        <f>AL27-AL5</f>
        <v>1618564.6804</v>
      </c>
    </row>
    <row r="29" spans="1:40" s="1" customFormat="1" ht="18" customHeight="1" x14ac:dyDescent="0.35">
      <c r="A29" s="37" t="s">
        <v>22</v>
      </c>
      <c r="B29" s="27">
        <f t="shared" ref="B29:H29" si="53">B27/B5</f>
        <v>0.91965196587683751</v>
      </c>
      <c r="C29" s="27">
        <f t="shared" si="53"/>
        <v>1.1250320151127662</v>
      </c>
      <c r="D29" s="27">
        <f t="shared" si="53"/>
        <v>1.2844888607991924</v>
      </c>
      <c r="E29" s="27">
        <f t="shared" si="53"/>
        <v>1.4974240060134192</v>
      </c>
      <c r="F29" s="27">
        <f t="shared" si="53"/>
        <v>0.90784038702003012</v>
      </c>
      <c r="G29" s="27">
        <f t="shared" si="53"/>
        <v>0.95931879135576559</v>
      </c>
      <c r="H29" s="27">
        <f t="shared" si="53"/>
        <v>1.1118650748793464</v>
      </c>
      <c r="I29" s="92"/>
      <c r="J29" s="54"/>
      <c r="K29" s="37" t="s">
        <v>22</v>
      </c>
      <c r="L29" s="27">
        <f t="shared" ref="L29:Q29" si="54">L27/L5</f>
        <v>1.1476433121019107</v>
      </c>
      <c r="M29" s="27">
        <f t="shared" si="54"/>
        <v>1.2784615384615385</v>
      </c>
      <c r="N29" s="27">
        <f t="shared" si="54"/>
        <v>1.3179828845714288</v>
      </c>
      <c r="O29" s="27">
        <f t="shared" si="54"/>
        <v>1.7221097560975609</v>
      </c>
      <c r="P29" s="27">
        <f t="shared" si="54"/>
        <v>0.7210958904109589</v>
      </c>
      <c r="Q29" s="27">
        <f t="shared" si="54"/>
        <v>2.6782568807339451</v>
      </c>
      <c r="R29" s="28"/>
      <c r="S29" s="35"/>
      <c r="T29" s="55"/>
      <c r="U29" s="37" t="s">
        <v>22</v>
      </c>
      <c r="V29" s="27">
        <f t="shared" ref="V29:AA29" si="55">V27/V5</f>
        <v>0.91616822429906541</v>
      </c>
      <c r="W29" s="27">
        <f t="shared" si="55"/>
        <v>1.1179805825242719</v>
      </c>
      <c r="X29" s="27">
        <f t="shared" si="55"/>
        <v>0.35790103125</v>
      </c>
      <c r="Y29" s="27">
        <f t="shared" si="55"/>
        <v>1.5474074074074073</v>
      </c>
      <c r="Z29" s="27">
        <f t="shared" si="55"/>
        <v>0.97924324324324319</v>
      </c>
      <c r="AA29" s="27">
        <f t="shared" si="55"/>
        <v>9.4309574468085113</v>
      </c>
      <c r="AB29" s="28"/>
      <c r="AC29" s="35"/>
      <c r="AD29" s="55"/>
      <c r="AE29" s="37" t="s">
        <v>22</v>
      </c>
      <c r="AF29" s="27">
        <f t="shared" ref="AF29:AK29" si="56">AF27/AF5</f>
        <v>0.99219665271966528</v>
      </c>
      <c r="AG29" s="27">
        <f t="shared" si="56"/>
        <v>1.1655034168564919</v>
      </c>
      <c r="AH29" s="27">
        <f t="shared" si="56"/>
        <v>1.2136615966044144</v>
      </c>
      <c r="AI29" s="27">
        <f t="shared" si="56"/>
        <v>1.6788348623853211</v>
      </c>
      <c r="AJ29" s="27">
        <f t="shared" si="56"/>
        <v>0.85104761904761905</v>
      </c>
      <c r="AK29" s="27">
        <f t="shared" si="56"/>
        <v>6.4867800000000004</v>
      </c>
      <c r="AL29" s="27"/>
      <c r="AM29" s="35"/>
      <c r="AN29" s="55"/>
    </row>
    <row r="30" spans="1:40" ht="18" customHeight="1" x14ac:dyDescent="0.35">
      <c r="A30" s="37" t="s">
        <v>21</v>
      </c>
      <c r="B30" s="23">
        <f>B27/목표!E3-1</f>
        <v>-9.563610286930313E-3</v>
      </c>
      <c r="C30" s="23">
        <f>C27/목표!E4-1</f>
        <v>0.2723382410509787</v>
      </c>
      <c r="D30" s="23">
        <f>D27/목표!E5-1</f>
        <v>0.52769744583413125</v>
      </c>
      <c r="E30" s="23">
        <f>E27/목표!E6-1</f>
        <v>0.89570580619705797</v>
      </c>
      <c r="F30" s="23">
        <f>F27/목표!E7-1</f>
        <v>-9.2095760087404832E-2</v>
      </c>
      <c r="G30" s="23">
        <f>G27/목표!E8-1</f>
        <v>-9.7112378798102972E-2</v>
      </c>
      <c r="H30" s="23">
        <f>H27/(목표!E3+목표!E4+목표!E5+목표!E6+목표!E7+목표!E8)-1</f>
        <v>0.22187243005703983</v>
      </c>
      <c r="K30" s="37" t="s">
        <v>21</v>
      </c>
      <c r="L30" s="23">
        <f>L27/목표!L3-1</f>
        <v>0.15039921373404841</v>
      </c>
      <c r="M30" s="23">
        <f>M27/목표!L4-1</f>
        <v>0.22553056779839942</v>
      </c>
      <c r="N30" s="23">
        <f>N27/목표!L5-1</f>
        <v>0.31948976299260279</v>
      </c>
      <c r="O30" s="23">
        <f>O27/목표!L6-1</f>
        <v>0.7242808949002828</v>
      </c>
      <c r="P30" s="23">
        <f>P27/목표!L7-1</f>
        <v>-0.31802038061268068</v>
      </c>
      <c r="Q30" s="23">
        <f>Q27/목표!L8-1</f>
        <v>1.8275015979698943</v>
      </c>
      <c r="R30" s="23">
        <f>R27/(목표!L3+목표!L4+목표!L5+목표!L6+목표!L7+목표!L8)-1</f>
        <v>0.41255523825852913</v>
      </c>
      <c r="U30" s="37" t="s">
        <v>21</v>
      </c>
      <c r="V30" s="20">
        <f>V27/목표!S3-1</f>
        <v>-0.22296107557601408</v>
      </c>
      <c r="W30" s="20">
        <f>W27/목표!S4-1</f>
        <v>6.0136020982700433E-2</v>
      </c>
      <c r="X30" s="20">
        <f>X27/목표!S5-1</f>
        <v>-0.67241684455430761</v>
      </c>
      <c r="Y30" s="20">
        <f>Y27/목표!S6-1</f>
        <v>0.46597249213005032</v>
      </c>
      <c r="Z30" s="20">
        <f>Z27/목표!S7-1</f>
        <v>-6.4277247275765226E-2</v>
      </c>
      <c r="AA30" s="20">
        <f>AA27/목표!S8-1</f>
        <v>18.455000330325284</v>
      </c>
      <c r="AB30" s="20">
        <f>AB27/(목표!S3+목표!S4+목표!S5+목표!S6+목표!S7+목표!S8)-1</f>
        <v>1.2207143446636772</v>
      </c>
      <c r="AE30" s="37" t="s">
        <v>21</v>
      </c>
      <c r="AF30" s="23">
        <f>AF27/(목표!K3+목표!R3)-1</f>
        <v>5.2199773102374891E-3</v>
      </c>
      <c r="AG30" s="23">
        <f>AG27/(목표!K4+목표!R4)-1</f>
        <v>0.26717997724822595</v>
      </c>
      <c r="AH30" s="23">
        <f>AH27/(목표!K5+목표!R5)-1</f>
        <v>3.7862049984041191E-2</v>
      </c>
      <c r="AI30" s="23">
        <f>AI27/(목표!K6+목표!R6)-1</f>
        <v>0.41965986564834834</v>
      </c>
      <c r="AJ30" s="23">
        <f>AJ27/(목표!K7+목표!R7)-1</f>
        <v>-0.10399949278510245</v>
      </c>
      <c r="AK30" s="23">
        <f>AK27/(목표!K8+목표!R8)-1</f>
        <v>7.5286341566823562</v>
      </c>
      <c r="AL30" s="23">
        <f>AL27/(목표!K3+목표!K4+목표!K5+목표!K6+목표!K7+목표!K8+목표!R3+목표!R4+목표!R5+목표!R6+목표!R7+목표!R8)-1</f>
        <v>0.79462424996929948</v>
      </c>
    </row>
    <row r="31" spans="1:40" s="1" customFormat="1" ht="18" customHeight="1" x14ac:dyDescent="0.35">
      <c r="A31" s="86" t="s">
        <v>87</v>
      </c>
      <c r="B31" s="87"/>
      <c r="C31" s="29"/>
      <c r="D31" s="29"/>
      <c r="E31" s="29"/>
      <c r="F31" s="29"/>
      <c r="G31" s="29"/>
      <c r="H31" s="29"/>
      <c r="I31" s="92"/>
      <c r="J31" s="54"/>
      <c r="K31" s="86" t="s">
        <v>86</v>
      </c>
      <c r="L31" s="87"/>
      <c r="M31" s="29"/>
      <c r="N31" s="29"/>
      <c r="O31" s="29"/>
      <c r="P31" s="29"/>
      <c r="Q31" s="29"/>
      <c r="R31" s="29"/>
      <c r="S31" s="35"/>
      <c r="T31" s="55"/>
      <c r="U31" s="86" t="s">
        <v>86</v>
      </c>
      <c r="V31" s="87"/>
      <c r="W31" s="29"/>
      <c r="X31" s="29"/>
      <c r="Y31" s="29"/>
      <c r="Z31" s="29"/>
      <c r="AA31" s="29"/>
      <c r="AB31" s="29"/>
      <c r="AC31" s="35"/>
      <c r="AD31" s="55"/>
      <c r="AE31" s="86" t="s">
        <v>86</v>
      </c>
      <c r="AF31" s="87"/>
      <c r="AG31" s="29"/>
      <c r="AH31" s="29"/>
      <c r="AI31" s="29"/>
      <c r="AJ31" s="29"/>
      <c r="AK31" s="29"/>
      <c r="AL31" s="29"/>
      <c r="AM31" s="35"/>
      <c r="AN31" s="55"/>
    </row>
    <row r="33" spans="1:14" ht="18" customHeight="1" x14ac:dyDescent="0.35">
      <c r="A33" s="134" t="s">
        <v>46</v>
      </c>
      <c r="B33" s="135">
        <v>1190.4760000000001</v>
      </c>
      <c r="C33" s="19"/>
      <c r="D33" s="19"/>
      <c r="E33" s="19"/>
      <c r="F33" s="19"/>
      <c r="G33" s="19"/>
      <c r="N33" s="3"/>
    </row>
    <row r="34" spans="1:14" ht="18" customHeight="1" x14ac:dyDescent="0.35">
      <c r="B34" s="19"/>
      <c r="C34" s="19"/>
      <c r="H34" s="3"/>
    </row>
    <row r="35" spans="1:14" ht="18" customHeight="1" x14ac:dyDescent="0.35">
      <c r="B35" s="19"/>
      <c r="C35" s="19"/>
      <c r="H35" s="3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목표</vt:lpstr>
      <vt:lpstr>종합현황판</vt:lpstr>
      <vt:lpstr>bottom-up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fast</cp:lastModifiedBy>
  <cp:lastPrinted>2020-12-08T08:09:56Z</cp:lastPrinted>
  <dcterms:created xsi:type="dcterms:W3CDTF">2019-09-30T02:17:01Z</dcterms:created>
  <dcterms:modified xsi:type="dcterms:W3CDTF">2021-01-10T08:03:47Z</dcterms:modified>
</cp:coreProperties>
</file>