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kookkim/Downloads/"/>
    </mc:Choice>
  </mc:AlternateContent>
  <xr:revisionPtr revIDLastSave="0" documentId="8_{706CF383-750C-5F46-848A-2543348B6285}" xr6:coauthVersionLast="47" xr6:coauthVersionMax="47" xr10:uidLastSave="{00000000-0000-0000-0000-000000000000}"/>
  <bookViews>
    <workbookView xWindow="1360" yWindow="1380" windowWidth="27900" windowHeight="16880" xr2:uid="{399AC650-44C7-794C-8194-98927900F075}"/>
  </bookViews>
  <sheets>
    <sheet name="LG" sheetId="1" r:id="rId1"/>
  </sheets>
  <externalReferences>
    <externalReference r:id="rId2"/>
  </externalReferences>
  <definedNames>
    <definedName name="MinSalary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2" i="1" l="1"/>
  <c r="BQ2" i="1"/>
  <c r="BP2" i="1"/>
  <c r="BO2" i="1"/>
  <c r="BF2" i="1"/>
  <c r="BB2" i="1"/>
  <c r="BE2" i="1" s="1"/>
  <c r="AZ2" i="1"/>
  <c r="BC2" i="1" s="1"/>
  <c r="AY2" i="1"/>
  <c r="AW2" i="1"/>
  <c r="AT2" i="1"/>
  <c r="BW2" i="1" s="1"/>
  <c r="AS2" i="1"/>
  <c r="Q2" i="1"/>
  <c r="AX2" i="1" s="1"/>
  <c r="K2" i="1"/>
  <c r="BA2" i="1" l="1"/>
  <c r="BJ2" i="1"/>
  <c r="BU2" i="1"/>
  <c r="BI2" i="1"/>
  <c r="BM2" i="1"/>
  <c r="BN2" i="1"/>
  <c r="BS2" i="1"/>
  <c r="BK2" i="1"/>
  <c r="BH2" i="1" s="1"/>
  <c r="BD2" i="1"/>
  <c r="AV2" i="1"/>
  <c r="AU2" i="1" l="1"/>
  <c r="BG2" i="1" s="1"/>
  <c r="BL2" i="1"/>
  <c r="BR2" i="1" s="1"/>
  <c r="BV2" i="1"/>
  <c r="CC2" i="1" s="1"/>
  <c r="BY2" i="1"/>
  <c r="BZ2" i="1"/>
  <c r="BX2" i="1" s="1"/>
  <c r="CD2" i="1" s="1"/>
  <c r="CB2" i="1" l="1"/>
  <c r="CA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S1" authorId="0" shapeId="0" xr:uid="{6D0C5B23-5572-1C44-BC83-A04366D943CC}">
      <text>
        <r>
          <rPr>
            <sz val="11"/>
            <color theme="1"/>
            <rFont val="맑은 고딕"/>
            <family val="2"/>
            <scheme val="minor"/>
          </rPr>
          <t>양준수:
리그 총 득점 / 리그 총 슛 시도수</t>
        </r>
      </text>
    </comment>
    <comment ref="AT1" authorId="0" shapeId="0" xr:uid="{5EA1EACA-20C9-354A-8819-6AB6292DF92A}">
      <text>
        <r>
          <rPr>
            <sz val="11"/>
            <color theme="1"/>
            <rFont val="맑은 고딕"/>
            <family val="2"/>
            <scheme val="minor"/>
          </rPr>
          <t>양준수:
리그 총 득점 / 리그 총 경기수</t>
        </r>
      </text>
    </comment>
  </commentList>
</comments>
</file>

<file path=xl/sharedStrings.xml><?xml version="1.0" encoding="utf-8"?>
<sst xmlns="http://schemas.openxmlformats.org/spreadsheetml/2006/main" count="82" uniqueCount="82">
  <si>
    <t>G</t>
  </si>
  <si>
    <t>MP</t>
  </si>
  <si>
    <t>FG</t>
  </si>
  <si>
    <t>FGA</t>
  </si>
  <si>
    <t>3P</t>
  </si>
  <si>
    <t>3PA</t>
  </si>
  <si>
    <t>FT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</si>
  <si>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</si>
  <si>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</si>
  <si>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</si>
  <si>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</si>
  <si>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</si>
  <si>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</si>
  <si>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</si>
  <si>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</si>
  <si>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</si>
  <si>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</si>
  <si>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Team_MP</t>
  </si>
  <si>
    <t>Team_FG</t>
  </si>
  <si>
    <t>Team_FGA</t>
  </si>
  <si>
    <t>Team_3P</t>
  </si>
  <si>
    <t>Team_3PA</t>
  </si>
  <si>
    <t>Team_FT</t>
  </si>
  <si>
    <t>Team_FTA</t>
  </si>
  <si>
    <t>Team_ORB</t>
  </si>
  <si>
    <t>Team_DRB</t>
  </si>
  <si>
    <t>Team_TRB</t>
  </si>
  <si>
    <t>Team_AST</t>
  </si>
  <si>
    <t>Team_STl</t>
  </si>
  <si>
    <t>Team_BLK</t>
  </si>
  <si>
    <t>Team_TOV</t>
  </si>
  <si>
    <t>Team_PF</t>
  </si>
  <si>
    <t>Team_PTS</t>
  </si>
  <si>
    <t>Team_Pace</t>
  </si>
  <si>
    <t>Opp_FG</t>
  </si>
  <si>
    <t>Opp_FGA</t>
  </si>
  <si>
    <t>Opp_FT</t>
  </si>
  <si>
    <t>Opp_FTA</t>
  </si>
  <si>
    <t>Opp_ORB</t>
  </si>
  <si>
    <t>Opp_DRB</t>
  </si>
  <si>
    <t>Opp_TRB</t>
  </si>
  <si>
    <t>Opp_TOV</t>
  </si>
  <si>
    <t>Opp_PTS</t>
  </si>
  <si>
    <t>Lg_Pace</t>
  </si>
  <si>
    <t>Lg_PPS</t>
  </si>
  <si>
    <t>Lg_PPG</t>
  </si>
  <si>
    <t>ScPoss</t>
  </si>
  <si>
    <t>FG_Part</t>
  </si>
  <si>
    <t>qAST</t>
  </si>
  <si>
    <t>AST_Part</t>
  </si>
  <si>
    <t>FT_Part</t>
  </si>
  <si>
    <t>Team_ScP</t>
  </si>
  <si>
    <t>Team_ORBw</t>
  </si>
  <si>
    <t>Team_ORB%</t>
  </si>
  <si>
    <t>Team_Play%</t>
  </si>
  <si>
    <t>ORB_Part</t>
  </si>
  <si>
    <t>FGxPoss</t>
  </si>
  <si>
    <t>FTxPoss</t>
  </si>
  <si>
    <t>TotPoss</t>
  </si>
  <si>
    <t>PProd</t>
  </si>
  <si>
    <t>PProd_FGP</t>
  </si>
  <si>
    <t>PProd_ASTP</t>
  </si>
  <si>
    <t>PProd_ORBP</t>
  </si>
  <si>
    <t>Stops</t>
  </si>
  <si>
    <t>Stops1</t>
  </si>
  <si>
    <t>Stops2</t>
  </si>
  <si>
    <t>FMwt</t>
  </si>
  <si>
    <t>DOR%</t>
  </si>
  <si>
    <t>DFG%</t>
  </si>
  <si>
    <t>Stop%</t>
  </si>
  <si>
    <t>Team_DR</t>
  </si>
  <si>
    <t>D_PpScP</t>
  </si>
  <si>
    <t>Team_Pos</t>
  </si>
  <si>
    <t>Mar_OFF</t>
  </si>
  <si>
    <t>Mar_PPW</t>
  </si>
  <si>
    <t>Mar_DEF</t>
  </si>
  <si>
    <t>Ortg</t>
  </si>
  <si>
    <t>DRtg</t>
  </si>
  <si>
    <t>WS/48</t>
  </si>
  <si>
    <t>WS</t>
  </si>
  <si>
    <t>OWS</t>
  </si>
  <si>
    <t>DWS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</si>
</sst>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_ "/>
    <numFmt numFmtId="177" formatCode="#,##0.000_ "/>
    <numFmt numFmtId="178" formatCode="0.0_);[Red]\(0.0\)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LG스마트체 Regular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LG스마트체 Regular"/>
      <charset val="129"/>
    </font>
    <font>
      <sz val="10"/>
      <color rgb="FF444444"/>
      <name val="LG스마트체 Regular"/>
      <charset val="129"/>
    </font>
    <font>
      <sz val="11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ongkookkim/Downloads/Win_Share.xlsx" TargetMode="External"/><Relationship Id="rId1" Type="http://schemas.openxmlformats.org/officeDocument/2006/relationships/externalLinkPath" Target="Win_Sh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수식 정리"/>
      <sheetName val="시트3"/>
      <sheetName val="LG"/>
      <sheetName val="SK"/>
      <sheetName val="시트4"/>
      <sheetName val="모비스"/>
      <sheetName val="KT"/>
      <sheetName val="가스공사"/>
      <sheetName val="DB"/>
      <sheetName val="정관장"/>
      <sheetName val="KCC"/>
      <sheetName val="소노"/>
      <sheetName val="삼성"/>
      <sheetName val="Factors"/>
      <sheetName val="Playoff_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3E30-6BC8-2E44-9138-81EAC9385518}">
  <sheetPr>
    <pageSetUpPr fitToPage="1"/>
  </sheetPr>
  <dimension ref="A1:CT2"/>
  <sheetViews>
    <sheetView tabSelected="1" workbookViewId="0">
      <selection activeCell="D14" sqref="D14"/>
    </sheetView>
  </sheetViews>
  <sheetFormatPr baseColWidth="10" defaultColWidth="14.5" defaultRowHeight="15" customHeight="1"/>
  <cols>
    <col min="1" max="52" width="11.5" style="4" customWidth="1"/>
    <col min="53" max="53" width="16.33203125" style="4" customWidth="1"/>
    <col min="54" max="54" width="22.83203125" style="4" customWidth="1"/>
    <col min="55" max="82" width="11.5" style="4" customWidth="1"/>
    <col min="83" max="98" width="43" style="4" customWidth="1"/>
    <col min="99" max="16384" width="14.5" style="4"/>
  </cols>
  <sheetData>
    <row r="1" spans="1:98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7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0" t="s">
        <v>76</v>
      </c>
      <c r="BZ1" s="10" t="s">
        <v>77</v>
      </c>
      <c r="CA1" s="10" t="s">
        <v>78</v>
      </c>
      <c r="CB1" s="11" t="s">
        <v>79</v>
      </c>
      <c r="CC1" s="10" t="s">
        <v>80</v>
      </c>
      <c r="CD1" s="10" t="s">
        <v>81</v>
      </c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ht="14.25" customHeight="1">
      <c r="A2" s="12">
        <v>4</v>
      </c>
      <c r="B2" s="6">
        <v>102</v>
      </c>
      <c r="C2" s="12">
        <v>23</v>
      </c>
      <c r="D2" s="12">
        <v>35</v>
      </c>
      <c r="E2" s="12">
        <v>0</v>
      </c>
      <c r="F2" s="12">
        <v>0</v>
      </c>
      <c r="G2" s="12">
        <v>10</v>
      </c>
      <c r="H2" s="12">
        <v>17</v>
      </c>
      <c r="I2" s="12">
        <v>11</v>
      </c>
      <c r="J2" s="12">
        <v>45</v>
      </c>
      <c r="K2" s="1">
        <f t="shared" ref="K2" si="0">I2+J2</f>
        <v>56</v>
      </c>
      <c r="L2" s="12">
        <v>14</v>
      </c>
      <c r="M2" s="12">
        <v>3</v>
      </c>
      <c r="N2" s="12">
        <v>2</v>
      </c>
      <c r="O2" s="12">
        <v>7</v>
      </c>
      <c r="P2" s="12">
        <v>13</v>
      </c>
      <c r="Q2" s="13">
        <f t="shared" ref="Q2" si="1">C2*2+G2+E2</f>
        <v>56</v>
      </c>
      <c r="R2" s="5">
        <v>1000</v>
      </c>
      <c r="S2" s="5">
        <v>138</v>
      </c>
      <c r="T2" s="5">
        <v>342</v>
      </c>
      <c r="U2" s="5">
        <v>45</v>
      </c>
      <c r="V2" s="5">
        <v>144</v>
      </c>
      <c r="W2" s="5">
        <v>39</v>
      </c>
      <c r="X2" s="5">
        <v>55</v>
      </c>
      <c r="Y2" s="5">
        <v>51</v>
      </c>
      <c r="Z2" s="5">
        <v>132</v>
      </c>
      <c r="AA2" s="5">
        <v>183</v>
      </c>
      <c r="AB2" s="5">
        <v>95</v>
      </c>
      <c r="AC2" s="5">
        <v>37</v>
      </c>
      <c r="AD2" s="5">
        <v>8</v>
      </c>
      <c r="AE2" s="5">
        <v>41</v>
      </c>
      <c r="AF2" s="5">
        <v>99</v>
      </c>
      <c r="AG2" s="5">
        <v>360</v>
      </c>
      <c r="AH2" s="6">
        <v>71.099999999999994</v>
      </c>
      <c r="AI2" s="5">
        <v>127</v>
      </c>
      <c r="AJ2" s="5">
        <v>322</v>
      </c>
      <c r="AK2" s="5">
        <v>44</v>
      </c>
      <c r="AL2" s="5">
        <v>73</v>
      </c>
      <c r="AM2" s="5">
        <v>57</v>
      </c>
      <c r="AN2" s="5">
        <v>134</v>
      </c>
      <c r="AO2" s="5">
        <v>191</v>
      </c>
      <c r="AP2" s="5">
        <v>59</v>
      </c>
      <c r="AQ2" s="5">
        <v>335</v>
      </c>
      <c r="AR2" s="6">
        <v>72</v>
      </c>
      <c r="AS2" s="6">
        <f t="shared" ref="AS2" si="2">34605/30635</f>
        <v>1.1295903378488656</v>
      </c>
      <c r="AT2" s="6">
        <f t="shared" ref="AT2" si="3">34605/450</f>
        <v>76.900000000000006</v>
      </c>
      <c r="AU2" s="1">
        <f t="shared" ref="AU2" si="4">(AV2+AX2+AY2)*(1-(Y2/AZ2)*BA2*BC2)+BD2</f>
        <v>27.111004853057612</v>
      </c>
      <c r="AV2" s="1">
        <f t="shared" ref="AV2" si="5">C2*(1-0.5*((Q2-G2)/2/D2*AW2))</f>
        <v>17.728624257975035</v>
      </c>
      <c r="AW2" s="1">
        <f t="shared" ref="AW2" si="6">(B2/R2*5*1.14*(AB2-L2)/S2)+((AB2/R2*B2*5)-L2)/((S2/R2*B2*5)-C2)*(1-(B2/(R2/5)))</f>
        <v>0.69753554242296323</v>
      </c>
      <c r="AX2" s="1">
        <f t="shared" ref="AX2" si="7">0.5*(AG2-W2-Q2+G2)*L2/2/(T2-D2)</f>
        <v>3.1351791530944624</v>
      </c>
      <c r="AY2" s="1">
        <f t="shared" ref="AY2" si="8">IF(H2=0,0, (1-(1-G2/H2)^2)*0.4*H2)</f>
        <v>5.6470588235294121</v>
      </c>
      <c r="AZ2" s="1">
        <f t="shared" ref="AZ2" si="9">S2+(1-(1-W2/X2)^2)*0.4*X2</f>
        <v>158.13818181818181</v>
      </c>
      <c r="BA2" s="1">
        <f t="shared" ref="BA2" si="10">(1-BB2)*BC2/((1-BB2)*BC2+BB2*(1-BC2))</f>
        <v>0.62730083192773356</v>
      </c>
      <c r="BB2" s="1">
        <f t="shared" ref="BB2" si="11">Y2/(Y2+AN2)</f>
        <v>0.27567567567567569</v>
      </c>
      <c r="BC2" s="1">
        <f t="shared" ref="BC2" si="12">AZ2/(AE2+T2+0.4*X2)</f>
        <v>0.39046464646464646</v>
      </c>
      <c r="BD2" s="1">
        <f t="shared" ref="BD2" si="13">BA2*BC2*I2</f>
        <v>2.6943267732220519</v>
      </c>
      <c r="BE2" s="1">
        <f t="shared" ref="BE2" si="14">(1-1.07*BB2)*(D2-C2)</f>
        <v>8.4603243243243238</v>
      </c>
      <c r="BF2" s="1">
        <f t="shared" ref="BF2" si="15">IF(H2=0, 0, (1-G2/H2)^2*0.4*H2)</f>
        <v>1.1529411764705881</v>
      </c>
      <c r="BG2" s="1">
        <f t="shared" ref="BG2" si="16">AU2+BE2+BF2+O2</f>
        <v>43.724270353852525</v>
      </c>
      <c r="BH2" s="1">
        <f t="shared" ref="BH2" si="17">(BI2+BJ2+G2)*(1-(Y2/AZ2)*BA2*BC2)+BK2</f>
        <v>54.904972803810836</v>
      </c>
      <c r="BI2" s="1">
        <f t="shared" ref="BI2" si="18">2*(C2+0.5*E2)*(1-0.5*(Q2-G2)/(2*D2)*AW2)</f>
        <v>35.45724851595007</v>
      </c>
      <c r="BJ2" s="1">
        <f t="shared" ref="BJ2" si="19">2*((S2-C2+0.5*(U2-E2))/(S2-C2))*0.5*((AG2-W2-Q2+G2)/(2*(T2-D2)))*L2</f>
        <v>7.4971675400084967</v>
      </c>
      <c r="BK2" s="1">
        <f t="shared" ref="BK2" si="20">BA2*BC2*I2*(AG2/(S2+(1-(1-W2/X2)^2)*0.4*X2))</f>
        <v>6.1336081344045059</v>
      </c>
      <c r="BL2" s="1">
        <f t="shared" ref="BL2" si="21">BM2+BN2</f>
        <v>32.372853575839954</v>
      </c>
      <c r="BM2" s="1">
        <f t="shared" ref="BM2" si="22">M2+N2*BO2*(1-1.07*BP2)+(1-BO2)*J2</f>
        <v>21.755463525199886</v>
      </c>
      <c r="BN2" s="1">
        <f t="shared" ref="BN2" si="23">(((AJ2-AI2-AD2)/R2)*BO2*(1-1.07*BP2)+((AP2-AC2)/R2))*B2+P2/AF2*0.4*AL2*((1-AK2/AL2)^2)</f>
        <v>10.617390050640068</v>
      </c>
      <c r="BO2" s="1">
        <f t="shared" ref="BO2" si="24">BQ2*(1-BP2)/(BQ2*(1-BP2)+BP2*(1-BQ2))</f>
        <v>0.60131281609813836</v>
      </c>
      <c r="BP2" s="1">
        <f t="shared" ref="BP2" si="25">AM2/(AM2+Z2)</f>
        <v>0.30158730158730157</v>
      </c>
      <c r="BQ2" s="1">
        <f t="shared" ref="BQ2" si="26">AI2/AJ2</f>
        <v>0.39440993788819878</v>
      </c>
      <c r="BR2" s="1">
        <f t="shared" ref="BR2" si="27">BL2*R2/B2/BU2</f>
        <v>0.91715424895186648</v>
      </c>
      <c r="BS2" s="1">
        <f t="shared" ref="BS2" si="28">100*AQ2/BU2</f>
        <v>96.806914513318873</v>
      </c>
      <c r="BT2" s="1">
        <f t="shared" ref="BT2" si="29">AQ2/(AI2+(1-(1-AK2/AL2)^2)*0.4*AL2)</f>
        <v>2.209882344436211</v>
      </c>
      <c r="BU2" s="1">
        <f t="shared" ref="BU2" si="30">0.5*((T2+0.4*X2-1.07*BB2*(T2-S2)+AE2)+(AJ2+0.4*AL2-1.07*BP2*(AJ2-AI2)+AP2))</f>
        <v>346.04966151866154</v>
      </c>
      <c r="BV2" s="1">
        <f t="shared" ref="BV2" si="31">BH2-0.92*BG2*AS2</f>
        <v>9.4657005483036869</v>
      </c>
      <c r="BW2" s="1">
        <f t="shared" ref="BW2" si="32">0.32*AT2*AH2/AR2</f>
        <v>24.300400000000003</v>
      </c>
      <c r="BX2" s="1">
        <f t="shared" ref="BX2" si="33">B2/R2*BU2*(1.08*AS2-BZ2/100)</f>
        <v>14.432489194633177</v>
      </c>
      <c r="BY2" s="3">
        <f t="shared" ref="BY2" si="34">BH2/BG2*100</f>
        <v>125.57092973644828</v>
      </c>
      <c r="BZ2" s="3">
        <f t="shared" ref="BZ2" si="35">BS2+0.2*(100*BT2*(1-BR2)-BS2)</f>
        <v>81.107118861711655</v>
      </c>
      <c r="CA2" s="3">
        <f t="shared" ref="CA2" si="36">CB2/B2*48</f>
        <v>0.46279925177579956</v>
      </c>
      <c r="CB2" s="3">
        <f t="shared" ref="CB2" si="37">CC2+CD2</f>
        <v>0.98344841002357408</v>
      </c>
      <c r="CC2" s="3">
        <f t="shared" ref="CC2" si="38">BV2/BW2</f>
        <v>0.38952858999455503</v>
      </c>
      <c r="CD2" s="3">
        <f t="shared" ref="CD2" si="39">BX2/BW2</f>
        <v>0.59391982002901911</v>
      </c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</sheetData>
  <phoneticPr fontId="2" type="noConversion"/>
  <pageMargins left="0.7" right="0.7" top="0.75" bottom="0.75" header="0" footer="0"/>
  <pageSetup paperSize="9" fitToWidth="0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Yongkook Kim</dc:creator>
  <cp:lastModifiedBy>Yongkook Kim</cp:lastModifiedBy>
  <dcterms:created xsi:type="dcterms:W3CDTF">2025-04-21T12:29:11Z</dcterms:created>
  <dcterms:modified xsi:type="dcterms:W3CDTF">2025-04-21T12:30:00Z</dcterms:modified>
</cp:coreProperties>
</file>