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  <sheet state="visible" name="1er Trimestre" sheetId="2" r:id="rId5"/>
    <sheet state="visible" name="2do Trimestre" sheetId="3" r:id="rId6"/>
    <sheet state="visible" name="3er Trimestre" sheetId="4" r:id="rId7"/>
    <sheet state="visible" name="Lengua y Literatura" sheetId="5" r:id="rId8"/>
    <sheet state="visible" name="Lengua Extranjera" sheetId="6" r:id="rId9"/>
    <sheet state="visible" name="Geografía" sheetId="7" r:id="rId10"/>
    <sheet state="visible" name="Historia I" sheetId="8" r:id="rId11"/>
    <sheet state="visible" name="Formación Ética y Ciudadana" sheetId="9" r:id="rId12"/>
    <sheet state="visible" name="Educación Física" sheetId="10" r:id="rId13"/>
    <sheet state="visible" name="Matemáticas" sheetId="11" r:id="rId14"/>
    <sheet state="visible" name="Biología" sheetId="12" r:id="rId15"/>
    <sheet state="visible" name="Dibujo Técnico" sheetId="13" r:id="rId16"/>
    <sheet state="visible" name="Tecnología" sheetId="14" r:id="rId17"/>
    <sheet state="visible" name="Electricidad" sheetId="15" r:id="rId18"/>
    <sheet state="visible" name="Carpintería" sheetId="16" r:id="rId19"/>
    <sheet state="visible" name="Hojalatería" sheetId="17" r:id="rId20"/>
    <sheet state="visible" name="Ajuste Mecánico" sheetId="18" r:id="rId21"/>
    <sheet state="visible" name="Informática" sheetId="19" r:id="rId22"/>
    <sheet state="visible" name="Construcciones" sheetId="20" r:id="rId23"/>
  </sheets>
  <definedNames/>
  <calcPr/>
</workbook>
</file>

<file path=xl/sharedStrings.xml><?xml version="1.0" encoding="utf-8"?>
<sst xmlns="http://schemas.openxmlformats.org/spreadsheetml/2006/main" count="515" uniqueCount="70">
  <si>
    <t>Nombre del Preceptor/a</t>
  </si>
  <si>
    <t>José</t>
  </si>
  <si>
    <t>N°</t>
  </si>
  <si>
    <t>APELLIDO Y NOMBRE</t>
  </si>
  <si>
    <t>Juan Rodríguez</t>
  </si>
  <si>
    <t>María González</t>
  </si>
  <si>
    <t>Carlos López</t>
  </si>
  <si>
    <t>Ana Martínez</t>
  </si>
  <si>
    <t>Javier Pérez</t>
  </si>
  <si>
    <t>Laura Sánchez</t>
  </si>
  <si>
    <t>Alejandro Ramírez</t>
  </si>
  <si>
    <t>Isabel Torres</t>
  </si>
  <si>
    <t>Miguel Díaz</t>
  </si>
  <si>
    <t>Patricia Ruiz</t>
  </si>
  <si>
    <t>Alberto Fernández</t>
  </si>
  <si>
    <t>Paula García</t>
  </si>
  <si>
    <t>Francisco Morales</t>
  </si>
  <si>
    <t>Beatriz Jiménez</t>
  </si>
  <si>
    <t>Raúl Vargas</t>
  </si>
  <si>
    <t>Claudia Castro</t>
  </si>
  <si>
    <t>Sergio Herrera</t>
  </si>
  <si>
    <t>Valeria Ortega</t>
  </si>
  <si>
    <t>Ricardo Mendoza</t>
  </si>
  <si>
    <t>Lorena Medina</t>
  </si>
  <si>
    <t>Andrés Cruz</t>
  </si>
  <si>
    <t>Gabriela Reyes</t>
  </si>
  <si>
    <t>Daniel Núñez</t>
  </si>
  <si>
    <t>Adriana Herrera</t>
  </si>
  <si>
    <t>Guillermo Silva</t>
  </si>
  <si>
    <t>-</t>
  </si>
  <si>
    <t>Sebastián Ríos</t>
  </si>
  <si>
    <t>Natalia Herrera</t>
  </si>
  <si>
    <t>Martín Castillo</t>
  </si>
  <si>
    <t>Carolina Flores</t>
  </si>
  <si>
    <t>Diego Bravo</t>
  </si>
  <si>
    <t>Antonia Salazar</t>
  </si>
  <si>
    <t>Ignacio Gómez</t>
  </si>
  <si>
    <t>Materias</t>
  </si>
  <si>
    <t>Primer Trimestre</t>
  </si>
  <si>
    <t>Lengua y Literatura</t>
  </si>
  <si>
    <t>Lengua Extranjera</t>
  </si>
  <si>
    <t>Geografía</t>
  </si>
  <si>
    <t>Historia I</t>
  </si>
  <si>
    <t>Formación Ética y Ciudadana</t>
  </si>
  <si>
    <t>Educación Física</t>
  </si>
  <si>
    <t>Matemáticas</t>
  </si>
  <si>
    <t>Biología</t>
  </si>
  <si>
    <t>Dibujo Técnico</t>
  </si>
  <si>
    <t>Tecnología</t>
  </si>
  <si>
    <t>Electricidad</t>
  </si>
  <si>
    <t>Carpintería</t>
  </si>
  <si>
    <t>Hojalatería</t>
  </si>
  <si>
    <t>Ajuste Mecánico</t>
  </si>
  <si>
    <t>Informática</t>
  </si>
  <si>
    <t>Construcciones</t>
  </si>
  <si>
    <t>Camila Espinoza</t>
  </si>
  <si>
    <t>PROVINCIA DE MISIONES CONSEJO GENERAL DE EDUCACIÓN</t>
  </si>
  <si>
    <t>ESCUELA DE EDUCACIÓN TÉCNICA N°21</t>
  </si>
  <si>
    <t>PLANILLA DE CALIFICACIONES ESCUELA SECUNDARIA</t>
  </si>
  <si>
    <t>CURSO: 1ª B</t>
  </si>
  <si>
    <t>ESP.CURRIC.:  …………………………………………………………..</t>
  </si>
  <si>
    <t>PRECEPTOR:</t>
  </si>
  <si>
    <t>CALIFIC. PRIMER TRIM.</t>
  </si>
  <si>
    <t>PROM</t>
  </si>
  <si>
    <t>CALIFIC.SEGUNDO TRIM.</t>
  </si>
  <si>
    <t>CALIFIC. TERCER TRIM.</t>
  </si>
  <si>
    <t>CALIF. DIC.</t>
  </si>
  <si>
    <t>CALIF. MAR.</t>
  </si>
  <si>
    <t>PROM. FINAL</t>
  </si>
  <si>
    <t>TRIM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</si>
</sst>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/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  <scheme val="minor"/>
    </font>
    <font>
      <b/>
      <sz val="12.0"/>
      <color rgb="FF000000"/>
      <name val="Arial"/>
    </font>
    <font>
      <sz val="8.0"/>
      <color theme="1"/>
      <name val="Arial"/>
    </font>
    <font>
      <b/>
      <sz val="8.0"/>
      <color theme="1"/>
      <name val="&quot;Britannic Bold&quot;"/>
    </font>
    <font>
      <b/>
      <sz val="8.0"/>
      <color theme="1"/>
      <name val="Arial"/>
    </font>
    <font>
      <color theme="1"/>
      <name val="Arial"/>
    </font>
    <font>
      <sz val="7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0" fillId="0" fontId="5" numFmtId="0" xfId="0" applyFont="1"/>
    <xf borderId="0" fillId="0" fontId="5" numFmtId="0" xfId="0" applyAlignment="1" applyFont="1">
      <alignment horizontal="center"/>
    </xf>
    <xf borderId="6" fillId="0" fontId="4" numFmtId="0" xfId="0" applyAlignment="1" applyBorder="1" applyFont="1">
      <alignment horizontal="center" readingOrder="0"/>
    </xf>
    <xf borderId="7" fillId="0" fontId="3" numFmtId="0" xfId="0" applyBorder="1" applyFont="1"/>
    <xf borderId="8" fillId="0" fontId="4" numFmtId="0" xfId="0" applyAlignment="1" applyBorder="1" applyFont="1">
      <alignment horizontal="center" readingOrder="0" shrinkToFit="0" vertical="bottom" wrapText="0"/>
    </xf>
    <xf borderId="9" fillId="0" fontId="3" numFmtId="0" xfId="0" applyBorder="1" applyFont="1"/>
    <xf borderId="10" fillId="0" fontId="4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3" fillId="0" fontId="5" numFmtId="0" xfId="0" applyBorder="1" applyFont="1"/>
    <xf borderId="14" fillId="0" fontId="5" numFmtId="0" xfId="0" applyBorder="1" applyFont="1"/>
    <xf borderId="13" fillId="0" fontId="4" numFmtId="0" xfId="0" applyAlignment="1" applyBorder="1" applyFont="1">
      <alignment horizontal="center" readingOrder="0"/>
    </xf>
    <xf borderId="14" fillId="0" fontId="3" numFmtId="0" xfId="0" applyBorder="1" applyFont="1"/>
    <xf borderId="15" fillId="0" fontId="5" numFmtId="0" xfId="0" applyAlignment="1" applyBorder="1" applyFont="1">
      <alignment horizontal="center" readingOrder="0"/>
    </xf>
    <xf borderId="16" fillId="0" fontId="5" numFmtId="0" xfId="0" applyAlignment="1" applyBorder="1" applyFont="1">
      <alignment horizontal="center" readingOrder="0"/>
    </xf>
    <xf borderId="17" fillId="0" fontId="5" numFmtId="0" xfId="0" applyAlignment="1" applyBorder="1" applyFont="1">
      <alignment horizontal="center" readingOrder="0" textRotation="90"/>
    </xf>
    <xf borderId="18" fillId="0" fontId="5" numFmtId="0" xfId="0" applyAlignment="1" applyBorder="1" applyFont="1">
      <alignment horizontal="center" readingOrder="0" textRotation="90"/>
    </xf>
    <xf borderId="19" fillId="0" fontId="5" numFmtId="0" xfId="0" applyAlignment="1" applyBorder="1" applyFont="1">
      <alignment horizontal="center" readingOrder="0" textRotation="90"/>
    </xf>
    <xf borderId="20" fillId="0" fontId="5" numFmtId="0" xfId="0" applyAlignment="1" applyBorder="1" applyFont="1">
      <alignment horizontal="center" readingOrder="0" textRotation="90"/>
    </xf>
    <xf borderId="21" fillId="0" fontId="6" numFmtId="0" xfId="0" applyAlignment="1" applyBorder="1" applyFont="1">
      <alignment readingOrder="0" shrinkToFit="0" vertical="bottom" wrapText="0"/>
    </xf>
    <xf borderId="4" fillId="2" fontId="6" numFmtId="2" xfId="0" applyAlignment="1" applyBorder="1" applyFill="1" applyFont="1" applyNumberFormat="1">
      <alignment horizontal="center"/>
    </xf>
    <xf borderId="22" fillId="2" fontId="6" numFmtId="2" xfId="0" applyAlignment="1" applyBorder="1" applyFont="1" applyNumberFormat="1">
      <alignment horizontal="center"/>
    </xf>
    <xf borderId="16" fillId="0" fontId="5" numFmtId="0" xfId="0" applyAlignment="1" applyBorder="1" applyFont="1">
      <alignment horizontal="center" readingOrder="0" textRotation="90"/>
    </xf>
    <xf borderId="23" fillId="3" fontId="4" numFmtId="0" xfId="0" applyAlignment="1" applyBorder="1" applyFill="1" applyFont="1">
      <alignment horizontal="left" readingOrder="0"/>
    </xf>
    <xf borderId="24" fillId="3" fontId="3" numFmtId="0" xfId="0" applyBorder="1" applyFont="1"/>
    <xf borderId="23" fillId="3" fontId="4" numFmtId="0" xfId="0" applyAlignment="1" applyBorder="1" applyFont="1">
      <alignment readingOrder="0" shrinkToFit="0" wrapText="0"/>
    </xf>
    <xf borderId="25" fillId="3" fontId="3" numFmtId="0" xfId="0" applyBorder="1" applyFont="1"/>
    <xf borderId="0" fillId="3" fontId="7" numFmtId="0" xfId="0" applyFont="1"/>
    <xf borderId="0" fillId="3" fontId="5" numFmtId="0" xfId="0" applyAlignment="1" applyFont="1">
      <alignment shrinkToFit="0" vertical="bottom" wrapText="0"/>
    </xf>
    <xf borderId="26" fillId="2" fontId="3" numFmtId="0" xfId="0" applyBorder="1" applyFont="1"/>
    <xf borderId="27" fillId="2" fontId="3" numFmtId="0" xfId="0" applyBorder="1" applyFont="1"/>
    <xf borderId="28" fillId="2" fontId="3" numFmtId="0" xfId="0" applyBorder="1" applyFont="1"/>
    <xf borderId="21" fillId="2" fontId="3" numFmtId="0" xfId="0" applyBorder="1" applyFont="1"/>
    <xf borderId="5" fillId="2" fontId="3" numFmtId="0" xfId="0" applyBorder="1" applyFont="1"/>
    <xf borderId="0" fillId="2" fontId="7" numFmtId="0" xfId="0" applyFont="1"/>
    <xf borderId="0" fillId="2" fontId="5" numFmtId="0" xfId="0" applyAlignment="1" applyFont="1">
      <alignment shrinkToFit="0" vertical="bottom" wrapText="0"/>
    </xf>
    <xf borderId="28" fillId="4" fontId="3" numFmtId="0" xfId="0" applyBorder="1" applyFill="1" applyFont="1"/>
    <xf borderId="5" fillId="4" fontId="3" numFmtId="0" xfId="0" applyBorder="1" applyFont="1"/>
    <xf borderId="1" fillId="4" fontId="4" numFmtId="0" xfId="0" applyAlignment="1" applyBorder="1" applyFont="1">
      <alignment horizontal="left" readingOrder="0" shrinkToFit="0" vertical="bottom" wrapText="0"/>
    </xf>
    <xf borderId="29" fillId="4" fontId="3" numFmtId="0" xfId="0" applyBorder="1" applyFont="1"/>
    <xf borderId="2" fillId="4" fontId="3" numFmtId="0" xfId="0" applyBorder="1" applyFont="1"/>
    <xf borderId="0" fillId="4" fontId="5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29" fillId="2" fontId="3" numFmtId="0" xfId="0" applyBorder="1" applyFont="1"/>
    <xf borderId="2" fillId="2" fontId="3" numFmtId="0" xfId="0" applyBorder="1" applyFont="1"/>
    <xf borderId="1" fillId="2" fontId="4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22" fillId="4" fontId="4" numFmtId="0" xfId="0" applyAlignment="1" applyBorder="1" applyFont="1">
      <alignment horizontal="left" readingOrder="0" shrinkToFit="0" vertical="bottom" wrapText="0"/>
    </xf>
    <xf borderId="22" fillId="4" fontId="8" numFmtId="0" xfId="0" applyAlignment="1" applyBorder="1" applyFont="1">
      <alignment readingOrder="0" shrinkToFit="0" vertical="bottom" wrapText="0"/>
    </xf>
    <xf borderId="22" fillId="4" fontId="4" numFmtId="0" xfId="0" applyAlignment="1" applyBorder="1" applyFont="1">
      <alignment horizontal="center" readingOrder="0" shrinkToFit="0" vertical="bottom" wrapText="0"/>
    </xf>
    <xf borderId="22" fillId="4" fontId="7" numFmtId="0" xfId="0" applyBorder="1" applyFont="1"/>
    <xf borderId="22" fillId="4" fontId="5" numFmtId="0" xfId="0" applyAlignment="1" applyBorder="1" applyFont="1">
      <alignment shrinkToFit="0" vertical="bottom" wrapText="0"/>
    </xf>
    <xf borderId="3" fillId="2" fontId="5" numFmtId="0" xfId="0" applyAlignment="1" applyBorder="1" applyFont="1">
      <alignment horizontal="center" readingOrder="0"/>
    </xf>
    <xf borderId="23" fillId="2" fontId="5" numFmtId="0" xfId="0" applyAlignment="1" applyBorder="1" applyFont="1">
      <alignment horizontal="center" readingOrder="0"/>
    </xf>
    <xf borderId="25" fillId="2" fontId="3" numFmtId="0" xfId="0" applyBorder="1" applyFont="1"/>
    <xf borderId="24" fillId="2" fontId="3" numFmtId="0" xfId="0" applyBorder="1" applyFont="1"/>
    <xf borderId="3" fillId="2" fontId="4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4" fillId="4" fontId="3" numFmtId="0" xfId="0" applyBorder="1" applyFont="1"/>
    <xf borderId="21" fillId="4" fontId="3" numFmtId="0" xfId="0" applyBorder="1" applyFont="1"/>
    <xf borderId="5" fillId="4" fontId="4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 shrinkToFit="0" vertical="bottom" wrapText="0"/>
    </xf>
    <xf borderId="5" fillId="2" fontId="6" numFmtId="0" xfId="0" applyAlignment="1" applyBorder="1" applyFont="1">
      <alignment readingOrder="0" shrinkToFit="0" vertical="bottom" wrapText="0"/>
    </xf>
    <xf borderId="5" fillId="2" fontId="6" numFmtId="4" xfId="0" applyAlignment="1" applyBorder="1" applyFont="1" applyNumberFormat="1">
      <alignment horizontal="center" readingOrder="0" shrinkToFit="0" vertical="bottom" wrapText="0"/>
    </xf>
    <xf borderId="5" fillId="2" fontId="6" numFmtId="2" xfId="0" applyAlignment="1" applyBorder="1" applyFont="1" applyNumberFormat="1">
      <alignment horizontal="center" shrinkToFit="0" vertical="bottom" wrapText="0"/>
    </xf>
    <xf borderId="22" fillId="2" fontId="8" numFmtId="2" xfId="0" applyAlignment="1" applyBorder="1" applyFont="1" applyNumberFormat="1">
      <alignment horizontal="center" shrinkToFit="0" wrapText="0"/>
    </xf>
    <xf borderId="5" fillId="2" fontId="5" numFmtId="0" xfId="0" applyAlignment="1" applyBorder="1" applyFont="1">
      <alignment horizontal="center" readingOrder="0" shrinkToFit="0" vertical="bottom" wrapText="0"/>
    </xf>
    <xf borderId="5" fillId="2" fontId="4" numFmtId="0" xfId="0" applyAlignment="1" applyBorder="1" applyFont="1">
      <alignment horizontal="center" readingOrder="0" shrinkToFit="0" vertical="bottom" wrapText="0"/>
    </xf>
    <xf borderId="4" fillId="4" fontId="5" numFmtId="0" xfId="0" applyAlignment="1" applyBorder="1" applyFont="1">
      <alignment horizontal="center" readingOrder="0" shrinkToFit="0" vertical="bottom" wrapText="0"/>
    </xf>
    <xf borderId="5" fillId="4" fontId="6" numFmtId="0" xfId="0" applyAlignment="1" applyBorder="1" applyFont="1">
      <alignment readingOrder="0" shrinkToFit="0" vertical="bottom" wrapText="0"/>
    </xf>
    <xf borderId="5" fillId="4" fontId="6" numFmtId="4" xfId="0" applyAlignment="1" applyBorder="1" applyFont="1" applyNumberFormat="1">
      <alignment horizontal="center" readingOrder="0" shrinkToFit="0" vertical="bottom" wrapText="0"/>
    </xf>
    <xf borderId="5" fillId="4" fontId="6" numFmtId="2" xfId="0" applyAlignment="1" applyBorder="1" applyFont="1" applyNumberFormat="1">
      <alignment horizontal="center" shrinkToFit="0" vertical="bottom" wrapText="0"/>
    </xf>
    <xf borderId="22" fillId="4" fontId="8" numFmtId="2" xfId="0" applyAlignment="1" applyBorder="1" applyFont="1" applyNumberFormat="1">
      <alignment horizontal="center" shrinkToFit="0" wrapText="0"/>
    </xf>
    <xf borderId="5" fillId="4" fontId="5" numFmtId="0" xfId="0" applyAlignment="1" applyBorder="1" applyFont="1">
      <alignment horizontal="center" readingOrder="0" shrinkToFit="0" vertical="bottom" wrapText="0"/>
    </xf>
    <xf borderId="5" fillId="4" fontId="4" numFmtId="0" xfId="0" applyAlignment="1" applyBorder="1" applyFont="1">
      <alignment horizontal="center" readingOrder="0" shrinkToFit="0" vertical="bottom" wrapText="0"/>
    </xf>
    <xf borderId="22" fillId="4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0" fontId="9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5" fillId="0" fontId="8" numFmtId="0" xfId="0" applyAlignment="1" applyBorder="1" applyFont="1">
      <alignment readingOrder="0" shrinkToFit="0" vertical="bottom" wrapText="0"/>
    </xf>
    <xf borderId="23" fillId="0" fontId="5" numFmtId="0" xfId="0" applyAlignment="1" applyBorder="1" applyFont="1">
      <alignment horizontal="center" readingOrder="0"/>
    </xf>
    <xf borderId="25" fillId="0" fontId="3" numFmtId="0" xfId="0" applyBorder="1" applyFont="1"/>
    <xf borderId="24" fillId="0" fontId="3" numFmtId="0" xfId="0" applyBorder="1" applyFont="1"/>
    <xf borderId="3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0" fillId="0" fontId="9" numFmtId="0" xfId="0" applyAlignment="1" applyFont="1">
      <alignment vertical="bottom"/>
    </xf>
    <xf borderId="4" fillId="0" fontId="3" numFmtId="0" xfId="0" applyBorder="1" applyFont="1"/>
    <xf borderId="28" fillId="0" fontId="3" numFmtId="0" xfId="0" applyBorder="1" applyFont="1"/>
    <xf borderId="21" fillId="0" fontId="3" numFmtId="0" xfId="0" applyBorder="1" applyFont="1"/>
    <xf borderId="5" fillId="0" fontId="3" numFmtId="0" xfId="0" applyBorder="1" applyFont="1"/>
    <xf borderId="5" fillId="0" fontId="4" numFmtId="0" xfId="0" applyAlignment="1" applyBorder="1" applyFont="1">
      <alignment horizontal="center" readingOrder="0"/>
    </xf>
    <xf borderId="5" fillId="0" fontId="6" numFmtId="4" xfId="0" applyAlignment="1" applyBorder="1" applyFont="1" applyNumberFormat="1">
      <alignment horizontal="center" readingOrder="0" shrinkToFit="0" vertical="bottom" wrapText="0"/>
    </xf>
    <xf borderId="5" fillId="0" fontId="6" numFmtId="2" xfId="0" applyAlignment="1" applyBorder="1" applyFont="1" applyNumberFormat="1">
      <alignment horizontal="center" shrinkToFit="0" vertical="bottom" wrapText="0"/>
    </xf>
    <xf borderId="22" fillId="0" fontId="8" numFmtId="2" xfId="0" applyAlignment="1" applyBorder="1" applyFont="1" applyNumberFormat="1">
      <alignment horizontal="center" shrinkToFit="0" wrapText="0"/>
    </xf>
    <xf borderId="5" fillId="0" fontId="5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0" fillId="0" fontId="12" numFmtId="0" xfId="0" applyAlignment="1" applyFont="1">
      <alignment shrinkToFit="0" vertical="bottom" wrapText="0"/>
    </xf>
    <xf borderId="3" fillId="0" fontId="9" numFmtId="0" xfId="0" applyAlignment="1" applyBorder="1" applyFont="1">
      <alignment horizontal="center" readingOrder="0"/>
    </xf>
    <xf borderId="5" fillId="0" fontId="12" numFmtId="0" xfId="0" applyAlignment="1" applyBorder="1" applyFont="1">
      <alignment horizontal="center" shrinkToFit="0" vertical="bottom" wrapText="0"/>
    </xf>
    <xf borderId="5" fillId="0" fontId="13" numFmtId="0" xfId="0" applyAlignment="1" applyBorder="1" applyFont="1">
      <alignment horizontal="center"/>
    </xf>
    <xf borderId="5" fillId="0" fontId="12" numFmtId="0" xfId="0" applyAlignment="1" applyBorder="1" applyFont="1">
      <alignment shrinkToFit="0" vertical="bottom" wrapText="0"/>
    </xf>
    <xf borderId="0" fillId="0" fontId="7" numFmtId="0" xfId="0" applyFont="1"/>
  </cellXfs>
  <cellStyles count="1">
    <cellStyle xfId="0" name="Normal" builtinId="0"/>
  </cellStyles>
  <dxfs count="11">
    <dxf>
      <font>
        <color rgb="FF000000"/>
      </font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FBBC04"/>
          <bgColor rgb="FFFBBC04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color theme="1"/>
      </font>
      <fill>
        <patternFill patternType="solid">
          <fgColor rgb="FFB7E1CD"/>
          <bgColor rgb="FFB7E1CD"/>
        </patternFill>
      </fill>
      <border/>
    </dxf>
    <dxf>
      <font>
        <color theme="1"/>
      </font>
      <fill>
        <patternFill patternType="solid">
          <fgColor rgb="FFEA4335"/>
          <bgColor rgb="FFEA4335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Geografía-style">
      <tableStyleElement dxfId="8" type="headerRow"/>
      <tableStyleElement dxfId="9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H8:Q41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Geografí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63"/>
    <col customWidth="1" min="2" max="2" width="22.0"/>
    <col customWidth="1" min="3" max="19" width="3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0</v>
      </c>
      <c r="B4" s="3"/>
      <c r="S4" s="1"/>
      <c r="T4" s="1"/>
      <c r="U4" s="1"/>
      <c r="V4" s="1"/>
      <c r="W4" s="1"/>
      <c r="X4" s="1"/>
      <c r="Y4" s="1"/>
      <c r="Z4" s="1"/>
    </row>
    <row r="5">
      <c r="A5" s="4" t="s">
        <v>1</v>
      </c>
      <c r="B5" s="3"/>
      <c r="U5" s="1"/>
      <c r="V5" s="1"/>
      <c r="W5" s="1"/>
      <c r="X5" s="1"/>
      <c r="Y5" s="1"/>
      <c r="Z5" s="1"/>
    </row>
    <row r="6">
      <c r="A6" s="5" t="s">
        <v>2</v>
      </c>
      <c r="B6" s="5" t="s">
        <v>3</v>
      </c>
      <c r="U6" s="1"/>
      <c r="V6" s="1"/>
      <c r="W6" s="1"/>
      <c r="X6" s="1"/>
      <c r="Y6" s="1"/>
      <c r="Z6" s="1"/>
    </row>
    <row r="7">
      <c r="A7" s="6"/>
      <c r="B7" s="6"/>
      <c r="U7" s="1"/>
      <c r="V7" s="1"/>
      <c r="W7" s="1"/>
      <c r="X7" s="1"/>
      <c r="Y7" s="1"/>
      <c r="Z7" s="1"/>
    </row>
    <row r="8">
      <c r="A8" s="7">
        <v>1.0</v>
      </c>
      <c r="B8" s="8" t="s">
        <v>4</v>
      </c>
      <c r="U8" s="1"/>
      <c r="V8" s="1"/>
      <c r="W8" s="1"/>
      <c r="X8" s="1"/>
      <c r="Y8" s="1"/>
      <c r="Z8" s="1"/>
    </row>
    <row r="9">
      <c r="A9" s="7">
        <v>2.0</v>
      </c>
      <c r="B9" s="8" t="s">
        <v>5</v>
      </c>
      <c r="U9" s="1"/>
      <c r="V9" s="1"/>
      <c r="W9" s="1"/>
      <c r="X9" s="1"/>
      <c r="Y9" s="1"/>
      <c r="Z9" s="1"/>
    </row>
    <row r="10">
      <c r="A10" s="7">
        <v>3.0</v>
      </c>
      <c r="B10" s="8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>
        <v>4.0</v>
      </c>
      <c r="B11" s="8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7">
        <v>4.0</v>
      </c>
      <c r="B12" s="8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7">
        <v>6.0</v>
      </c>
      <c r="B13" s="8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">
        <v>7.0</v>
      </c>
      <c r="B14" s="8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>
        <v>8.0</v>
      </c>
      <c r="B15" s="8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7">
        <v>9.0</v>
      </c>
      <c r="B16" s="8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7">
        <v>10.0</v>
      </c>
      <c r="B17" s="8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7">
        <v>11.0</v>
      </c>
      <c r="B18" s="8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7">
        <v>12.0</v>
      </c>
      <c r="B19" s="8" t="s">
        <v>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>
        <v>13.0</v>
      </c>
      <c r="B20" s="8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>
        <v>14.0</v>
      </c>
      <c r="B21" s="8" t="s">
        <v>17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7">
        <v>15.0</v>
      </c>
      <c r="B22" s="8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7">
        <v>16.0</v>
      </c>
      <c r="B23" s="8" t="s">
        <v>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7">
        <v>17.0</v>
      </c>
      <c r="B24" s="8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7">
        <v>18.0</v>
      </c>
      <c r="B25" s="8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>
        <v>19.0</v>
      </c>
      <c r="B26" s="8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>
        <v>20.0</v>
      </c>
      <c r="B27" s="8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7">
        <v>21.0</v>
      </c>
      <c r="B28" s="8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7">
        <v>22.0</v>
      </c>
      <c r="B29" s="8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7">
        <v>23.0</v>
      </c>
      <c r="B30" s="8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7">
        <v>24.0</v>
      </c>
      <c r="B31" s="8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7">
        <v>25.0</v>
      </c>
      <c r="B32" s="8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7">
        <v>26.0</v>
      </c>
      <c r="B33" s="8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7">
        <v>27.0</v>
      </c>
      <c r="B34" s="8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7">
        <v>28.0</v>
      </c>
      <c r="B35" s="8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7">
        <v>29.0</v>
      </c>
      <c r="B36" s="8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7">
        <v>30.0</v>
      </c>
      <c r="B37" s="8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7">
        <v>31.0</v>
      </c>
      <c r="B38" s="8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7">
        <v>32.0</v>
      </c>
      <c r="B39" s="8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7">
        <v>33.0</v>
      </c>
      <c r="B40" s="8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88"/>
    <col customWidth="1" min="2" max="2" width="22.0"/>
    <col customWidth="1" min="3" max="3" width="17.13"/>
    <col customWidth="1" min="4" max="19" width="4.88"/>
  </cols>
  <sheetData>
    <row r="1">
      <c r="A1" s="9"/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0</v>
      </c>
      <c r="B4" s="12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 t="s">
        <v>1</v>
      </c>
      <c r="B5" s="14"/>
      <c r="C5" s="15" t="s">
        <v>37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9"/>
      <c r="T5" s="9"/>
      <c r="U5" s="9"/>
      <c r="V5" s="9"/>
      <c r="W5" s="9"/>
      <c r="X5" s="9"/>
      <c r="Y5" s="9"/>
      <c r="Z5" s="9"/>
    </row>
    <row r="6">
      <c r="A6" s="18"/>
      <c r="B6" s="19"/>
      <c r="C6" s="20" t="s">
        <v>38</v>
      </c>
      <c r="R6" s="21"/>
      <c r="S6" s="9"/>
      <c r="T6" s="9"/>
      <c r="U6" s="9"/>
      <c r="V6" s="9"/>
      <c r="W6" s="9"/>
      <c r="X6" s="9"/>
      <c r="Y6" s="9"/>
      <c r="Z6" s="9"/>
    </row>
    <row r="7">
      <c r="A7" s="22" t="s">
        <v>2</v>
      </c>
      <c r="B7" s="23" t="s">
        <v>3</v>
      </c>
      <c r="C7" s="24" t="s">
        <v>39</v>
      </c>
      <c r="D7" s="25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  <c r="Q7" s="26" t="s">
        <v>53</v>
      </c>
      <c r="R7" s="27" t="s">
        <v>54</v>
      </c>
      <c r="S7" s="9"/>
      <c r="T7" s="9"/>
      <c r="U7" s="9"/>
      <c r="V7" s="9"/>
      <c r="W7" s="9"/>
      <c r="X7" s="9"/>
      <c r="Y7" s="9"/>
      <c r="Z7" s="9"/>
    </row>
    <row r="8">
      <c r="A8" s="7">
        <v>1.0</v>
      </c>
      <c r="B8" s="28" t="s">
        <v>4</v>
      </c>
      <c r="C8" s="29">
        <f t="shared" ref="C8:D8" si="1">INDIRECT("Lengua y Literatura!g8")</f>
        <v>8.25</v>
      </c>
      <c r="D8" s="29">
        <f t="shared" si="1"/>
        <v>8.25</v>
      </c>
      <c r="E8" s="29">
        <f>INDIRECT("Geografía!g8")</f>
        <v>5</v>
      </c>
      <c r="F8" s="29">
        <f>INDIRECT("Historia I!g8")</f>
        <v>5</v>
      </c>
      <c r="G8" s="29">
        <f>INDIRECT("Formación Ética y Ciudadana!g8")</f>
        <v>5</v>
      </c>
      <c r="H8" s="29">
        <f>INDIRECT("Educación Física!g8")</f>
        <v>5</v>
      </c>
      <c r="I8" s="29">
        <f>INDIRECT("Matemáticas!g8")</f>
        <v>5</v>
      </c>
      <c r="J8" s="29">
        <f>INDIRECT("Biología!g8")</f>
        <v>5</v>
      </c>
      <c r="K8" s="29">
        <f>INDIRECT("Dibujo Técnico!g8")</f>
        <v>5</v>
      </c>
      <c r="L8" s="29">
        <f>INDIRECT("Tecnología!g8")</f>
        <v>5</v>
      </c>
      <c r="M8" s="29">
        <f>INDIRECT("Electricidad!g8")</f>
        <v>5</v>
      </c>
      <c r="N8" s="29">
        <f>INDIRECT("Carpintería!g8")</f>
        <v>5</v>
      </c>
      <c r="O8" s="29">
        <f>INDIRECT("Hojalatería!g8")</f>
        <v>5</v>
      </c>
      <c r="P8" s="29">
        <f>INDIRECT("Ajuste Mecánico!g8")</f>
        <v>5</v>
      </c>
      <c r="Q8" s="29">
        <f>INDIRECT("Informática!g8")</f>
        <v>5</v>
      </c>
      <c r="R8" s="29">
        <f>INDIRECT("Construcciones!g8")</f>
        <v>5</v>
      </c>
      <c r="S8" s="9"/>
      <c r="T8" s="9"/>
      <c r="U8" s="9"/>
      <c r="V8" s="9"/>
      <c r="W8" s="9"/>
      <c r="X8" s="9"/>
      <c r="Y8" s="9"/>
      <c r="Z8" s="9"/>
    </row>
    <row r="9">
      <c r="A9" s="7">
        <v>2.0</v>
      </c>
      <c r="B9" s="28" t="s">
        <v>5</v>
      </c>
      <c r="C9" s="30">
        <f t="shared" ref="C9:D9" si="2">INDIRECT("Lengua y Literatura!g9")</f>
        <v>6</v>
      </c>
      <c r="D9" s="30">
        <f t="shared" si="2"/>
        <v>6</v>
      </c>
      <c r="E9" s="30">
        <f>INDIRECT("Geografía!g9")</f>
        <v>6</v>
      </c>
      <c r="F9" s="30">
        <f>INDIRECT("Historia I!g9")</f>
        <v>6</v>
      </c>
      <c r="G9" s="30">
        <f>INDIRECT("Formación Ética y Ciudadana!g9")</f>
        <v>6</v>
      </c>
      <c r="H9" s="30">
        <f>INDIRECT("Educación Física!g9")</f>
        <v>6</v>
      </c>
      <c r="I9" s="30">
        <f>INDIRECT("Matemáticas!g9")</f>
        <v>6</v>
      </c>
      <c r="J9" s="30">
        <f>INDIRECT("Biología!g9")</f>
        <v>6</v>
      </c>
      <c r="K9" s="30">
        <f>INDIRECT("Dibujo Técnico!g9")</f>
        <v>6</v>
      </c>
      <c r="L9" s="30">
        <f>INDIRECT("Tecnología!g9")</f>
        <v>6</v>
      </c>
      <c r="M9" s="30">
        <f>INDIRECT("Electricidad!g9")</f>
        <v>6</v>
      </c>
      <c r="N9" s="30">
        <f>INDIRECT("Carpintería!g9")</f>
        <v>6</v>
      </c>
      <c r="O9" s="30">
        <f>INDIRECT("Hojalatería!g9")</f>
        <v>6</v>
      </c>
      <c r="P9" s="30">
        <f>INDIRECT("Ajuste Mecánico!g9")</f>
        <v>6</v>
      </c>
      <c r="Q9" s="30">
        <f>INDIRECT("Informática!g9")</f>
        <v>6</v>
      </c>
      <c r="R9" s="30">
        <f>INDIRECT("Construcciones!g9")</f>
        <v>6</v>
      </c>
      <c r="S9" s="9"/>
      <c r="T9" s="9"/>
      <c r="U9" s="9"/>
      <c r="V9" s="9"/>
      <c r="W9" s="9"/>
      <c r="X9" s="9"/>
      <c r="Y9" s="9"/>
      <c r="Z9" s="9"/>
    </row>
    <row r="10">
      <c r="A10" s="7">
        <v>3.0</v>
      </c>
      <c r="B10" s="28" t="s">
        <v>6</v>
      </c>
      <c r="C10" s="30">
        <f t="shared" ref="C10:D10" si="3">INDIRECT("Lengua y Literatura!g10")</f>
        <v>6.75</v>
      </c>
      <c r="D10" s="30">
        <f t="shared" si="3"/>
        <v>6.75</v>
      </c>
      <c r="E10" s="30">
        <f>INDIRECT("Geografía!g10")</f>
        <v>6</v>
      </c>
      <c r="F10" s="30">
        <f>INDIRECT("Historia I!g10")</f>
        <v>6</v>
      </c>
      <c r="G10" s="30">
        <f>INDIRECT("Formación Ética y Ciudadana!g10")</f>
        <v>6</v>
      </c>
      <c r="H10" s="30">
        <f>INDIRECT("Educación Física!g10")</f>
        <v>6</v>
      </c>
      <c r="I10" s="30">
        <f>INDIRECT("Matemáticas!g10")</f>
        <v>6</v>
      </c>
      <c r="J10" s="30">
        <f>INDIRECT("Biología!g10")</f>
        <v>6</v>
      </c>
      <c r="K10" s="30">
        <f>INDIRECT("Dibujo Técnico!g10")</f>
        <v>6</v>
      </c>
      <c r="L10" s="30">
        <f>INDIRECT("Tecnología!g10")</f>
        <v>6</v>
      </c>
      <c r="M10" s="30">
        <f>INDIRECT("Electricidad!g10")</f>
        <v>6</v>
      </c>
      <c r="N10" s="30">
        <f>INDIRECT("Carpintería!g10")</f>
        <v>6</v>
      </c>
      <c r="O10" s="30">
        <f>INDIRECT("Hojalatería!g10")</f>
        <v>6</v>
      </c>
      <c r="P10" s="30">
        <f>INDIRECT("Ajuste Mecánico!g10")</f>
        <v>6</v>
      </c>
      <c r="Q10" s="30">
        <f>INDIRECT("Informática!g10")</f>
        <v>6</v>
      </c>
      <c r="R10" s="30">
        <f>INDIRECT("Construcciones!g10")</f>
        <v>6</v>
      </c>
      <c r="S10" s="9"/>
      <c r="T10" s="9"/>
      <c r="U10" s="9"/>
      <c r="V10" s="9"/>
      <c r="W10" s="9"/>
      <c r="X10" s="9"/>
      <c r="Y10" s="9"/>
      <c r="Z10" s="9"/>
    </row>
    <row r="11">
      <c r="A11" s="7">
        <v>4.0</v>
      </c>
      <c r="B11" s="28" t="s">
        <v>7</v>
      </c>
      <c r="C11" s="30">
        <f t="shared" ref="C11:D11" si="4">INDIRECT("Lengua y Literatura!g11")</f>
        <v>6</v>
      </c>
      <c r="D11" s="30">
        <f t="shared" si="4"/>
        <v>6</v>
      </c>
      <c r="E11" s="30">
        <f>INDIRECT("Geografía!g11")</f>
        <v>6</v>
      </c>
      <c r="F11" s="30">
        <f>INDIRECT("Historia I!g11")</f>
        <v>6</v>
      </c>
      <c r="G11" s="30">
        <f>INDIRECT("Formación Ética y Ciudadana!g11")</f>
        <v>6</v>
      </c>
      <c r="H11" s="30">
        <f>INDIRECT("Educación Física!g11")</f>
        <v>6</v>
      </c>
      <c r="I11" s="30">
        <f>INDIRECT("Matemáticas!g11")</f>
        <v>6</v>
      </c>
      <c r="J11" s="30">
        <f>INDIRECT("Biología!g11")</f>
        <v>6</v>
      </c>
      <c r="K11" s="30">
        <f>INDIRECT("Dibujo Técnico!g11")</f>
        <v>6</v>
      </c>
      <c r="L11" s="30">
        <f>INDIRECT("Tecnología!g11")</f>
        <v>6</v>
      </c>
      <c r="M11" s="30">
        <f>INDIRECT("Electricidad!g11")</f>
        <v>6</v>
      </c>
      <c r="N11" s="30">
        <f>INDIRECT("Carpintería!g11")</f>
        <v>6</v>
      </c>
      <c r="O11" s="30">
        <f>INDIRECT("Hojalatería!g11")</f>
        <v>6</v>
      </c>
      <c r="P11" s="30">
        <f>INDIRECT("Ajuste Mecánico!g11")</f>
        <v>6</v>
      </c>
      <c r="Q11" s="30">
        <f>INDIRECT("Informática!g11")</f>
        <v>6</v>
      </c>
      <c r="R11" s="30">
        <f>INDIRECT("Construcciones!g11")</f>
        <v>6</v>
      </c>
      <c r="S11" s="9"/>
      <c r="T11" s="9"/>
      <c r="U11" s="9"/>
      <c r="V11" s="9"/>
      <c r="W11" s="9"/>
      <c r="X11" s="9"/>
      <c r="Y11" s="9"/>
      <c r="Z11" s="9"/>
    </row>
    <row r="12">
      <c r="A12" s="7">
        <v>4.0</v>
      </c>
      <c r="B12" s="28" t="s">
        <v>8</v>
      </c>
      <c r="C12" s="30">
        <f t="shared" ref="C12:D12" si="5">INDIRECT("Lengua y Literatura!g12")</f>
        <v>6</v>
      </c>
      <c r="D12" s="30">
        <f t="shared" si="5"/>
        <v>6</v>
      </c>
      <c r="E12" s="30">
        <f>INDIRECT("Geografía!g12")</f>
        <v>6</v>
      </c>
      <c r="F12" s="30">
        <f>INDIRECT("Historia I!g12")</f>
        <v>6</v>
      </c>
      <c r="G12" s="30">
        <f>INDIRECT("Formación Ética y Ciudadana!g12")</f>
        <v>6</v>
      </c>
      <c r="H12" s="30">
        <f>INDIRECT("Educación Física!g12")</f>
        <v>6</v>
      </c>
      <c r="I12" s="30">
        <f>INDIRECT("Matemáticas!g12")</f>
        <v>6</v>
      </c>
      <c r="J12" s="30">
        <f>INDIRECT("Biología!g12")</f>
        <v>6</v>
      </c>
      <c r="K12" s="30">
        <f>INDIRECT("Dibujo Técnico!g12")</f>
        <v>6</v>
      </c>
      <c r="L12" s="30">
        <f>INDIRECT("Tecnología!g12")</f>
        <v>6</v>
      </c>
      <c r="M12" s="30">
        <f>INDIRECT("Electricidad!g12")</f>
        <v>6</v>
      </c>
      <c r="N12" s="30">
        <f>INDIRECT("Carpintería!g12")</f>
        <v>6</v>
      </c>
      <c r="O12" s="30">
        <f>INDIRECT("Hojalatería!g12")</f>
        <v>6</v>
      </c>
      <c r="P12" s="30">
        <f>INDIRECT("Ajuste Mecánico!g12")</f>
        <v>6</v>
      </c>
      <c r="Q12" s="30">
        <f>INDIRECT("Informática!g12")</f>
        <v>6</v>
      </c>
      <c r="R12" s="30">
        <f>INDIRECT("Construcciones!g12")</f>
        <v>6</v>
      </c>
      <c r="S12" s="9"/>
      <c r="T12" s="9"/>
      <c r="U12" s="9"/>
      <c r="V12" s="9"/>
      <c r="W12" s="9"/>
      <c r="X12" s="9"/>
      <c r="Y12" s="9"/>
      <c r="Z12" s="9"/>
    </row>
    <row r="13">
      <c r="A13" s="7">
        <v>6.0</v>
      </c>
      <c r="B13" s="28" t="s">
        <v>9</v>
      </c>
      <c r="C13" s="30">
        <f t="shared" ref="C13:D13" si="6">INDIRECT("Lengua y Literatura!g13")</f>
        <v>6</v>
      </c>
      <c r="D13" s="30">
        <f t="shared" si="6"/>
        <v>6</v>
      </c>
      <c r="E13" s="30">
        <f>INDIRECT("Geografía!g13")</f>
        <v>6</v>
      </c>
      <c r="F13" s="30">
        <f>INDIRECT("Historia I!g13")</f>
        <v>6</v>
      </c>
      <c r="G13" s="30">
        <f>INDIRECT("Formación Ética y Ciudadana!g13")</f>
        <v>6</v>
      </c>
      <c r="H13" s="30">
        <f>INDIRECT("Educación Física!g13")</f>
        <v>6</v>
      </c>
      <c r="I13" s="30">
        <f>INDIRECT("Matemáticas!g13")</f>
        <v>6</v>
      </c>
      <c r="J13" s="30">
        <f>INDIRECT("Biología!g13")</f>
        <v>6</v>
      </c>
      <c r="K13" s="30">
        <f>INDIRECT("Dibujo Técnico!g13")</f>
        <v>6</v>
      </c>
      <c r="L13" s="30">
        <f>INDIRECT("Tecnología!g13")</f>
        <v>6</v>
      </c>
      <c r="M13" s="30">
        <f>INDIRECT("Electricidad!g13")</f>
        <v>6</v>
      </c>
      <c r="N13" s="30">
        <f>INDIRECT("Carpintería!g13")</f>
        <v>6</v>
      </c>
      <c r="O13" s="30">
        <f>INDIRECT("Hojalatería!g13")</f>
        <v>6</v>
      </c>
      <c r="P13" s="30">
        <f>INDIRECT("Ajuste Mecánico!g13")</f>
        <v>6</v>
      </c>
      <c r="Q13" s="30">
        <f>INDIRECT("Informática!g13")</f>
        <v>6</v>
      </c>
      <c r="R13" s="30">
        <f>INDIRECT("Construcciones!g13")</f>
        <v>6</v>
      </c>
      <c r="S13" s="9"/>
      <c r="T13" s="9"/>
      <c r="U13" s="9"/>
      <c r="V13" s="9"/>
      <c r="W13" s="9"/>
      <c r="X13" s="9"/>
      <c r="Y13" s="9"/>
      <c r="Z13" s="9"/>
    </row>
    <row r="14">
      <c r="A14" s="7">
        <v>7.0</v>
      </c>
      <c r="B14" s="28" t="s">
        <v>10</v>
      </c>
      <c r="C14" s="30">
        <f t="shared" ref="C14:D14" si="7">INDIRECT("Lengua y Literatura!g14")</f>
        <v>6</v>
      </c>
      <c r="D14" s="30">
        <f t="shared" si="7"/>
        <v>6</v>
      </c>
      <c r="E14" s="30">
        <f>INDIRECT("Geografía!g14")</f>
        <v>6</v>
      </c>
      <c r="F14" s="30">
        <f>INDIRECT("Historia I!g14")</f>
        <v>6</v>
      </c>
      <c r="G14" s="30">
        <f>INDIRECT("Formación Ética y Ciudadana!g14")</f>
        <v>6</v>
      </c>
      <c r="H14" s="30">
        <f>INDIRECT("Educación Física!g14")</f>
        <v>6</v>
      </c>
      <c r="I14" s="30">
        <f>INDIRECT("Matemáticas!g14")</f>
        <v>6</v>
      </c>
      <c r="J14" s="30">
        <f>INDIRECT("Biología!g14")</f>
        <v>6</v>
      </c>
      <c r="K14" s="30">
        <f>INDIRECT("Dibujo Técnico!g14")</f>
        <v>6</v>
      </c>
      <c r="L14" s="30">
        <f>INDIRECT("Tecnología!g14")</f>
        <v>6</v>
      </c>
      <c r="M14" s="30">
        <f>INDIRECT("Electricidad!g14")</f>
        <v>6</v>
      </c>
      <c r="N14" s="30">
        <f>INDIRECT("Carpintería!g14")</f>
        <v>6</v>
      </c>
      <c r="O14" s="30">
        <f>INDIRECT("Hojalatería!g14")</f>
        <v>6</v>
      </c>
      <c r="P14" s="30">
        <f>INDIRECT("Ajuste Mecánico!g14")</f>
        <v>6</v>
      </c>
      <c r="Q14" s="30">
        <f>INDIRECT("Informática!g14")</f>
        <v>6</v>
      </c>
      <c r="R14" s="30">
        <f>INDIRECT("Construcciones!g14")</f>
        <v>6</v>
      </c>
      <c r="S14" s="9"/>
      <c r="T14" s="9"/>
      <c r="U14" s="9"/>
      <c r="V14" s="9"/>
      <c r="W14" s="9"/>
      <c r="X14" s="9"/>
      <c r="Y14" s="9"/>
      <c r="Z14" s="9"/>
    </row>
    <row r="15">
      <c r="A15" s="7">
        <v>8.0</v>
      </c>
      <c r="B15" s="28" t="s">
        <v>11</v>
      </c>
      <c r="C15" s="30">
        <f t="shared" ref="C15:D15" si="8">INDIRECT("Lengua y Literatura!g15")</f>
        <v>6</v>
      </c>
      <c r="D15" s="30">
        <f t="shared" si="8"/>
        <v>6</v>
      </c>
      <c r="E15" s="30">
        <f>INDIRECT("Geografía!g15")</f>
        <v>6</v>
      </c>
      <c r="F15" s="30">
        <f>INDIRECT("Historia I!g15")</f>
        <v>6</v>
      </c>
      <c r="G15" s="30">
        <f>INDIRECT("Formación Ética y Ciudadana!g15")</f>
        <v>6</v>
      </c>
      <c r="H15" s="30">
        <f>INDIRECT("Educación Física!g15")</f>
        <v>6</v>
      </c>
      <c r="I15" s="30">
        <f>INDIRECT("Matemáticas!g15")</f>
        <v>6</v>
      </c>
      <c r="J15" s="30">
        <f>INDIRECT("Biología!g15")</f>
        <v>6</v>
      </c>
      <c r="K15" s="30">
        <f>INDIRECT("Dibujo Técnico!g15")</f>
        <v>6</v>
      </c>
      <c r="L15" s="30">
        <f>INDIRECT("Tecnología!g15")</f>
        <v>6</v>
      </c>
      <c r="M15" s="30">
        <f>INDIRECT("Electricidad!g15")</f>
        <v>6</v>
      </c>
      <c r="N15" s="30">
        <f>INDIRECT("Carpintería!g15")</f>
        <v>6</v>
      </c>
      <c r="O15" s="30">
        <f>INDIRECT("Hojalatería!g15")</f>
        <v>6</v>
      </c>
      <c r="P15" s="30">
        <f>INDIRECT("Ajuste Mecánico!g15")</f>
        <v>6</v>
      </c>
      <c r="Q15" s="30">
        <f>INDIRECT("Informática!g15")</f>
        <v>6</v>
      </c>
      <c r="R15" s="30">
        <f>INDIRECT("Construcciones!g15")</f>
        <v>6</v>
      </c>
      <c r="S15" s="9"/>
      <c r="T15" s="9"/>
      <c r="U15" s="9"/>
      <c r="V15" s="9"/>
      <c r="W15" s="9"/>
      <c r="X15" s="9"/>
      <c r="Y15" s="9"/>
      <c r="Z15" s="9"/>
    </row>
    <row r="16">
      <c r="A16" s="7">
        <v>9.0</v>
      </c>
      <c r="B16" s="28" t="s">
        <v>12</v>
      </c>
      <c r="C16" s="30">
        <f t="shared" ref="C16:D16" si="9">INDIRECT("Lengua y Literatura!g16")</f>
        <v>6</v>
      </c>
      <c r="D16" s="30">
        <f t="shared" si="9"/>
        <v>6</v>
      </c>
      <c r="E16" s="30">
        <f>INDIRECT("Geografía!g16")</f>
        <v>6</v>
      </c>
      <c r="F16" s="30">
        <f>INDIRECT("Historia I!g16")</f>
        <v>6</v>
      </c>
      <c r="G16" s="30">
        <f>INDIRECT("Formación Ética y Ciudadana!g16")</f>
        <v>6</v>
      </c>
      <c r="H16" s="30">
        <f>INDIRECT("Educación Física!g16")</f>
        <v>6</v>
      </c>
      <c r="I16" s="30">
        <f>INDIRECT("Matemáticas!g16")</f>
        <v>6</v>
      </c>
      <c r="J16" s="30">
        <f>INDIRECT("Biología!g16")</f>
        <v>6</v>
      </c>
      <c r="K16" s="30">
        <f>INDIRECT("Dibujo Técnico!g16")</f>
        <v>6</v>
      </c>
      <c r="L16" s="30">
        <f>INDIRECT("Tecnología!g16")</f>
        <v>6</v>
      </c>
      <c r="M16" s="30">
        <f>INDIRECT("Electricidad!g16")</f>
        <v>6</v>
      </c>
      <c r="N16" s="30">
        <f>INDIRECT("Carpintería!g16")</f>
        <v>6</v>
      </c>
      <c r="O16" s="30">
        <f>INDIRECT("Hojalatería!g16")</f>
        <v>6</v>
      </c>
      <c r="P16" s="30">
        <f>INDIRECT("Ajuste Mecánico!g16")</f>
        <v>6</v>
      </c>
      <c r="Q16" s="30">
        <f>INDIRECT("Informática!g16")</f>
        <v>6</v>
      </c>
      <c r="R16" s="30">
        <f>INDIRECT("Construcciones!g16")</f>
        <v>6</v>
      </c>
      <c r="S16" s="9"/>
      <c r="T16" s="9"/>
      <c r="U16" s="9"/>
      <c r="V16" s="9"/>
      <c r="W16" s="9"/>
      <c r="X16" s="9"/>
      <c r="Y16" s="9"/>
      <c r="Z16" s="9"/>
    </row>
    <row r="17">
      <c r="A17" s="7">
        <v>10.0</v>
      </c>
      <c r="B17" s="28" t="s">
        <v>13</v>
      </c>
      <c r="C17" s="30">
        <f t="shared" ref="C17:D17" si="10">INDIRECT("Lengua y Literatura!g17")</f>
        <v>6.5</v>
      </c>
      <c r="D17" s="30">
        <f t="shared" si="10"/>
        <v>6.5</v>
      </c>
      <c r="E17" s="30">
        <f>INDIRECT("Geografía!g17")</f>
        <v>6.5</v>
      </c>
      <c r="F17" s="30">
        <f>INDIRECT("Historia I!g17")</f>
        <v>6.5</v>
      </c>
      <c r="G17" s="30">
        <f>INDIRECT("Formación Ética y Ciudadana!g17")</f>
        <v>6.5</v>
      </c>
      <c r="H17" s="30">
        <f>INDIRECT("Educación Física!g17")</f>
        <v>6.5</v>
      </c>
      <c r="I17" s="30">
        <f>INDIRECT("Matemáticas!g17")</f>
        <v>6.5</v>
      </c>
      <c r="J17" s="30">
        <f>INDIRECT("Biología!g17")</f>
        <v>6.5</v>
      </c>
      <c r="K17" s="30">
        <f>INDIRECT("Dibujo Técnico!g17")</f>
        <v>6.5</v>
      </c>
      <c r="L17" s="30">
        <f>INDIRECT("Tecnología!g17")</f>
        <v>6.5</v>
      </c>
      <c r="M17" s="30">
        <f>INDIRECT("Electricidad!g17")</f>
        <v>6.5</v>
      </c>
      <c r="N17" s="30">
        <f>INDIRECT("Carpintería!g17")</f>
        <v>6.5</v>
      </c>
      <c r="O17" s="30">
        <f>INDIRECT("Hojalatería!g17")</f>
        <v>6.5</v>
      </c>
      <c r="P17" s="30">
        <f>INDIRECT("Ajuste Mecánico!g17")</f>
        <v>6.5</v>
      </c>
      <c r="Q17" s="30">
        <f>INDIRECT("Informática!g17")</f>
        <v>6.5</v>
      </c>
      <c r="R17" s="30">
        <f>INDIRECT("Construcciones!g17")</f>
        <v>6.5</v>
      </c>
      <c r="S17" s="9"/>
      <c r="T17" s="9"/>
      <c r="U17" s="9"/>
      <c r="V17" s="9"/>
      <c r="W17" s="9"/>
      <c r="X17" s="9"/>
      <c r="Y17" s="9"/>
      <c r="Z17" s="9"/>
    </row>
    <row r="18">
      <c r="A18" s="7">
        <v>11.0</v>
      </c>
      <c r="B18" s="28" t="s">
        <v>14</v>
      </c>
      <c r="C18" s="30">
        <f t="shared" ref="C18:D18" si="11">INDIRECT("Lengua y Literatura!g18")</f>
        <v>6</v>
      </c>
      <c r="D18" s="30">
        <f t="shared" si="11"/>
        <v>6</v>
      </c>
      <c r="E18" s="30">
        <f>INDIRECT("Geografía!g18")</f>
        <v>6</v>
      </c>
      <c r="F18" s="30">
        <f>INDIRECT("Historia I!g18")</f>
        <v>6</v>
      </c>
      <c r="G18" s="30">
        <f>INDIRECT("Formación Ética y Ciudadana!g18")</f>
        <v>6</v>
      </c>
      <c r="H18" s="30">
        <f>INDIRECT("Educación Física!g18")</f>
        <v>6</v>
      </c>
      <c r="I18" s="30">
        <f>INDIRECT("Matemáticas!g18")</f>
        <v>6</v>
      </c>
      <c r="J18" s="30">
        <f>INDIRECT("Biología!g18")</f>
        <v>6</v>
      </c>
      <c r="K18" s="30">
        <f>INDIRECT("Dibujo Técnico!g18")</f>
        <v>6</v>
      </c>
      <c r="L18" s="30">
        <f>INDIRECT("Tecnología!g18")</f>
        <v>6</v>
      </c>
      <c r="M18" s="30">
        <f>INDIRECT("Electricidad!g18")</f>
        <v>6</v>
      </c>
      <c r="N18" s="30">
        <f>INDIRECT("Carpintería!g18")</f>
        <v>6</v>
      </c>
      <c r="O18" s="30">
        <f>INDIRECT("Hojalatería!g18")</f>
        <v>6</v>
      </c>
      <c r="P18" s="30">
        <f>INDIRECT("Ajuste Mecánico!g18")</f>
        <v>6</v>
      </c>
      <c r="Q18" s="30">
        <f>INDIRECT("Informática!g18")</f>
        <v>6</v>
      </c>
      <c r="R18" s="30">
        <f>INDIRECT("Construcciones!g18")</f>
        <v>6</v>
      </c>
      <c r="S18" s="9"/>
      <c r="T18" s="9"/>
      <c r="U18" s="9"/>
      <c r="V18" s="9"/>
      <c r="W18" s="9"/>
      <c r="X18" s="9"/>
      <c r="Y18" s="9"/>
      <c r="Z18" s="9"/>
    </row>
    <row r="19">
      <c r="A19" s="7">
        <v>12.0</v>
      </c>
      <c r="B19" s="28" t="s">
        <v>15</v>
      </c>
      <c r="C19" s="30">
        <f t="shared" ref="C19:D19" si="12">INDIRECT("Lengua y Literatura!g19")</f>
        <v>6</v>
      </c>
      <c r="D19" s="30">
        <f t="shared" si="12"/>
        <v>6</v>
      </c>
      <c r="E19" s="30">
        <f>INDIRECT("Geografía!g19")</f>
        <v>6</v>
      </c>
      <c r="F19" s="30">
        <f>INDIRECT("Historia I!g19")</f>
        <v>6</v>
      </c>
      <c r="G19" s="30">
        <f>INDIRECT("Formación Ética y Ciudadana!g19")</f>
        <v>6</v>
      </c>
      <c r="H19" s="30">
        <f>INDIRECT("Educación Física!g19")</f>
        <v>6</v>
      </c>
      <c r="I19" s="30">
        <f>INDIRECT("Matemáticas!g19")</f>
        <v>6</v>
      </c>
      <c r="J19" s="30">
        <f>INDIRECT("Biología!g19")</f>
        <v>6</v>
      </c>
      <c r="K19" s="30">
        <f>INDIRECT("Dibujo Técnico!g19")</f>
        <v>6</v>
      </c>
      <c r="L19" s="30">
        <f>INDIRECT("Tecnología!g19")</f>
        <v>6</v>
      </c>
      <c r="M19" s="30">
        <f>INDIRECT("Electricidad!g19")</f>
        <v>6</v>
      </c>
      <c r="N19" s="30">
        <f>INDIRECT("Carpintería!g19")</f>
        <v>6</v>
      </c>
      <c r="O19" s="30">
        <f>INDIRECT("Hojalatería!g19")</f>
        <v>6</v>
      </c>
      <c r="P19" s="30">
        <f>INDIRECT("Ajuste Mecánico!g19")</f>
        <v>6</v>
      </c>
      <c r="Q19" s="30">
        <f>INDIRECT("Informática!g19")</f>
        <v>6</v>
      </c>
      <c r="R19" s="30">
        <f>INDIRECT("Construcciones!g19")</f>
        <v>6</v>
      </c>
      <c r="S19" s="9"/>
      <c r="T19" s="9"/>
      <c r="U19" s="9"/>
      <c r="V19" s="9"/>
      <c r="W19" s="9"/>
      <c r="X19" s="9"/>
      <c r="Y19" s="9"/>
      <c r="Z19" s="9"/>
    </row>
    <row r="20">
      <c r="A20" s="7">
        <v>13.0</v>
      </c>
      <c r="B20" s="28" t="s">
        <v>16</v>
      </c>
      <c r="C20" s="30">
        <f t="shared" ref="C20:D20" si="13">INDIRECT("Lengua y Literatura!g20")</f>
        <v>6</v>
      </c>
      <c r="D20" s="30">
        <f t="shared" si="13"/>
        <v>6</v>
      </c>
      <c r="E20" s="30">
        <f>INDIRECT("Geografía!g20")</f>
        <v>6</v>
      </c>
      <c r="F20" s="30">
        <f>INDIRECT("Historia I!g20")</f>
        <v>6</v>
      </c>
      <c r="G20" s="30">
        <f>INDIRECT("Formación Ética y Ciudadana!g20")</f>
        <v>6</v>
      </c>
      <c r="H20" s="30">
        <f>INDIRECT("Educación Física!g20")</f>
        <v>6</v>
      </c>
      <c r="I20" s="30">
        <f>INDIRECT("Matemáticas!g20")</f>
        <v>6</v>
      </c>
      <c r="J20" s="30">
        <f>INDIRECT("Biología!g20")</f>
        <v>6</v>
      </c>
      <c r="K20" s="30">
        <f>INDIRECT("Dibujo Técnico!g20")</f>
        <v>6</v>
      </c>
      <c r="L20" s="30">
        <f>INDIRECT("Tecnología!g20")</f>
        <v>6</v>
      </c>
      <c r="M20" s="30">
        <f>INDIRECT("Electricidad!g20")</f>
        <v>6</v>
      </c>
      <c r="N20" s="30">
        <f>INDIRECT("Carpintería!g20")</f>
        <v>6</v>
      </c>
      <c r="O20" s="30">
        <f>INDIRECT("Hojalatería!g20")</f>
        <v>6</v>
      </c>
      <c r="P20" s="30">
        <f>INDIRECT("Ajuste Mecánico!g20")</f>
        <v>6</v>
      </c>
      <c r="Q20" s="30">
        <f>INDIRECT("Informática!g20")</f>
        <v>6</v>
      </c>
      <c r="R20" s="30">
        <f>INDIRECT("Construcciones!g20")</f>
        <v>6</v>
      </c>
      <c r="S20" s="9"/>
      <c r="T20" s="9"/>
      <c r="U20" s="9"/>
      <c r="V20" s="9"/>
      <c r="W20" s="9"/>
      <c r="X20" s="9"/>
      <c r="Y20" s="9"/>
      <c r="Z20" s="9"/>
    </row>
    <row r="21">
      <c r="A21" s="7">
        <v>14.0</v>
      </c>
      <c r="B21" s="28" t="s">
        <v>17</v>
      </c>
      <c r="C21" s="30">
        <f t="shared" ref="C21:D21" si="14">INDIRECT("Lengua y Literatura!g21")</f>
        <v>6</v>
      </c>
      <c r="D21" s="30">
        <f t="shared" si="14"/>
        <v>6</v>
      </c>
      <c r="E21" s="30">
        <f>INDIRECT("Geografía!g21")</f>
        <v>6</v>
      </c>
      <c r="F21" s="30">
        <f>INDIRECT("Historia I!g21")</f>
        <v>6</v>
      </c>
      <c r="G21" s="30">
        <f>INDIRECT("Formación Ética y Ciudadana!g21")</f>
        <v>6</v>
      </c>
      <c r="H21" s="30">
        <f>INDIRECT("Educación Física!g21")</f>
        <v>6</v>
      </c>
      <c r="I21" s="30">
        <f>INDIRECT("Matemáticas!g21")</f>
        <v>6</v>
      </c>
      <c r="J21" s="30">
        <f>INDIRECT("Biología!g21")</f>
        <v>6</v>
      </c>
      <c r="K21" s="30">
        <f>INDIRECT("Dibujo Técnico!g21")</f>
        <v>6</v>
      </c>
      <c r="L21" s="30">
        <f>INDIRECT("Tecnología!g21")</f>
        <v>6</v>
      </c>
      <c r="M21" s="30">
        <f>INDIRECT("Electricidad!g21")</f>
        <v>6</v>
      </c>
      <c r="N21" s="30">
        <f>INDIRECT("Carpintería!g21")</f>
        <v>6</v>
      </c>
      <c r="O21" s="30">
        <f>INDIRECT("Hojalatería!g21")</f>
        <v>6</v>
      </c>
      <c r="P21" s="30">
        <f>INDIRECT("Ajuste Mecánico!g21")</f>
        <v>6</v>
      </c>
      <c r="Q21" s="30">
        <f>INDIRECT("Informática!g21")</f>
        <v>6</v>
      </c>
      <c r="R21" s="30">
        <f>INDIRECT("Construcciones!g21")</f>
        <v>6</v>
      </c>
      <c r="S21" s="9"/>
      <c r="T21" s="9"/>
      <c r="U21" s="9"/>
      <c r="V21" s="9"/>
      <c r="W21" s="9"/>
      <c r="X21" s="9"/>
      <c r="Y21" s="9"/>
      <c r="Z21" s="9"/>
    </row>
    <row r="22">
      <c r="A22" s="7">
        <v>15.0</v>
      </c>
      <c r="B22" s="28" t="s">
        <v>18</v>
      </c>
      <c r="C22" s="30">
        <f t="shared" ref="C22:D22" si="15">INDIRECT("Lengua y Literatura!g22")</f>
        <v>6</v>
      </c>
      <c r="D22" s="30">
        <f t="shared" si="15"/>
        <v>6</v>
      </c>
      <c r="E22" s="30">
        <f>INDIRECT("Geografía!g22")</f>
        <v>6</v>
      </c>
      <c r="F22" s="30">
        <f>INDIRECT("Historia I!g22")</f>
        <v>6</v>
      </c>
      <c r="G22" s="30">
        <f>INDIRECT("Formación Ética y Ciudadana!g22")</f>
        <v>6</v>
      </c>
      <c r="H22" s="30">
        <f>INDIRECT("Educación Física!g22")</f>
        <v>6</v>
      </c>
      <c r="I22" s="30">
        <f>INDIRECT("Matemáticas!g22")</f>
        <v>6</v>
      </c>
      <c r="J22" s="30">
        <f>INDIRECT("Biología!g22")</f>
        <v>6</v>
      </c>
      <c r="K22" s="30">
        <f>INDIRECT("Dibujo Técnico!g22")</f>
        <v>6</v>
      </c>
      <c r="L22" s="30">
        <f>INDIRECT("Tecnología!g22")</f>
        <v>6</v>
      </c>
      <c r="M22" s="30">
        <f>INDIRECT("Electricidad!g22")</f>
        <v>6</v>
      </c>
      <c r="N22" s="30">
        <f>INDIRECT("Carpintería!g22")</f>
        <v>6</v>
      </c>
      <c r="O22" s="30">
        <f>INDIRECT("Hojalatería!g22")</f>
        <v>6</v>
      </c>
      <c r="P22" s="30">
        <f>INDIRECT("Ajuste Mecánico!g22")</f>
        <v>6</v>
      </c>
      <c r="Q22" s="30">
        <f>INDIRECT("Informática!g22")</f>
        <v>6</v>
      </c>
      <c r="R22" s="30">
        <f>INDIRECT("Construcciones!g22")</f>
        <v>6</v>
      </c>
      <c r="S22" s="9"/>
      <c r="T22" s="9"/>
      <c r="U22" s="9"/>
      <c r="V22" s="9"/>
      <c r="W22" s="9"/>
      <c r="X22" s="9"/>
      <c r="Y22" s="9"/>
      <c r="Z22" s="9"/>
    </row>
    <row r="23">
      <c r="A23" s="7">
        <v>16.0</v>
      </c>
      <c r="B23" s="28" t="s">
        <v>19</v>
      </c>
      <c r="C23" s="30">
        <f t="shared" ref="C23:D23" si="16">INDIRECT("Lengua y Literatura!g23")</f>
        <v>6</v>
      </c>
      <c r="D23" s="30">
        <f t="shared" si="16"/>
        <v>6</v>
      </c>
      <c r="E23" s="30">
        <f>INDIRECT("Geografía!g23")</f>
        <v>6</v>
      </c>
      <c r="F23" s="30">
        <f>INDIRECT("Historia I!g23")</f>
        <v>6</v>
      </c>
      <c r="G23" s="30">
        <f>INDIRECT("Formación Ética y Ciudadana!g23")</f>
        <v>6</v>
      </c>
      <c r="H23" s="30">
        <f>INDIRECT("Educación Física!g23")</f>
        <v>6</v>
      </c>
      <c r="I23" s="30">
        <f>INDIRECT("Matemáticas!g23")</f>
        <v>6</v>
      </c>
      <c r="J23" s="30">
        <f>INDIRECT("Biología!g23")</f>
        <v>6</v>
      </c>
      <c r="K23" s="30">
        <f>INDIRECT("Dibujo Técnico!g23")</f>
        <v>6</v>
      </c>
      <c r="L23" s="30">
        <f>INDIRECT("Tecnología!g23")</f>
        <v>6</v>
      </c>
      <c r="M23" s="30">
        <f>INDIRECT("Electricidad!g23")</f>
        <v>6</v>
      </c>
      <c r="N23" s="30">
        <f>INDIRECT("Carpintería!g23")</f>
        <v>6</v>
      </c>
      <c r="O23" s="30">
        <f>INDIRECT("Hojalatería!g23")</f>
        <v>6</v>
      </c>
      <c r="P23" s="30">
        <f>INDIRECT("Ajuste Mecánico!g23")</f>
        <v>6</v>
      </c>
      <c r="Q23" s="30">
        <f>INDIRECT("Informática!g23")</f>
        <v>6</v>
      </c>
      <c r="R23" s="30">
        <f>INDIRECT("Construcciones!g23")</f>
        <v>6</v>
      </c>
      <c r="S23" s="9"/>
      <c r="T23" s="9"/>
      <c r="U23" s="9"/>
      <c r="V23" s="9"/>
      <c r="W23" s="9"/>
      <c r="X23" s="9"/>
      <c r="Y23" s="9"/>
      <c r="Z23" s="9"/>
    </row>
    <row r="24">
      <c r="A24" s="7">
        <v>17.0</v>
      </c>
      <c r="B24" s="28" t="s">
        <v>20</v>
      </c>
      <c r="C24" s="30">
        <f t="shared" ref="C24:D24" si="17">INDIRECT("Lengua y Literatura!g24")</f>
        <v>6</v>
      </c>
      <c r="D24" s="30">
        <f t="shared" si="17"/>
        <v>6</v>
      </c>
      <c r="E24" s="30">
        <f>INDIRECT("Geografía!g24")</f>
        <v>6</v>
      </c>
      <c r="F24" s="30">
        <f>INDIRECT("Historia I!g24")</f>
        <v>6</v>
      </c>
      <c r="G24" s="30">
        <f>INDIRECT("Formación Ética y Ciudadana!g24")</f>
        <v>6</v>
      </c>
      <c r="H24" s="30">
        <f>INDIRECT("Educación Física!g24")</f>
        <v>6</v>
      </c>
      <c r="I24" s="30">
        <f>INDIRECT("Matemáticas!g24")</f>
        <v>6</v>
      </c>
      <c r="J24" s="30">
        <f>INDIRECT("Biología!g24")</f>
        <v>6</v>
      </c>
      <c r="K24" s="30">
        <f>INDIRECT("Dibujo Técnico!g24")</f>
        <v>6</v>
      </c>
      <c r="L24" s="30">
        <f>INDIRECT("Tecnología!g24")</f>
        <v>6</v>
      </c>
      <c r="M24" s="30">
        <f>INDIRECT("Electricidad!g24")</f>
        <v>6</v>
      </c>
      <c r="N24" s="30">
        <f>INDIRECT("Carpintería!g24")</f>
        <v>6</v>
      </c>
      <c r="O24" s="30">
        <f>INDIRECT("Hojalatería!g24")</f>
        <v>6</v>
      </c>
      <c r="P24" s="30">
        <f>INDIRECT("Ajuste Mecánico!g24")</f>
        <v>6</v>
      </c>
      <c r="Q24" s="30">
        <f>INDIRECT("Informática!g24")</f>
        <v>6</v>
      </c>
      <c r="R24" s="30">
        <f>INDIRECT("Construcciones!g24")</f>
        <v>6</v>
      </c>
      <c r="S24" s="9"/>
      <c r="T24" s="9"/>
      <c r="U24" s="9"/>
      <c r="V24" s="9"/>
      <c r="W24" s="9"/>
      <c r="X24" s="9"/>
      <c r="Y24" s="9"/>
      <c r="Z24" s="9"/>
    </row>
    <row r="25">
      <c r="A25" s="7">
        <v>18.0</v>
      </c>
      <c r="B25" s="28" t="s">
        <v>21</v>
      </c>
      <c r="C25" s="30">
        <f t="shared" ref="C25:D25" si="18">INDIRECT("Lengua y Literatura!g25")</f>
        <v>6</v>
      </c>
      <c r="D25" s="30">
        <f t="shared" si="18"/>
        <v>6</v>
      </c>
      <c r="E25" s="30">
        <f>INDIRECT("Geografía!g25")</f>
        <v>6</v>
      </c>
      <c r="F25" s="30">
        <f>INDIRECT("Historia I!g25")</f>
        <v>6</v>
      </c>
      <c r="G25" s="30">
        <f>INDIRECT("Formación Ética y Ciudadana!g25")</f>
        <v>6</v>
      </c>
      <c r="H25" s="30">
        <f>INDIRECT("Educación Física!g25")</f>
        <v>6</v>
      </c>
      <c r="I25" s="30">
        <f>INDIRECT("Matemáticas!g25")</f>
        <v>6</v>
      </c>
      <c r="J25" s="30">
        <f>INDIRECT("Biología!g25")</f>
        <v>6</v>
      </c>
      <c r="K25" s="30">
        <f>INDIRECT("Dibujo Técnico!g25")</f>
        <v>6</v>
      </c>
      <c r="L25" s="30">
        <f>INDIRECT("Tecnología!g25")</f>
        <v>6</v>
      </c>
      <c r="M25" s="30">
        <f>INDIRECT("Electricidad!g25")</f>
        <v>6</v>
      </c>
      <c r="N25" s="30">
        <f>INDIRECT("Carpintería!g25")</f>
        <v>6</v>
      </c>
      <c r="O25" s="30">
        <f>INDIRECT("Hojalatería!g25")</f>
        <v>6</v>
      </c>
      <c r="P25" s="30">
        <f>INDIRECT("Ajuste Mecánico!g25")</f>
        <v>6</v>
      </c>
      <c r="Q25" s="30">
        <f>INDIRECT("Informática!g25")</f>
        <v>6</v>
      </c>
      <c r="R25" s="30">
        <f>INDIRECT("Construcciones!g25")</f>
        <v>6</v>
      </c>
      <c r="S25" s="9"/>
      <c r="T25" s="9"/>
      <c r="U25" s="9"/>
      <c r="V25" s="9"/>
      <c r="W25" s="9"/>
      <c r="X25" s="9"/>
      <c r="Y25" s="9"/>
      <c r="Z25" s="9"/>
    </row>
    <row r="26">
      <c r="A26" s="7">
        <v>19.0</v>
      </c>
      <c r="B26" s="28" t="s">
        <v>22</v>
      </c>
      <c r="C26" s="30">
        <f t="shared" ref="C26:D26" si="19">INDIRECT("Lengua y Literatura!g26")</f>
        <v>6</v>
      </c>
      <c r="D26" s="30">
        <f t="shared" si="19"/>
        <v>6</v>
      </c>
      <c r="E26" s="30">
        <f>INDIRECT("Geografía!g26")</f>
        <v>6</v>
      </c>
      <c r="F26" s="30">
        <f>INDIRECT("Historia I!g26")</f>
        <v>6</v>
      </c>
      <c r="G26" s="30">
        <f>INDIRECT("Formación Ética y Ciudadana!g26")</f>
        <v>6</v>
      </c>
      <c r="H26" s="30">
        <f>INDIRECT("Educación Física!g26")</f>
        <v>6</v>
      </c>
      <c r="I26" s="30">
        <f>INDIRECT("Matemáticas!g26")</f>
        <v>6</v>
      </c>
      <c r="J26" s="30">
        <f>INDIRECT("Biología!g26")</f>
        <v>6</v>
      </c>
      <c r="K26" s="30">
        <f>INDIRECT("Dibujo Técnico!g26")</f>
        <v>6</v>
      </c>
      <c r="L26" s="30">
        <f>INDIRECT("Tecnología!g26")</f>
        <v>6</v>
      </c>
      <c r="M26" s="30">
        <f>INDIRECT("Electricidad!g26")</f>
        <v>6</v>
      </c>
      <c r="N26" s="30">
        <f>INDIRECT("Carpintería!g26")</f>
        <v>6</v>
      </c>
      <c r="O26" s="30">
        <f>INDIRECT("Hojalatería!g26")</f>
        <v>6</v>
      </c>
      <c r="P26" s="30">
        <f>INDIRECT("Ajuste Mecánico!g26")</f>
        <v>6</v>
      </c>
      <c r="Q26" s="30">
        <f>INDIRECT("Informática!g26")</f>
        <v>6</v>
      </c>
      <c r="R26" s="30">
        <f>INDIRECT("Construcciones!g26")</f>
        <v>6</v>
      </c>
      <c r="S26" s="9"/>
      <c r="T26" s="9"/>
      <c r="U26" s="9"/>
      <c r="V26" s="9"/>
      <c r="W26" s="9"/>
      <c r="X26" s="9"/>
      <c r="Y26" s="9"/>
      <c r="Z26" s="9"/>
    </row>
    <row r="27">
      <c r="A27" s="7">
        <v>20.0</v>
      </c>
      <c r="B27" s="28" t="s">
        <v>23</v>
      </c>
      <c r="C27" s="30">
        <f t="shared" ref="C27:D27" si="20">INDIRECT("Lengua y Literatura!g27")</f>
        <v>6</v>
      </c>
      <c r="D27" s="30">
        <f t="shared" si="20"/>
        <v>6</v>
      </c>
      <c r="E27" s="30">
        <f>INDIRECT("Geografía!g27")</f>
        <v>6</v>
      </c>
      <c r="F27" s="30">
        <f>INDIRECT("Historia I!g27")</f>
        <v>6</v>
      </c>
      <c r="G27" s="30">
        <f>INDIRECT("Formación Ética y Ciudadana!g27")</f>
        <v>6</v>
      </c>
      <c r="H27" s="30">
        <f>INDIRECT("Educación Física!g27")</f>
        <v>6</v>
      </c>
      <c r="I27" s="30">
        <f>INDIRECT("Matemáticas!g27")</f>
        <v>6</v>
      </c>
      <c r="J27" s="30">
        <f>INDIRECT("Biología!g27")</f>
        <v>6</v>
      </c>
      <c r="K27" s="30">
        <f>INDIRECT("Dibujo Técnico!g27")</f>
        <v>6</v>
      </c>
      <c r="L27" s="30">
        <f>INDIRECT("Tecnología!g27")</f>
        <v>6</v>
      </c>
      <c r="M27" s="30">
        <f>INDIRECT("Electricidad!g27")</f>
        <v>6</v>
      </c>
      <c r="N27" s="30">
        <f>INDIRECT("Carpintería!g27")</f>
        <v>6</v>
      </c>
      <c r="O27" s="30">
        <f>INDIRECT("Hojalatería!g27")</f>
        <v>6</v>
      </c>
      <c r="P27" s="30">
        <f>INDIRECT("Ajuste Mecánico!g27")</f>
        <v>6</v>
      </c>
      <c r="Q27" s="30">
        <f>INDIRECT("Informática!g27")</f>
        <v>6</v>
      </c>
      <c r="R27" s="30">
        <f>INDIRECT("Construcciones!g27")</f>
        <v>6</v>
      </c>
      <c r="S27" s="9"/>
      <c r="T27" s="9"/>
      <c r="U27" s="9"/>
      <c r="V27" s="9"/>
      <c r="W27" s="9"/>
      <c r="X27" s="9"/>
      <c r="Y27" s="9"/>
      <c r="Z27" s="9"/>
    </row>
    <row r="28">
      <c r="A28" s="7">
        <v>21.0</v>
      </c>
      <c r="B28" s="28" t="s">
        <v>24</v>
      </c>
      <c r="C28" s="30">
        <f t="shared" ref="C28:D28" si="21">INDIRECT("Lengua y Literatura!g28")</f>
        <v>6</v>
      </c>
      <c r="D28" s="30">
        <f t="shared" si="21"/>
        <v>6</v>
      </c>
      <c r="E28" s="30">
        <f>INDIRECT("Geografía!g28")</f>
        <v>6</v>
      </c>
      <c r="F28" s="30">
        <f>INDIRECT("Historia I!g28")</f>
        <v>6</v>
      </c>
      <c r="G28" s="30">
        <f>INDIRECT("Formación Ética y Ciudadana!g28")</f>
        <v>6</v>
      </c>
      <c r="H28" s="30">
        <f>INDIRECT("Educación Física!g28")</f>
        <v>6</v>
      </c>
      <c r="I28" s="30">
        <f>INDIRECT("Matemáticas!g28")</f>
        <v>6</v>
      </c>
      <c r="J28" s="30">
        <f>INDIRECT("Biología!g28")</f>
        <v>6</v>
      </c>
      <c r="K28" s="30">
        <f>INDIRECT("Dibujo Técnico!g28")</f>
        <v>6</v>
      </c>
      <c r="L28" s="30">
        <f>INDIRECT("Tecnología!g28")</f>
        <v>6</v>
      </c>
      <c r="M28" s="30">
        <f>INDIRECT("Electricidad!g28")</f>
        <v>6</v>
      </c>
      <c r="N28" s="30">
        <f>INDIRECT("Carpintería!g28")</f>
        <v>6</v>
      </c>
      <c r="O28" s="30">
        <f>INDIRECT("Hojalatería!g28")</f>
        <v>6</v>
      </c>
      <c r="P28" s="30">
        <f>INDIRECT("Ajuste Mecánico!g28")</f>
        <v>6</v>
      </c>
      <c r="Q28" s="30">
        <f>INDIRECT("Informática!g28")</f>
        <v>6</v>
      </c>
      <c r="R28" s="30">
        <f>INDIRECT("Construcciones!g28")</f>
        <v>6</v>
      </c>
      <c r="S28" s="9"/>
      <c r="T28" s="9"/>
      <c r="U28" s="9"/>
      <c r="V28" s="9"/>
      <c r="W28" s="9"/>
      <c r="X28" s="9"/>
      <c r="Y28" s="9"/>
      <c r="Z28" s="9"/>
    </row>
    <row r="29">
      <c r="A29" s="7">
        <v>22.0</v>
      </c>
      <c r="B29" s="28" t="s">
        <v>25</v>
      </c>
      <c r="C29" s="30">
        <f t="shared" ref="C29:D29" si="22">INDIRECT("Lengua y Literatura!g29")</f>
        <v>6</v>
      </c>
      <c r="D29" s="30">
        <f t="shared" si="22"/>
        <v>6</v>
      </c>
      <c r="E29" s="30">
        <f>INDIRECT("Geografía!g29")</f>
        <v>6</v>
      </c>
      <c r="F29" s="30">
        <f>INDIRECT("Historia I!g29")</f>
        <v>6</v>
      </c>
      <c r="G29" s="30">
        <f>INDIRECT("Formación Ética y Ciudadana!g29")</f>
        <v>6</v>
      </c>
      <c r="H29" s="30">
        <f>INDIRECT("Educación Física!g29")</f>
        <v>6</v>
      </c>
      <c r="I29" s="30">
        <f>INDIRECT("Matemáticas!g29")</f>
        <v>6</v>
      </c>
      <c r="J29" s="30">
        <f>INDIRECT("Biología!g29")</f>
        <v>6</v>
      </c>
      <c r="K29" s="30">
        <f>INDIRECT("Dibujo Técnico!g29")</f>
        <v>6</v>
      </c>
      <c r="L29" s="30">
        <f>INDIRECT("Tecnología!g29")</f>
        <v>6</v>
      </c>
      <c r="M29" s="30">
        <f>INDIRECT("Electricidad!g29")</f>
        <v>6</v>
      </c>
      <c r="N29" s="30">
        <f>INDIRECT("Carpintería!g29")</f>
        <v>6</v>
      </c>
      <c r="O29" s="30">
        <f>INDIRECT("Hojalatería!g29")</f>
        <v>6</v>
      </c>
      <c r="P29" s="30">
        <f>INDIRECT("Ajuste Mecánico!g29")</f>
        <v>6</v>
      </c>
      <c r="Q29" s="30">
        <f>INDIRECT("Informática!g29")</f>
        <v>6</v>
      </c>
      <c r="R29" s="30">
        <f>INDIRECT("Construcciones!g29")</f>
        <v>6</v>
      </c>
      <c r="S29" s="9"/>
      <c r="T29" s="9"/>
      <c r="U29" s="9"/>
      <c r="V29" s="9"/>
      <c r="W29" s="9"/>
      <c r="X29" s="9"/>
      <c r="Y29" s="9"/>
      <c r="Z29" s="9"/>
    </row>
    <row r="30">
      <c r="A30" s="7">
        <v>23.0</v>
      </c>
      <c r="B30" s="28" t="s">
        <v>26</v>
      </c>
      <c r="C30" s="30">
        <f t="shared" ref="C30:D30" si="23">INDIRECT("Lengua y Literatura!g30")</f>
        <v>6</v>
      </c>
      <c r="D30" s="30">
        <f t="shared" si="23"/>
        <v>6</v>
      </c>
      <c r="E30" s="30">
        <f>INDIRECT("Geografía!g30")</f>
        <v>6</v>
      </c>
      <c r="F30" s="30">
        <f>INDIRECT("Historia I!g30")</f>
        <v>6</v>
      </c>
      <c r="G30" s="30">
        <f>INDIRECT("Formación Ética y Ciudadana!g30")</f>
        <v>6</v>
      </c>
      <c r="H30" s="30">
        <f>INDIRECT("Educación Física!g30")</f>
        <v>6</v>
      </c>
      <c r="I30" s="30">
        <f>INDIRECT("Matemáticas!g30")</f>
        <v>6</v>
      </c>
      <c r="J30" s="30">
        <f>INDIRECT("Biología!g30")</f>
        <v>6</v>
      </c>
      <c r="K30" s="30">
        <f>INDIRECT("Dibujo Técnico!g30")</f>
        <v>6</v>
      </c>
      <c r="L30" s="30">
        <f>INDIRECT("Tecnología!g30")</f>
        <v>6</v>
      </c>
      <c r="M30" s="30">
        <f>INDIRECT("Electricidad!g30")</f>
        <v>6</v>
      </c>
      <c r="N30" s="30">
        <f>INDIRECT("Carpintería!g30")</f>
        <v>6</v>
      </c>
      <c r="O30" s="30">
        <f>INDIRECT("Hojalatería!g30")</f>
        <v>6</v>
      </c>
      <c r="P30" s="30">
        <f>INDIRECT("Ajuste Mecánico!g30")</f>
        <v>6</v>
      </c>
      <c r="Q30" s="30">
        <f>INDIRECT("Informática!g30")</f>
        <v>6</v>
      </c>
      <c r="R30" s="30">
        <f>INDIRECT("Construcciones!g30")</f>
        <v>6</v>
      </c>
      <c r="S30" s="9"/>
      <c r="T30" s="9"/>
      <c r="U30" s="9"/>
      <c r="V30" s="9"/>
      <c r="W30" s="9"/>
      <c r="X30" s="9"/>
      <c r="Y30" s="9"/>
      <c r="Z30" s="9"/>
    </row>
    <row r="31">
      <c r="A31" s="7">
        <v>24.0</v>
      </c>
      <c r="B31" s="28" t="s">
        <v>27</v>
      </c>
      <c r="C31" s="30">
        <f t="shared" ref="C31:D31" si="24">INDIRECT("Lengua y Literatura!g31")</f>
        <v>6</v>
      </c>
      <c r="D31" s="30">
        <f t="shared" si="24"/>
        <v>6</v>
      </c>
      <c r="E31" s="30">
        <f>INDIRECT("Geografía!g31")</f>
        <v>6</v>
      </c>
      <c r="F31" s="30">
        <f>INDIRECT("Historia I!g31")</f>
        <v>6</v>
      </c>
      <c r="G31" s="30">
        <f>INDIRECT("Formación Ética y Ciudadana!g31")</f>
        <v>6</v>
      </c>
      <c r="H31" s="30">
        <f>INDIRECT("Educación Física!g31")</f>
        <v>6</v>
      </c>
      <c r="I31" s="30">
        <f>INDIRECT("Matemáticas!g31")</f>
        <v>6</v>
      </c>
      <c r="J31" s="30">
        <f>INDIRECT("Biología!g31")</f>
        <v>6</v>
      </c>
      <c r="K31" s="30">
        <f>INDIRECT("Dibujo Técnico!g31")</f>
        <v>6</v>
      </c>
      <c r="L31" s="30">
        <f>INDIRECT("Tecnología!g31")</f>
        <v>6</v>
      </c>
      <c r="M31" s="30">
        <f>INDIRECT("Electricidad!g31")</f>
        <v>6</v>
      </c>
      <c r="N31" s="30">
        <f>INDIRECT("Carpintería!g31")</f>
        <v>6</v>
      </c>
      <c r="O31" s="30">
        <f>INDIRECT("Hojalatería!g31")</f>
        <v>6</v>
      </c>
      <c r="P31" s="30">
        <f>INDIRECT("Ajuste Mecánico!g31")</f>
        <v>6</v>
      </c>
      <c r="Q31" s="30">
        <f>INDIRECT("Informática!g31")</f>
        <v>6</v>
      </c>
      <c r="R31" s="30">
        <f>INDIRECT("Construcciones!g31")</f>
        <v>6</v>
      </c>
      <c r="S31" s="9"/>
      <c r="T31" s="9"/>
      <c r="U31" s="9"/>
      <c r="V31" s="9"/>
      <c r="W31" s="9"/>
      <c r="X31" s="9"/>
      <c r="Y31" s="9"/>
      <c r="Z31" s="9"/>
    </row>
    <row r="32">
      <c r="A32" s="7">
        <v>25.0</v>
      </c>
      <c r="B32" s="28" t="s">
        <v>28</v>
      </c>
      <c r="C32" s="30">
        <f t="shared" ref="C32:D32" si="25">INDIRECT("Lengua y Literatura!g32")</f>
        <v>6</v>
      </c>
      <c r="D32" s="30">
        <f t="shared" si="25"/>
        <v>6</v>
      </c>
      <c r="E32" s="30">
        <f>INDIRECT("Geografía!g32")</f>
        <v>6</v>
      </c>
      <c r="F32" s="30">
        <f>INDIRECT("Historia I!g32")</f>
        <v>6</v>
      </c>
      <c r="G32" s="30">
        <f>INDIRECT("Formación Ética y Ciudadana!g32")</f>
        <v>6</v>
      </c>
      <c r="H32" s="30">
        <f>INDIRECT("Educación Física!g32")</f>
        <v>6</v>
      </c>
      <c r="I32" s="30">
        <f>INDIRECT("Matemáticas!g32")</f>
        <v>6</v>
      </c>
      <c r="J32" s="30">
        <f>INDIRECT("Biología!g32")</f>
        <v>6</v>
      </c>
      <c r="K32" s="30">
        <f>INDIRECT("Dibujo Técnico!g32")</f>
        <v>6</v>
      </c>
      <c r="L32" s="30">
        <f>INDIRECT("Tecnología!g32")</f>
        <v>6</v>
      </c>
      <c r="M32" s="30">
        <f>INDIRECT("Electricidad!g32")</f>
        <v>6</v>
      </c>
      <c r="N32" s="30">
        <f>INDIRECT("Carpintería!g32")</f>
        <v>6</v>
      </c>
      <c r="O32" s="30">
        <f>INDIRECT("Hojalatería!g32")</f>
        <v>6</v>
      </c>
      <c r="P32" s="30">
        <f>INDIRECT("Ajuste Mecánico!g32")</f>
        <v>6</v>
      </c>
      <c r="Q32" s="30">
        <f>INDIRECT("Informática!g32")</f>
        <v>6</v>
      </c>
      <c r="R32" s="30">
        <f>INDIRECT("Construcciones!g32")</f>
        <v>6</v>
      </c>
      <c r="S32" s="9"/>
      <c r="T32" s="9"/>
      <c r="U32" s="9"/>
      <c r="V32" s="9"/>
      <c r="W32" s="9"/>
      <c r="X32" s="9"/>
      <c r="Y32" s="9"/>
      <c r="Z32" s="9"/>
    </row>
    <row r="33">
      <c r="A33" s="7">
        <v>26.0</v>
      </c>
      <c r="B33" s="28" t="s">
        <v>55</v>
      </c>
      <c r="C33" s="30">
        <f t="shared" ref="C33:D33" si="26">INDIRECT("Lengua y Literatura!g33")</f>
        <v>6</v>
      </c>
      <c r="D33" s="30">
        <f t="shared" si="26"/>
        <v>6</v>
      </c>
      <c r="E33" s="30">
        <f>INDIRECT("Geografía!g33")</f>
        <v>6</v>
      </c>
      <c r="F33" s="30">
        <f>INDIRECT("Historia I!g33")</f>
        <v>6</v>
      </c>
      <c r="G33" s="30">
        <f>INDIRECT("Formación Ética y Ciudadana!g33")</f>
        <v>6</v>
      </c>
      <c r="H33" s="30">
        <f>INDIRECT("Educación Física!g33")</f>
        <v>6</v>
      </c>
      <c r="I33" s="30">
        <f>INDIRECT("Matemáticas!g33")</f>
        <v>6</v>
      </c>
      <c r="J33" s="30">
        <f>INDIRECT("Biología!g33")</f>
        <v>6</v>
      </c>
      <c r="K33" s="30">
        <f>INDIRECT("Dibujo Técnico!g33")</f>
        <v>6</v>
      </c>
      <c r="L33" s="30">
        <f>INDIRECT("Tecnología!g33")</f>
        <v>6</v>
      </c>
      <c r="M33" s="30">
        <f>INDIRECT("Electricidad!g33")</f>
        <v>6</v>
      </c>
      <c r="N33" s="30">
        <f>INDIRECT("Carpintería!g33")</f>
        <v>6</v>
      </c>
      <c r="O33" s="30">
        <f>INDIRECT("Hojalatería!g33")</f>
        <v>6</v>
      </c>
      <c r="P33" s="30">
        <f>INDIRECT("Ajuste Mecánico!g33")</f>
        <v>6</v>
      </c>
      <c r="Q33" s="30">
        <f>INDIRECT("Informática!g33")</f>
        <v>6</v>
      </c>
      <c r="R33" s="30">
        <f>INDIRECT("Construcciones!g33")</f>
        <v>6</v>
      </c>
      <c r="S33" s="9"/>
      <c r="T33" s="9"/>
      <c r="U33" s="9"/>
      <c r="V33" s="9"/>
      <c r="W33" s="9"/>
      <c r="X33" s="9"/>
      <c r="Y33" s="9"/>
      <c r="Z33" s="9"/>
    </row>
    <row r="34">
      <c r="A34" s="7">
        <v>27.0</v>
      </c>
      <c r="B34" s="28" t="s">
        <v>30</v>
      </c>
      <c r="C34" s="30">
        <f t="shared" ref="C34:D34" si="27">INDIRECT("Lengua y Literatura!g34")</f>
        <v>6</v>
      </c>
      <c r="D34" s="30">
        <f t="shared" si="27"/>
        <v>6</v>
      </c>
      <c r="E34" s="30">
        <f>INDIRECT("Geografía!g34")</f>
        <v>6</v>
      </c>
      <c r="F34" s="30">
        <f>INDIRECT("Historia I!g34")</f>
        <v>6</v>
      </c>
      <c r="G34" s="30">
        <f>INDIRECT("Formación Ética y Ciudadana!g34")</f>
        <v>6</v>
      </c>
      <c r="H34" s="30">
        <f>INDIRECT("Educación Física!g34")</f>
        <v>6</v>
      </c>
      <c r="I34" s="30">
        <f>INDIRECT("Matemáticas!g34")</f>
        <v>6</v>
      </c>
      <c r="J34" s="30">
        <f>INDIRECT("Biología!g34")</f>
        <v>6</v>
      </c>
      <c r="K34" s="30">
        <f>INDIRECT("Dibujo Técnico!g34")</f>
        <v>6</v>
      </c>
      <c r="L34" s="30">
        <f>INDIRECT("Tecnología!g34")</f>
        <v>6</v>
      </c>
      <c r="M34" s="30">
        <f>INDIRECT("Electricidad!g34")</f>
        <v>6</v>
      </c>
      <c r="N34" s="30">
        <f>INDIRECT("Carpintería!g34")</f>
        <v>6</v>
      </c>
      <c r="O34" s="30">
        <f>INDIRECT("Hojalatería!g34")</f>
        <v>6</v>
      </c>
      <c r="P34" s="30">
        <f>INDIRECT("Ajuste Mecánico!g34")</f>
        <v>6</v>
      </c>
      <c r="Q34" s="30">
        <f>INDIRECT("Informática!g34")</f>
        <v>6</v>
      </c>
      <c r="R34" s="30">
        <f>INDIRECT("Construcciones!g34")</f>
        <v>6</v>
      </c>
      <c r="S34" s="9"/>
      <c r="T34" s="9"/>
      <c r="U34" s="9"/>
      <c r="V34" s="9"/>
      <c r="W34" s="9"/>
      <c r="X34" s="9"/>
      <c r="Y34" s="9"/>
      <c r="Z34" s="9"/>
    </row>
    <row r="35">
      <c r="A35" s="7">
        <v>28.0</v>
      </c>
      <c r="B35" s="28" t="s">
        <v>31</v>
      </c>
      <c r="C35" s="30">
        <f t="shared" ref="C35:D35" si="28">INDIRECT("Lengua y Literatura!g35")</f>
        <v>6</v>
      </c>
      <c r="D35" s="30">
        <f t="shared" si="28"/>
        <v>6</v>
      </c>
      <c r="E35" s="30">
        <f>INDIRECT("Geografía!g35")</f>
        <v>6</v>
      </c>
      <c r="F35" s="30">
        <f>INDIRECT("Historia I!g35")</f>
        <v>6</v>
      </c>
      <c r="G35" s="30">
        <f>INDIRECT("Formación Ética y Ciudadana!g35")</f>
        <v>6</v>
      </c>
      <c r="H35" s="30">
        <f>INDIRECT("Educación Física!g35")</f>
        <v>6</v>
      </c>
      <c r="I35" s="30">
        <f>INDIRECT("Matemáticas!g35")</f>
        <v>6</v>
      </c>
      <c r="J35" s="30">
        <f>INDIRECT("Biología!g35")</f>
        <v>6</v>
      </c>
      <c r="K35" s="30">
        <f>INDIRECT("Dibujo Técnico!g35")</f>
        <v>6</v>
      </c>
      <c r="L35" s="30">
        <f>INDIRECT("Tecnología!g35")</f>
        <v>6</v>
      </c>
      <c r="M35" s="30">
        <f>INDIRECT("Electricidad!g35")</f>
        <v>6</v>
      </c>
      <c r="N35" s="30">
        <f>INDIRECT("Carpintería!g35")</f>
        <v>6</v>
      </c>
      <c r="O35" s="30">
        <f>INDIRECT("Hojalatería!g35")</f>
        <v>6</v>
      </c>
      <c r="P35" s="30">
        <f>INDIRECT("Ajuste Mecánico!g35")</f>
        <v>6</v>
      </c>
      <c r="Q35" s="30">
        <f>INDIRECT("Informática!g35")</f>
        <v>6</v>
      </c>
      <c r="R35" s="30">
        <f>INDIRECT("Construcciones!g35")</f>
        <v>6</v>
      </c>
      <c r="S35" s="9"/>
      <c r="T35" s="9"/>
      <c r="U35" s="9"/>
      <c r="V35" s="9"/>
      <c r="W35" s="9"/>
      <c r="X35" s="9"/>
      <c r="Y35" s="9"/>
      <c r="Z35" s="9"/>
    </row>
    <row r="36">
      <c r="A36" s="7">
        <v>29.0</v>
      </c>
      <c r="B36" s="28" t="s">
        <v>32</v>
      </c>
      <c r="C36" s="30">
        <f t="shared" ref="C36:D36" si="29">INDIRECT("Lengua y Literatura!g36")</f>
        <v>6</v>
      </c>
      <c r="D36" s="30">
        <f t="shared" si="29"/>
        <v>6</v>
      </c>
      <c r="E36" s="30">
        <f>INDIRECT("Geografía!g36")</f>
        <v>6</v>
      </c>
      <c r="F36" s="30">
        <f>INDIRECT("Historia I!g36")</f>
        <v>6</v>
      </c>
      <c r="G36" s="30">
        <f>INDIRECT("Formación Ética y Ciudadana!g36")</f>
        <v>6</v>
      </c>
      <c r="H36" s="30">
        <f>INDIRECT("Educación Física!g36")</f>
        <v>6</v>
      </c>
      <c r="I36" s="30">
        <f>INDIRECT("Matemáticas!g36")</f>
        <v>6</v>
      </c>
      <c r="J36" s="30">
        <f>INDIRECT("Biología!g36")</f>
        <v>6</v>
      </c>
      <c r="K36" s="30">
        <f>INDIRECT("Dibujo Técnico!g36")</f>
        <v>6</v>
      </c>
      <c r="L36" s="30">
        <f>INDIRECT("Tecnología!g36")</f>
        <v>6</v>
      </c>
      <c r="M36" s="30">
        <f>INDIRECT("Electricidad!g36")</f>
        <v>6</v>
      </c>
      <c r="N36" s="30">
        <f>INDIRECT("Carpintería!g36")</f>
        <v>6</v>
      </c>
      <c r="O36" s="30">
        <f>INDIRECT("Hojalatería!g36")</f>
        <v>6</v>
      </c>
      <c r="P36" s="30">
        <f>INDIRECT("Ajuste Mecánico!g36")</f>
        <v>6</v>
      </c>
      <c r="Q36" s="30">
        <f>INDIRECT("Informática!g36")</f>
        <v>6</v>
      </c>
      <c r="R36" s="30">
        <f>INDIRECT("Construcciones!g36")</f>
        <v>6</v>
      </c>
      <c r="S36" s="9"/>
      <c r="T36" s="9"/>
      <c r="U36" s="9"/>
      <c r="V36" s="9"/>
      <c r="W36" s="9"/>
      <c r="X36" s="9"/>
      <c r="Y36" s="9"/>
      <c r="Z36" s="9"/>
    </row>
    <row r="37">
      <c r="A37" s="7">
        <v>30.0</v>
      </c>
      <c r="B37" s="28" t="s">
        <v>33</v>
      </c>
      <c r="C37" s="30">
        <f t="shared" ref="C37:D37" si="30">INDIRECT("Lengua y Literatura!g37")</f>
        <v>6</v>
      </c>
      <c r="D37" s="30">
        <f t="shared" si="30"/>
        <v>6</v>
      </c>
      <c r="E37" s="30">
        <f>INDIRECT("Geografía!g37")</f>
        <v>6</v>
      </c>
      <c r="F37" s="30">
        <f>INDIRECT("Historia I!g37")</f>
        <v>6</v>
      </c>
      <c r="G37" s="30">
        <f>INDIRECT("Formación Ética y Ciudadana!g37")</f>
        <v>6</v>
      </c>
      <c r="H37" s="30">
        <f>INDIRECT("Educación Física!g37")</f>
        <v>6</v>
      </c>
      <c r="I37" s="30">
        <f>INDIRECT("Matemáticas!g37")</f>
        <v>6</v>
      </c>
      <c r="J37" s="30">
        <f>INDIRECT("Biología!g37")</f>
        <v>6</v>
      </c>
      <c r="K37" s="30">
        <f>INDIRECT("Dibujo Técnico!g37")</f>
        <v>6</v>
      </c>
      <c r="L37" s="30">
        <f>INDIRECT("Tecnología!g37")</f>
        <v>6</v>
      </c>
      <c r="M37" s="30">
        <f>INDIRECT("Electricidad!g37")</f>
        <v>6</v>
      </c>
      <c r="N37" s="30">
        <f>INDIRECT("Carpintería!g37")</f>
        <v>6</v>
      </c>
      <c r="O37" s="30">
        <f>INDIRECT("Hojalatería!g37")</f>
        <v>6</v>
      </c>
      <c r="P37" s="30">
        <f>INDIRECT("Ajuste Mecánico!g37")</f>
        <v>6</v>
      </c>
      <c r="Q37" s="30">
        <f>INDIRECT("Informática!g37")</f>
        <v>6</v>
      </c>
      <c r="R37" s="30">
        <f>INDIRECT("Construcciones!g37")</f>
        <v>6</v>
      </c>
      <c r="S37" s="9"/>
      <c r="T37" s="9"/>
      <c r="U37" s="9"/>
      <c r="V37" s="9"/>
      <c r="W37" s="9"/>
      <c r="X37" s="9"/>
      <c r="Y37" s="9"/>
      <c r="Z37" s="9"/>
    </row>
    <row r="38">
      <c r="A38" s="7">
        <v>31.0</v>
      </c>
      <c r="B38" s="28" t="s">
        <v>34</v>
      </c>
      <c r="C38" s="30">
        <f t="shared" ref="C38:D38" si="31">INDIRECT("Lengua y Literatura!g38")</f>
        <v>6</v>
      </c>
      <c r="D38" s="30">
        <f t="shared" si="31"/>
        <v>6</v>
      </c>
      <c r="E38" s="30">
        <f>INDIRECT("Geografía!g38")</f>
        <v>6</v>
      </c>
      <c r="F38" s="30">
        <f>INDIRECT("Historia I!g38")</f>
        <v>6</v>
      </c>
      <c r="G38" s="30">
        <f>INDIRECT("Formación Ética y Ciudadana!g38")</f>
        <v>6</v>
      </c>
      <c r="H38" s="30">
        <f>INDIRECT("Educación Física!g38")</f>
        <v>6</v>
      </c>
      <c r="I38" s="30">
        <f>INDIRECT("Matemáticas!g38")</f>
        <v>6</v>
      </c>
      <c r="J38" s="30">
        <f>INDIRECT("Biología!g38")</f>
        <v>6</v>
      </c>
      <c r="K38" s="30">
        <f>INDIRECT("Dibujo Técnico!g38")</f>
        <v>6</v>
      </c>
      <c r="L38" s="30">
        <f>INDIRECT("Tecnología!g38")</f>
        <v>6</v>
      </c>
      <c r="M38" s="30">
        <f>INDIRECT("Electricidad!g38")</f>
        <v>6</v>
      </c>
      <c r="N38" s="30">
        <f>INDIRECT("Carpintería!g38")</f>
        <v>6</v>
      </c>
      <c r="O38" s="30">
        <f>INDIRECT("Hojalatería!g38")</f>
        <v>6</v>
      </c>
      <c r="P38" s="30">
        <f>INDIRECT("Ajuste Mecánico!g38")</f>
        <v>6</v>
      </c>
      <c r="Q38" s="30">
        <f>INDIRECT("Informática!g38")</f>
        <v>6</v>
      </c>
      <c r="R38" s="30">
        <f>INDIRECT("Construcciones!g38")</f>
        <v>6</v>
      </c>
      <c r="S38" s="9"/>
      <c r="T38" s="9"/>
      <c r="U38" s="9"/>
      <c r="V38" s="9"/>
      <c r="W38" s="9"/>
      <c r="X38" s="9"/>
      <c r="Y38" s="9"/>
      <c r="Z38" s="9"/>
    </row>
    <row r="39">
      <c r="A39" s="7">
        <v>32.0</v>
      </c>
      <c r="B39" s="28" t="s">
        <v>35</v>
      </c>
      <c r="C39" s="30">
        <f t="shared" ref="C39:D39" si="32">INDIRECT("Lengua y Literatura!g39")</f>
        <v>6</v>
      </c>
      <c r="D39" s="30">
        <f t="shared" si="32"/>
        <v>6</v>
      </c>
      <c r="E39" s="30">
        <f>INDIRECT("Geografía!g39")</f>
        <v>6</v>
      </c>
      <c r="F39" s="30">
        <f>INDIRECT("Historia I!g39")</f>
        <v>6</v>
      </c>
      <c r="G39" s="30">
        <f>INDIRECT("Formación Ética y Ciudadana!g39")</f>
        <v>6</v>
      </c>
      <c r="H39" s="30">
        <f>INDIRECT("Educación Física!g39")</f>
        <v>6</v>
      </c>
      <c r="I39" s="30">
        <f>INDIRECT("Matemáticas!g39")</f>
        <v>6</v>
      </c>
      <c r="J39" s="30">
        <f>INDIRECT("Biología!g39")</f>
        <v>6</v>
      </c>
      <c r="K39" s="30">
        <f>INDIRECT("Dibujo Técnico!g39")</f>
        <v>6</v>
      </c>
      <c r="L39" s="30">
        <f>INDIRECT("Tecnología!g39")</f>
        <v>6</v>
      </c>
      <c r="M39" s="30">
        <f>INDIRECT("Electricidad!g39")</f>
        <v>6</v>
      </c>
      <c r="N39" s="30">
        <f>INDIRECT("Carpintería!g39")</f>
        <v>6</v>
      </c>
      <c r="O39" s="30">
        <f>INDIRECT("Hojalatería!g39")</f>
        <v>6</v>
      </c>
      <c r="P39" s="30">
        <f>INDIRECT("Ajuste Mecánico!g39")</f>
        <v>6</v>
      </c>
      <c r="Q39" s="30">
        <f>INDIRECT("Informática!g39")</f>
        <v>6</v>
      </c>
      <c r="R39" s="30">
        <f>INDIRECT("Construcciones!g39")</f>
        <v>6</v>
      </c>
      <c r="S39" s="9"/>
      <c r="T39" s="9"/>
      <c r="U39" s="9"/>
      <c r="V39" s="9"/>
      <c r="W39" s="9"/>
      <c r="X39" s="9"/>
      <c r="Y39" s="9"/>
      <c r="Z39" s="9"/>
    </row>
    <row r="40">
      <c r="A40" s="7">
        <v>33.0</v>
      </c>
      <c r="B40" s="28" t="s">
        <v>36</v>
      </c>
      <c r="C40" s="30">
        <f t="shared" ref="C40:D40" si="33">INDIRECT("Lengua y Literatura!g40")</f>
        <v>7</v>
      </c>
      <c r="D40" s="30">
        <f t="shared" si="33"/>
        <v>7</v>
      </c>
      <c r="E40" s="30">
        <f>INDIRECT("Geografía!g40")</f>
        <v>7</v>
      </c>
      <c r="F40" s="30">
        <f>INDIRECT("Historia I!g40")</f>
        <v>7</v>
      </c>
      <c r="G40" s="30">
        <f>INDIRECT("Formación Ética y Ciudadana!g40")</f>
        <v>7</v>
      </c>
      <c r="H40" s="30">
        <f>INDIRECT("Educación Física!g40")</f>
        <v>7</v>
      </c>
      <c r="I40" s="30">
        <f>INDIRECT("Matemáticas!g40")</f>
        <v>7</v>
      </c>
      <c r="J40" s="30">
        <f>INDIRECT("Biología!g40")</f>
        <v>7</v>
      </c>
      <c r="K40" s="30">
        <f>INDIRECT("Dibujo Técnico!g40")</f>
        <v>7</v>
      </c>
      <c r="L40" s="30">
        <f>INDIRECT("Tecnología!g40")</f>
        <v>7</v>
      </c>
      <c r="M40" s="30">
        <f>INDIRECT("Electricidad!g40")</f>
        <v>7</v>
      </c>
      <c r="N40" s="30">
        <f>INDIRECT("Carpintería!g40")</f>
        <v>7</v>
      </c>
      <c r="O40" s="30">
        <f>INDIRECT("Hojalatería!g40")</f>
        <v>7</v>
      </c>
      <c r="P40" s="30">
        <f>INDIRECT("Ajuste Mecánico!g40")</f>
        <v>7</v>
      </c>
      <c r="Q40" s="30">
        <f>INDIRECT("Informática!g40")</f>
        <v>7</v>
      </c>
      <c r="R40" s="30">
        <f>INDIRECT("Construcciones!g40")</f>
        <v>7</v>
      </c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1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10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1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1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10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1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10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10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10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10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10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1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10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10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10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10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10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10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10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10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1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1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10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10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10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10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10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10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10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10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10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1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1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10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10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10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1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10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10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10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1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10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1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1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10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10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10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10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10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10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10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10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10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10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10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10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10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10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10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10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10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10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10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10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10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10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10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10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10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10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10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10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10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10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10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10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10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10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10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10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10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10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10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10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10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10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10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10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10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10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10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10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10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10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10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10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10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10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10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10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10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10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10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10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10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10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10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10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10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10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10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10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10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10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10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10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10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10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10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10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10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10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10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10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10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10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10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10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10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10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10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10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10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10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10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10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10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10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10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10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10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10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10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10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10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10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10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10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10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10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10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10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10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10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10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10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10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10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10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10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10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10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10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10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10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10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10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10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10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10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10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10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10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10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10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10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10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10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10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10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10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10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10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10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10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10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10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10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10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10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10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10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10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10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10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10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10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10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10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10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10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10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10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10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10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10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10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10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10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10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10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10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10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10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10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10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10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10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10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10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10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10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10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10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10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10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10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10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10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10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10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10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10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10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10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10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10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10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10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10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10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10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10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10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10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10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10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10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10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10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10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10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10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10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10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10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10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10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10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10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10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10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10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10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10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10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10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10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1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10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10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10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10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10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10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10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10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10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10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10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10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10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10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10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10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10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10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10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10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10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10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10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10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10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10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10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10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10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10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10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10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10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10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10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10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10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10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10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10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10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10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10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10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10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10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10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10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10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10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10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10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10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10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10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10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10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10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10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10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10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10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10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10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10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10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10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10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10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10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10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10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10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10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10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10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10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10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10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10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10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10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10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10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10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10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10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10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10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10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10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10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10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10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10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10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10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10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10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10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10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10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10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10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10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10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10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10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10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10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10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10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10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10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10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10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10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10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10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10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10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10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10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10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10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10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10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10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10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10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10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10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10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10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10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10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10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10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10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10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10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10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10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10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10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10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10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10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10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10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10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10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10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10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10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10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10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10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10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10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10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10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10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10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10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10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10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10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10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10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10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10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10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10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10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10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10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10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10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10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10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10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10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10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10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10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10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10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10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10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10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10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10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10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10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10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10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10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10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10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10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10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10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10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10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10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10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10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10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10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10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10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10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10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10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10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10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10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10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10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10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10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10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10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10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10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10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10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10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10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10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10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10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10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10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10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10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10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10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10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10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10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10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10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10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10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10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10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10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10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10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10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10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10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10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10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10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10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10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10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10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10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10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10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10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10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10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10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10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10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10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10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10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10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10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10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10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10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10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10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10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10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10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10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10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10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10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10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10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10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10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10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10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10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10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10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10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10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10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10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10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10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10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10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10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10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10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10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10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10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10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10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10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10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10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10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10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10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10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10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10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10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10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10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10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10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10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10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10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10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10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10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10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10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10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10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10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10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10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10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10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10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10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10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10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10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10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10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10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10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10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10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10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10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10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10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10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10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10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10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10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10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10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10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10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10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10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10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10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10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10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10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10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10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10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10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10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10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10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10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10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10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10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10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10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10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10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10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10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10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10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10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10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10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10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10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10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10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10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10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10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10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10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10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10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10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10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10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10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10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10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10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10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10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10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10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10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10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10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10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10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10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10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10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10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10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10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10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10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10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10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10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10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10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10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10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10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10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10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10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10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10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10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10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10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10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10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10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10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10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10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10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10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10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10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10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10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10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10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10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10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10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10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10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10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10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10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10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10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10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10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10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10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10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10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10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10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10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10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10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10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10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10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10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10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10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10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10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10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10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10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10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10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10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10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10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10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10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10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10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10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10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10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10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10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10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10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10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10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10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10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10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10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10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10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10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10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10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10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10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10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10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10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10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10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10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10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10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10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10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10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10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10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10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10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10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10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10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10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10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10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10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10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10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10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10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10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10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10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10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10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10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10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10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10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10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10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10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10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10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10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10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10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10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10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10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10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10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10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10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10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10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10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10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10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10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10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10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10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10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10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10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10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10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10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10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10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10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10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10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10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10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10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10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10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10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10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10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10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10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10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10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10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10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10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10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10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10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10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10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10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10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10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10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10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10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10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10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10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10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10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10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10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10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10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10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10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10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10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10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10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10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10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10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10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10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10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10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10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10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10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10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10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10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10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10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10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10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10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10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10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10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10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">
    <mergeCell ref="A4:B4"/>
    <mergeCell ref="A5:B5"/>
    <mergeCell ref="C5:R5"/>
    <mergeCell ref="C6:R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88"/>
    <col customWidth="1" min="2" max="2" width="17.63"/>
    <col customWidth="1" min="3" max="3" width="17.13"/>
    <col customWidth="1" min="4" max="19" width="4.88"/>
  </cols>
  <sheetData>
    <row r="1">
      <c r="A1" s="9"/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0</v>
      </c>
      <c r="B4" s="12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 t="s">
        <v>1</v>
      </c>
      <c r="B5" s="14"/>
      <c r="C5" s="15" t="s">
        <v>37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9"/>
      <c r="T5" s="9"/>
      <c r="U5" s="9"/>
      <c r="V5" s="9"/>
      <c r="W5" s="9"/>
      <c r="X5" s="9"/>
      <c r="Y5" s="9"/>
      <c r="Z5" s="9"/>
    </row>
    <row r="6">
      <c r="A6" s="18"/>
      <c r="B6" s="19"/>
      <c r="C6" s="20" t="s">
        <v>38</v>
      </c>
      <c r="R6" s="21"/>
      <c r="S6" s="9"/>
      <c r="T6" s="9"/>
      <c r="U6" s="9"/>
      <c r="V6" s="9"/>
      <c r="W6" s="9"/>
      <c r="X6" s="9"/>
      <c r="Y6" s="9"/>
      <c r="Z6" s="9"/>
    </row>
    <row r="7">
      <c r="A7" s="22" t="s">
        <v>2</v>
      </c>
      <c r="B7" s="31" t="s">
        <v>3</v>
      </c>
      <c r="C7" s="24" t="s">
        <v>39</v>
      </c>
      <c r="D7" s="25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  <c r="Q7" s="26" t="s">
        <v>53</v>
      </c>
      <c r="R7" s="27" t="s">
        <v>54</v>
      </c>
      <c r="S7" s="9"/>
      <c r="T7" s="9"/>
      <c r="U7" s="9"/>
      <c r="V7" s="9"/>
      <c r="W7" s="9"/>
      <c r="X7" s="9"/>
      <c r="Y7" s="9"/>
      <c r="Z7" s="9"/>
    </row>
    <row r="8">
      <c r="A8" s="7">
        <v>1.0</v>
      </c>
      <c r="B8" s="28" t="s">
        <v>4</v>
      </c>
      <c r="C8" s="29">
        <f>INDIRECT("Lengua y Literatura!L8")</f>
        <v>9</v>
      </c>
      <c r="D8" s="29">
        <f>INDIRECT("Lengua Extranjera!L8")</f>
        <v>7</v>
      </c>
      <c r="E8" s="29">
        <f>INDIRECT("Geografía!L8")</f>
        <v>7</v>
      </c>
      <c r="F8" s="29">
        <f>INDIRECT("Historia I!L8")</f>
        <v>7</v>
      </c>
      <c r="G8" s="29">
        <f>INDIRECT("Formación Ética y Ciudadana!L8")</f>
        <v>7</v>
      </c>
      <c r="H8" s="29">
        <f>INDIRECT("Educación Física!L8")</f>
        <v>7</v>
      </c>
      <c r="I8" s="29">
        <f>INDIRECT("Matemáticas!L8")</f>
        <v>7</v>
      </c>
      <c r="J8" s="29">
        <f>INDIRECT("Biología!L8")</f>
        <v>7</v>
      </c>
      <c r="K8" s="29">
        <f>INDIRECT("Dibujo Técnico!L8")</f>
        <v>7</v>
      </c>
      <c r="L8" s="29">
        <f>INDIRECT("Tecnología!L8")</f>
        <v>7</v>
      </c>
      <c r="M8" s="29">
        <f>INDIRECT("Electricidad!L8")</f>
        <v>7</v>
      </c>
      <c r="N8" s="29">
        <f>INDIRECT("Carpintería!L8")</f>
        <v>7</v>
      </c>
      <c r="O8" s="29">
        <f>INDIRECT("Hojalatería!L8")</f>
        <v>7</v>
      </c>
      <c r="P8" s="29">
        <f>INDIRECT("Ajuste Mecánico!L8")</f>
        <v>7</v>
      </c>
      <c r="Q8" s="29">
        <f>INDIRECT("Informática!L8")</f>
        <v>7</v>
      </c>
      <c r="R8" s="29">
        <f>INDIRECT("Construcciones!L8")</f>
        <v>7</v>
      </c>
      <c r="S8" s="9"/>
      <c r="T8" s="9"/>
      <c r="U8" s="9"/>
      <c r="V8" s="9"/>
      <c r="W8" s="9"/>
      <c r="X8" s="9"/>
      <c r="Y8" s="9"/>
      <c r="Z8" s="9"/>
    </row>
    <row r="9">
      <c r="A9" s="7">
        <v>2.0</v>
      </c>
      <c r="B9" s="28" t="s">
        <v>5</v>
      </c>
      <c r="C9" s="30">
        <f>INDIRECT("Lengua y Literatura!L9")</f>
        <v>7.25</v>
      </c>
      <c r="D9" s="30">
        <f>INDIRECT("Lengua Extranjera!L9")</f>
        <v>7</v>
      </c>
      <c r="E9" s="30">
        <f>INDIRECT("Geografía!L9")</f>
        <v>7</v>
      </c>
      <c r="F9" s="30">
        <f>INDIRECT("Historia I!L9")</f>
        <v>7</v>
      </c>
      <c r="G9" s="30">
        <f>INDIRECT("Formación Ética y Ciudadana!L9")</f>
        <v>7</v>
      </c>
      <c r="H9" s="30">
        <f>INDIRECT("Educación Física!L9")</f>
        <v>7</v>
      </c>
      <c r="I9" s="30">
        <f>INDIRECT("Matemáticas!L9")</f>
        <v>7</v>
      </c>
      <c r="J9" s="30">
        <f>INDIRECT("Biología!L9")</f>
        <v>7</v>
      </c>
      <c r="K9" s="30">
        <f>INDIRECT("Dibujo Técnico!L9")</f>
        <v>7</v>
      </c>
      <c r="L9" s="30">
        <f>INDIRECT("Tecnología!L9")</f>
        <v>7</v>
      </c>
      <c r="M9" s="30">
        <f>INDIRECT("Electricidad!L9")</f>
        <v>7</v>
      </c>
      <c r="N9" s="30">
        <f>INDIRECT("Carpintería!L9")</f>
        <v>7</v>
      </c>
      <c r="O9" s="30">
        <f>INDIRECT("Hojalatería!L9")</f>
        <v>7</v>
      </c>
      <c r="P9" s="30">
        <f>INDIRECT("Ajuste Mecánico!L9")</f>
        <v>7</v>
      </c>
      <c r="Q9" s="30">
        <f>INDIRECT("Informática!L9")</f>
        <v>7</v>
      </c>
      <c r="R9" s="30">
        <f>INDIRECT("Construcciones!L9")</f>
        <v>7</v>
      </c>
      <c r="S9" s="9"/>
      <c r="T9" s="9"/>
      <c r="U9" s="9"/>
      <c r="V9" s="9"/>
      <c r="W9" s="9"/>
      <c r="X9" s="9"/>
      <c r="Y9" s="9"/>
      <c r="Z9" s="9"/>
    </row>
    <row r="10">
      <c r="A10" s="7">
        <v>3.0</v>
      </c>
      <c r="B10" s="28" t="s">
        <v>6</v>
      </c>
      <c r="C10" s="30">
        <f>INDIRECT("Lengua y Literatura!L10")</f>
        <v>6.75</v>
      </c>
      <c r="D10" s="30">
        <f>INDIRECT("Lengua Extranjera!L10")</f>
        <v>7</v>
      </c>
      <c r="E10" s="30">
        <f>INDIRECT("Geografía!L10")</f>
        <v>7</v>
      </c>
      <c r="F10" s="30">
        <f>INDIRECT("Historia I!L10")</f>
        <v>7</v>
      </c>
      <c r="G10" s="30">
        <f>INDIRECT("Formación Ética y Ciudadana!L10")</f>
        <v>7</v>
      </c>
      <c r="H10" s="30">
        <f>INDIRECT("Educación Física!L10")</f>
        <v>7</v>
      </c>
      <c r="I10" s="30">
        <f>INDIRECT("Matemáticas!L10")</f>
        <v>7</v>
      </c>
      <c r="J10" s="30">
        <f>INDIRECT("Biología!L10")</f>
        <v>7</v>
      </c>
      <c r="K10" s="30">
        <f>INDIRECT("Dibujo Técnico!L10")</f>
        <v>7</v>
      </c>
      <c r="L10" s="30">
        <f>INDIRECT("Tecnología!L10")</f>
        <v>7</v>
      </c>
      <c r="M10" s="30">
        <f>INDIRECT("Electricidad!L10")</f>
        <v>7</v>
      </c>
      <c r="N10" s="30">
        <f>INDIRECT("Carpintería!L10")</f>
        <v>7</v>
      </c>
      <c r="O10" s="30">
        <f>INDIRECT("Hojalatería!L10")</f>
        <v>7</v>
      </c>
      <c r="P10" s="30">
        <f>INDIRECT("Ajuste Mecánico!L10")</f>
        <v>7</v>
      </c>
      <c r="Q10" s="30">
        <f>INDIRECT("Informática!L10")</f>
        <v>7</v>
      </c>
      <c r="R10" s="30">
        <f>INDIRECT("Construcciones!L10")</f>
        <v>7</v>
      </c>
      <c r="S10" s="9"/>
      <c r="T10" s="9"/>
      <c r="U10" s="9"/>
      <c r="V10" s="9"/>
      <c r="W10" s="9"/>
      <c r="X10" s="9"/>
      <c r="Y10" s="9"/>
      <c r="Z10" s="9"/>
    </row>
    <row r="11">
      <c r="A11" s="7">
        <v>4.0</v>
      </c>
      <c r="B11" s="28" t="s">
        <v>7</v>
      </c>
      <c r="C11" s="30">
        <f>INDIRECT("Lengua y Literatura!L11")</f>
        <v>6.75</v>
      </c>
      <c r="D11" s="30">
        <f>INDIRECT("Lengua Extranjera!L11")</f>
        <v>7</v>
      </c>
      <c r="E11" s="30">
        <f>INDIRECT("Geografía!L11")</f>
        <v>7</v>
      </c>
      <c r="F11" s="30">
        <f>INDIRECT("Historia I!L11")</f>
        <v>7</v>
      </c>
      <c r="G11" s="30">
        <f>INDIRECT("Formación Ética y Ciudadana!L11")</f>
        <v>7</v>
      </c>
      <c r="H11" s="30">
        <f>INDIRECT("Educación Física!L11")</f>
        <v>7</v>
      </c>
      <c r="I11" s="30">
        <f>INDIRECT("Matemáticas!L11")</f>
        <v>7</v>
      </c>
      <c r="J11" s="30">
        <f>INDIRECT("Biología!L11")</f>
        <v>7</v>
      </c>
      <c r="K11" s="30">
        <f>INDIRECT("Dibujo Técnico!L11")</f>
        <v>7</v>
      </c>
      <c r="L11" s="30">
        <f>INDIRECT("Tecnología!L11")</f>
        <v>7</v>
      </c>
      <c r="M11" s="30">
        <f>INDIRECT("Electricidad!L11")</f>
        <v>7</v>
      </c>
      <c r="N11" s="30">
        <f>INDIRECT("Carpintería!L11")</f>
        <v>7</v>
      </c>
      <c r="O11" s="30">
        <f>INDIRECT("Hojalatería!L11")</f>
        <v>7</v>
      </c>
      <c r="P11" s="30">
        <f>INDIRECT("Ajuste Mecánico!L11")</f>
        <v>7</v>
      </c>
      <c r="Q11" s="30">
        <f>INDIRECT("Informática!L11")</f>
        <v>7</v>
      </c>
      <c r="R11" s="30">
        <f>INDIRECT("Construcciones!L11")</f>
        <v>7</v>
      </c>
      <c r="S11" s="9"/>
      <c r="T11" s="9"/>
      <c r="U11" s="9"/>
      <c r="V11" s="9"/>
      <c r="W11" s="9"/>
      <c r="X11" s="9"/>
      <c r="Y11" s="9"/>
      <c r="Z11" s="9"/>
    </row>
    <row r="12">
      <c r="A12" s="7">
        <v>4.0</v>
      </c>
      <c r="B12" s="28" t="s">
        <v>8</v>
      </c>
      <c r="C12" s="30">
        <f>INDIRECT("Lengua y Literatura!L12")</f>
        <v>6.75</v>
      </c>
      <c r="D12" s="30">
        <f>INDIRECT("Lengua Extranjera!L12")</f>
        <v>7</v>
      </c>
      <c r="E12" s="30">
        <f>INDIRECT("Geografía!L12")</f>
        <v>7</v>
      </c>
      <c r="F12" s="30">
        <f>INDIRECT("Historia I!L12")</f>
        <v>7</v>
      </c>
      <c r="G12" s="30">
        <f>INDIRECT("Formación Ética y Ciudadana!L12")</f>
        <v>7</v>
      </c>
      <c r="H12" s="30">
        <f>INDIRECT("Educación Física!L12")</f>
        <v>7</v>
      </c>
      <c r="I12" s="30">
        <f>INDIRECT("Matemáticas!L12")</f>
        <v>7</v>
      </c>
      <c r="J12" s="30">
        <f>INDIRECT("Biología!L12")</f>
        <v>7</v>
      </c>
      <c r="K12" s="30">
        <f>INDIRECT("Dibujo Técnico!L12")</f>
        <v>7</v>
      </c>
      <c r="L12" s="30">
        <f>INDIRECT("Tecnología!L12")</f>
        <v>7</v>
      </c>
      <c r="M12" s="30">
        <f>INDIRECT("Electricidad!L12")</f>
        <v>7</v>
      </c>
      <c r="N12" s="30">
        <f>INDIRECT("Carpintería!L12")</f>
        <v>7</v>
      </c>
      <c r="O12" s="30">
        <f>INDIRECT("Hojalatería!L12")</f>
        <v>7</v>
      </c>
      <c r="P12" s="30">
        <f>INDIRECT("Ajuste Mecánico!L12")</f>
        <v>7</v>
      </c>
      <c r="Q12" s="30">
        <f>INDIRECT("Informática!L12")</f>
        <v>7</v>
      </c>
      <c r="R12" s="30">
        <f>INDIRECT("Construcciones!L12")</f>
        <v>7</v>
      </c>
      <c r="S12" s="9"/>
      <c r="T12" s="9"/>
      <c r="U12" s="9"/>
      <c r="V12" s="9"/>
      <c r="W12" s="9"/>
      <c r="X12" s="9"/>
      <c r="Y12" s="9"/>
      <c r="Z12" s="9"/>
    </row>
    <row r="13">
      <c r="A13" s="7">
        <v>6.0</v>
      </c>
      <c r="B13" s="28" t="s">
        <v>9</v>
      </c>
      <c r="C13" s="30">
        <f>INDIRECT("Lengua y Literatura!L13")</f>
        <v>6.75</v>
      </c>
      <c r="D13" s="30">
        <f>INDIRECT("Lengua Extranjera!L13")</f>
        <v>7</v>
      </c>
      <c r="E13" s="30">
        <f>INDIRECT("Geografía!L13")</f>
        <v>7</v>
      </c>
      <c r="F13" s="30">
        <f>INDIRECT("Historia I!L13")</f>
        <v>7</v>
      </c>
      <c r="G13" s="30">
        <f>INDIRECT("Formación Ética y Ciudadana!L13")</f>
        <v>7</v>
      </c>
      <c r="H13" s="30">
        <f>INDIRECT("Educación Física!L13")</f>
        <v>7</v>
      </c>
      <c r="I13" s="30">
        <f>INDIRECT("Matemáticas!L13")</f>
        <v>7</v>
      </c>
      <c r="J13" s="30">
        <f>INDIRECT("Biología!L13")</f>
        <v>7</v>
      </c>
      <c r="K13" s="30">
        <f>INDIRECT("Dibujo Técnico!L13")</f>
        <v>7</v>
      </c>
      <c r="L13" s="30">
        <f>INDIRECT("Tecnología!L13")</f>
        <v>7</v>
      </c>
      <c r="M13" s="30">
        <f>INDIRECT("Electricidad!L13")</f>
        <v>7</v>
      </c>
      <c r="N13" s="30">
        <f>INDIRECT("Carpintería!L13")</f>
        <v>7</v>
      </c>
      <c r="O13" s="30">
        <f>INDIRECT("Hojalatería!L13")</f>
        <v>7</v>
      </c>
      <c r="P13" s="30">
        <f>INDIRECT("Ajuste Mecánico!L13")</f>
        <v>7</v>
      </c>
      <c r="Q13" s="30">
        <f>INDIRECT("Informática!L13")</f>
        <v>7</v>
      </c>
      <c r="R13" s="30">
        <f>INDIRECT("Construcciones!L13")</f>
        <v>7</v>
      </c>
      <c r="S13" s="9"/>
      <c r="T13" s="9"/>
      <c r="U13" s="9"/>
      <c r="V13" s="9"/>
      <c r="W13" s="9"/>
      <c r="X13" s="9"/>
      <c r="Y13" s="9"/>
      <c r="Z13" s="9"/>
    </row>
    <row r="14">
      <c r="A14" s="7">
        <v>7.0</v>
      </c>
      <c r="B14" s="28" t="s">
        <v>10</v>
      </c>
      <c r="C14" s="30">
        <f>INDIRECT("Lengua y Literatura!L14")</f>
        <v>6.75</v>
      </c>
      <c r="D14" s="30">
        <f>INDIRECT("Lengua Extranjera!L14")</f>
        <v>7</v>
      </c>
      <c r="E14" s="30">
        <f>INDIRECT("Geografía!L14")</f>
        <v>7</v>
      </c>
      <c r="F14" s="30">
        <f>INDIRECT("Historia I!L14")</f>
        <v>7</v>
      </c>
      <c r="G14" s="30">
        <f>INDIRECT("Formación Ética y Ciudadana!L14")</f>
        <v>7</v>
      </c>
      <c r="H14" s="30">
        <f>INDIRECT("Educación Física!L14")</f>
        <v>7</v>
      </c>
      <c r="I14" s="30">
        <f>INDIRECT("Matemáticas!L14")</f>
        <v>7</v>
      </c>
      <c r="J14" s="30">
        <f>INDIRECT("Biología!L14")</f>
        <v>7</v>
      </c>
      <c r="K14" s="30">
        <f>INDIRECT("Dibujo Técnico!L14")</f>
        <v>7</v>
      </c>
      <c r="L14" s="30">
        <f>INDIRECT("Tecnología!L14")</f>
        <v>7</v>
      </c>
      <c r="M14" s="30">
        <f>INDIRECT("Electricidad!L14")</f>
        <v>7</v>
      </c>
      <c r="N14" s="30">
        <f>INDIRECT("Carpintería!L14")</f>
        <v>7</v>
      </c>
      <c r="O14" s="30">
        <f>INDIRECT("Hojalatería!L14")</f>
        <v>7</v>
      </c>
      <c r="P14" s="30">
        <f>INDIRECT("Ajuste Mecánico!L14")</f>
        <v>7</v>
      </c>
      <c r="Q14" s="30">
        <f>INDIRECT("Informática!L14")</f>
        <v>7</v>
      </c>
      <c r="R14" s="30">
        <f>INDIRECT("Construcciones!L14")</f>
        <v>7</v>
      </c>
      <c r="S14" s="9"/>
      <c r="T14" s="9"/>
      <c r="U14" s="9"/>
      <c r="V14" s="9"/>
      <c r="W14" s="9"/>
      <c r="X14" s="9"/>
      <c r="Y14" s="9"/>
      <c r="Z14" s="9"/>
    </row>
    <row r="15">
      <c r="A15" s="7">
        <v>8.0</v>
      </c>
      <c r="B15" s="28" t="s">
        <v>11</v>
      </c>
      <c r="C15" s="30">
        <f>INDIRECT("Lengua y Literatura!L15")</f>
        <v>6.75</v>
      </c>
      <c r="D15" s="30">
        <f>INDIRECT("Lengua Extranjera!L15")</f>
        <v>7</v>
      </c>
      <c r="E15" s="30">
        <f>INDIRECT("Geografía!L15")</f>
        <v>7</v>
      </c>
      <c r="F15" s="30">
        <f>INDIRECT("Historia I!L15")</f>
        <v>7</v>
      </c>
      <c r="G15" s="30">
        <f>INDIRECT("Formación Ética y Ciudadana!L15")</f>
        <v>7</v>
      </c>
      <c r="H15" s="30">
        <f>INDIRECT("Educación Física!L15")</f>
        <v>7</v>
      </c>
      <c r="I15" s="30">
        <f>INDIRECT("Matemáticas!L15")</f>
        <v>7</v>
      </c>
      <c r="J15" s="30">
        <f>INDIRECT("Biología!L15")</f>
        <v>7</v>
      </c>
      <c r="K15" s="30">
        <f>INDIRECT("Dibujo Técnico!L15")</f>
        <v>7</v>
      </c>
      <c r="L15" s="30">
        <f>INDIRECT("Tecnología!L15")</f>
        <v>7</v>
      </c>
      <c r="M15" s="30">
        <f>INDIRECT("Electricidad!L15")</f>
        <v>7</v>
      </c>
      <c r="N15" s="30">
        <f>INDIRECT("Carpintería!L15")</f>
        <v>7</v>
      </c>
      <c r="O15" s="30">
        <f>INDIRECT("Hojalatería!L15")</f>
        <v>7</v>
      </c>
      <c r="P15" s="30">
        <f>INDIRECT("Ajuste Mecánico!L15")</f>
        <v>7</v>
      </c>
      <c r="Q15" s="30">
        <f>INDIRECT("Informática!L15")</f>
        <v>7</v>
      </c>
      <c r="R15" s="30">
        <f>INDIRECT("Construcciones!L15")</f>
        <v>7</v>
      </c>
      <c r="S15" s="9"/>
      <c r="T15" s="9"/>
      <c r="U15" s="9"/>
      <c r="V15" s="9"/>
      <c r="W15" s="9"/>
      <c r="X15" s="9"/>
      <c r="Y15" s="9"/>
      <c r="Z15" s="9"/>
    </row>
    <row r="16">
      <c r="A16" s="7">
        <v>9.0</v>
      </c>
      <c r="B16" s="28" t="s">
        <v>12</v>
      </c>
      <c r="C16" s="30">
        <f>INDIRECT("Lengua y Literatura!L16")</f>
        <v>6.75</v>
      </c>
      <c r="D16" s="30">
        <f>INDIRECT("Lengua Extranjera!L16")</f>
        <v>7</v>
      </c>
      <c r="E16" s="30">
        <f>INDIRECT("Geografía!L16")</f>
        <v>7</v>
      </c>
      <c r="F16" s="30">
        <f>INDIRECT("Historia I!L16")</f>
        <v>7</v>
      </c>
      <c r="G16" s="30">
        <f>INDIRECT("Formación Ética y Ciudadana!L16")</f>
        <v>7</v>
      </c>
      <c r="H16" s="30">
        <f>INDIRECT("Educación Física!L16")</f>
        <v>7</v>
      </c>
      <c r="I16" s="30">
        <f>INDIRECT("Matemáticas!L16")</f>
        <v>7</v>
      </c>
      <c r="J16" s="30">
        <f>INDIRECT("Biología!L16")</f>
        <v>7</v>
      </c>
      <c r="K16" s="30">
        <f>INDIRECT("Dibujo Técnico!L16")</f>
        <v>7</v>
      </c>
      <c r="L16" s="30">
        <f>INDIRECT("Tecnología!L16")</f>
        <v>7</v>
      </c>
      <c r="M16" s="30">
        <f>INDIRECT("Electricidad!L16")</f>
        <v>7</v>
      </c>
      <c r="N16" s="30">
        <f>INDIRECT("Carpintería!L16")</f>
        <v>7</v>
      </c>
      <c r="O16" s="30">
        <f>INDIRECT("Hojalatería!L16")</f>
        <v>7</v>
      </c>
      <c r="P16" s="30">
        <f>INDIRECT("Ajuste Mecánico!L16")</f>
        <v>7</v>
      </c>
      <c r="Q16" s="30">
        <f>INDIRECT("Informática!L16")</f>
        <v>7</v>
      </c>
      <c r="R16" s="30">
        <f>INDIRECT("Construcciones!L16")</f>
        <v>7</v>
      </c>
      <c r="S16" s="9"/>
      <c r="T16" s="9"/>
      <c r="U16" s="9"/>
      <c r="V16" s="9"/>
      <c r="W16" s="9"/>
      <c r="X16" s="9"/>
      <c r="Y16" s="9"/>
      <c r="Z16" s="9"/>
    </row>
    <row r="17">
      <c r="A17" s="7">
        <v>10.0</v>
      </c>
      <c r="B17" s="28" t="s">
        <v>13</v>
      </c>
      <c r="C17" s="30">
        <f>INDIRECT("Lengua y Literatura!L17")</f>
        <v>6.75</v>
      </c>
      <c r="D17" s="30">
        <f>INDIRECT("Lengua Extranjera!L17")</f>
        <v>7</v>
      </c>
      <c r="E17" s="30">
        <f>INDIRECT("Geografía!L17")</f>
        <v>7</v>
      </c>
      <c r="F17" s="30">
        <f>INDIRECT("Historia I!L17")</f>
        <v>7</v>
      </c>
      <c r="G17" s="30">
        <f>INDIRECT("Formación Ética y Ciudadana!L17")</f>
        <v>7</v>
      </c>
      <c r="H17" s="30">
        <f>INDIRECT("Educación Física!L17")</f>
        <v>7</v>
      </c>
      <c r="I17" s="30">
        <f>INDIRECT("Matemáticas!L17")</f>
        <v>7</v>
      </c>
      <c r="J17" s="30">
        <f>INDIRECT("Biología!L17")</f>
        <v>7</v>
      </c>
      <c r="K17" s="30">
        <f>INDIRECT("Dibujo Técnico!L17")</f>
        <v>7</v>
      </c>
      <c r="L17" s="30">
        <f>INDIRECT("Tecnología!L17")</f>
        <v>7</v>
      </c>
      <c r="M17" s="30">
        <f>INDIRECT("Electricidad!L17")</f>
        <v>7</v>
      </c>
      <c r="N17" s="30">
        <f>INDIRECT("Carpintería!L17")</f>
        <v>7</v>
      </c>
      <c r="O17" s="30">
        <f>INDIRECT("Hojalatería!L17")</f>
        <v>7</v>
      </c>
      <c r="P17" s="30">
        <f>INDIRECT("Ajuste Mecánico!L17")</f>
        <v>7</v>
      </c>
      <c r="Q17" s="30">
        <f>INDIRECT("Informática!L17")</f>
        <v>7</v>
      </c>
      <c r="R17" s="30">
        <f>INDIRECT("Construcciones!L17")</f>
        <v>7</v>
      </c>
      <c r="S17" s="9"/>
      <c r="T17" s="9"/>
      <c r="U17" s="9"/>
      <c r="V17" s="9"/>
      <c r="W17" s="9"/>
      <c r="X17" s="9"/>
      <c r="Y17" s="9"/>
      <c r="Z17" s="9"/>
    </row>
    <row r="18">
      <c r="A18" s="7">
        <v>11.0</v>
      </c>
      <c r="B18" s="28" t="s">
        <v>14</v>
      </c>
      <c r="C18" s="30">
        <f>INDIRECT("Lengua y Literatura!L18")</f>
        <v>6.75</v>
      </c>
      <c r="D18" s="30">
        <f>INDIRECT("Lengua Extranjera!L18")</f>
        <v>7</v>
      </c>
      <c r="E18" s="30">
        <f>INDIRECT("Geografía!L18")</f>
        <v>7</v>
      </c>
      <c r="F18" s="30">
        <f>INDIRECT("Historia I!L18")</f>
        <v>7</v>
      </c>
      <c r="G18" s="30">
        <f>INDIRECT("Formación Ética y Ciudadana!L18")</f>
        <v>7</v>
      </c>
      <c r="H18" s="30">
        <f>INDIRECT("Educación Física!L18")</f>
        <v>7</v>
      </c>
      <c r="I18" s="30">
        <f>INDIRECT("Matemáticas!L18")</f>
        <v>7</v>
      </c>
      <c r="J18" s="30">
        <f>INDIRECT("Biología!L18")</f>
        <v>7</v>
      </c>
      <c r="K18" s="30">
        <f>INDIRECT("Dibujo Técnico!L18")</f>
        <v>7</v>
      </c>
      <c r="L18" s="30">
        <f>INDIRECT("Tecnología!L18")</f>
        <v>7</v>
      </c>
      <c r="M18" s="30">
        <f>INDIRECT("Electricidad!L18")</f>
        <v>7</v>
      </c>
      <c r="N18" s="30">
        <f>INDIRECT("Carpintería!L18")</f>
        <v>7</v>
      </c>
      <c r="O18" s="30">
        <f>INDIRECT("Hojalatería!L18")</f>
        <v>7</v>
      </c>
      <c r="P18" s="30">
        <f>INDIRECT("Ajuste Mecánico!L18")</f>
        <v>7</v>
      </c>
      <c r="Q18" s="30">
        <f>INDIRECT("Informática!L18")</f>
        <v>7</v>
      </c>
      <c r="R18" s="30">
        <f>INDIRECT("Construcciones!L18")</f>
        <v>7</v>
      </c>
      <c r="S18" s="9"/>
      <c r="T18" s="9"/>
      <c r="U18" s="9"/>
      <c r="V18" s="9"/>
      <c r="W18" s="9"/>
      <c r="X18" s="9"/>
      <c r="Y18" s="9"/>
      <c r="Z18" s="9"/>
    </row>
    <row r="19">
      <c r="A19" s="7">
        <v>12.0</v>
      </c>
      <c r="B19" s="28" t="s">
        <v>15</v>
      </c>
      <c r="C19" s="30">
        <f>INDIRECT("Lengua y Literatura!L19")</f>
        <v>7</v>
      </c>
      <c r="D19" s="30">
        <f>INDIRECT("Lengua Extranjera!L19")</f>
        <v>7</v>
      </c>
      <c r="E19" s="30">
        <f>INDIRECT("Geografía!L19")</f>
        <v>7</v>
      </c>
      <c r="F19" s="30">
        <f>INDIRECT("Historia I!L19")</f>
        <v>7</v>
      </c>
      <c r="G19" s="30">
        <f>INDIRECT("Formación Ética y Ciudadana!L19")</f>
        <v>7</v>
      </c>
      <c r="H19" s="30">
        <f>INDIRECT("Educación Física!L19")</f>
        <v>7</v>
      </c>
      <c r="I19" s="30">
        <f>INDIRECT("Matemáticas!L19")</f>
        <v>7</v>
      </c>
      <c r="J19" s="30">
        <f>INDIRECT("Biología!L19")</f>
        <v>7</v>
      </c>
      <c r="K19" s="30">
        <f>INDIRECT("Dibujo Técnico!L19")</f>
        <v>7</v>
      </c>
      <c r="L19" s="30">
        <f>INDIRECT("Tecnología!L19")</f>
        <v>7</v>
      </c>
      <c r="M19" s="30">
        <f>INDIRECT("Electricidad!L19")</f>
        <v>7</v>
      </c>
      <c r="N19" s="30">
        <f>INDIRECT("Carpintería!L19")</f>
        <v>7</v>
      </c>
      <c r="O19" s="30">
        <f>INDIRECT("Hojalatería!L19")</f>
        <v>7</v>
      </c>
      <c r="P19" s="30">
        <f>INDIRECT("Ajuste Mecánico!L19")</f>
        <v>7</v>
      </c>
      <c r="Q19" s="30">
        <f>INDIRECT("Informática!L19")</f>
        <v>7</v>
      </c>
      <c r="R19" s="30">
        <f>INDIRECT("Construcciones!L19")</f>
        <v>7</v>
      </c>
      <c r="S19" s="9"/>
      <c r="T19" s="9"/>
      <c r="U19" s="9"/>
      <c r="V19" s="9"/>
      <c r="W19" s="9"/>
      <c r="X19" s="9"/>
      <c r="Y19" s="9"/>
      <c r="Z19" s="9"/>
    </row>
    <row r="20">
      <c r="A20" s="7">
        <v>13.0</v>
      </c>
      <c r="B20" s="28" t="s">
        <v>16</v>
      </c>
      <c r="C20" s="30">
        <f>INDIRECT("Lengua y Literatura!L20")</f>
        <v>7</v>
      </c>
      <c r="D20" s="30">
        <f>INDIRECT("Lengua Extranjera!L20")</f>
        <v>7</v>
      </c>
      <c r="E20" s="30">
        <f>INDIRECT("Geografía!L20")</f>
        <v>7</v>
      </c>
      <c r="F20" s="30">
        <f>INDIRECT("Historia I!L20")</f>
        <v>7</v>
      </c>
      <c r="G20" s="30">
        <f>INDIRECT("Formación Ética y Ciudadana!L20")</f>
        <v>7</v>
      </c>
      <c r="H20" s="30">
        <f>INDIRECT("Educación Física!L20")</f>
        <v>7</v>
      </c>
      <c r="I20" s="30">
        <f>INDIRECT("Matemáticas!L20")</f>
        <v>7</v>
      </c>
      <c r="J20" s="30">
        <f>INDIRECT("Biología!L20")</f>
        <v>7</v>
      </c>
      <c r="K20" s="30">
        <f>INDIRECT("Dibujo Técnico!L20")</f>
        <v>7</v>
      </c>
      <c r="L20" s="30">
        <f>INDIRECT("Tecnología!L20")</f>
        <v>7</v>
      </c>
      <c r="M20" s="30">
        <f>INDIRECT("Electricidad!L20")</f>
        <v>7</v>
      </c>
      <c r="N20" s="30">
        <f>INDIRECT("Carpintería!L20")</f>
        <v>7</v>
      </c>
      <c r="O20" s="30">
        <f>INDIRECT("Hojalatería!L20")</f>
        <v>7</v>
      </c>
      <c r="P20" s="30">
        <f>INDIRECT("Ajuste Mecánico!L20")</f>
        <v>7</v>
      </c>
      <c r="Q20" s="30">
        <f>INDIRECT("Informática!L20")</f>
        <v>7</v>
      </c>
      <c r="R20" s="30">
        <f>INDIRECT("Construcciones!L20")</f>
        <v>7</v>
      </c>
      <c r="S20" s="9"/>
      <c r="T20" s="9"/>
      <c r="U20" s="9"/>
      <c r="V20" s="9"/>
      <c r="W20" s="9"/>
      <c r="X20" s="9"/>
      <c r="Y20" s="9"/>
      <c r="Z20" s="9"/>
    </row>
    <row r="21">
      <c r="A21" s="7">
        <v>14.0</v>
      </c>
      <c r="B21" s="28" t="s">
        <v>17</v>
      </c>
      <c r="C21" s="30">
        <f>INDIRECT("Lengua y Literatura!L21")</f>
        <v>7</v>
      </c>
      <c r="D21" s="30">
        <f>INDIRECT("Lengua Extranjera!L21")</f>
        <v>7</v>
      </c>
      <c r="E21" s="30">
        <f>INDIRECT("Geografía!L21")</f>
        <v>7</v>
      </c>
      <c r="F21" s="30">
        <f>INDIRECT("Historia I!L21")</f>
        <v>7</v>
      </c>
      <c r="G21" s="30">
        <f>INDIRECT("Formación Ética y Ciudadana!L21")</f>
        <v>7</v>
      </c>
      <c r="H21" s="30">
        <f>INDIRECT("Educación Física!L21")</f>
        <v>7</v>
      </c>
      <c r="I21" s="30">
        <f>INDIRECT("Matemáticas!L21")</f>
        <v>7</v>
      </c>
      <c r="J21" s="30">
        <f>INDIRECT("Biología!L21")</f>
        <v>7</v>
      </c>
      <c r="K21" s="30">
        <f>INDIRECT("Dibujo Técnico!L21")</f>
        <v>7</v>
      </c>
      <c r="L21" s="30">
        <f>INDIRECT("Tecnología!L21")</f>
        <v>7</v>
      </c>
      <c r="M21" s="30">
        <f>INDIRECT("Electricidad!L21")</f>
        <v>7</v>
      </c>
      <c r="N21" s="30">
        <f>INDIRECT("Carpintería!L21")</f>
        <v>7</v>
      </c>
      <c r="O21" s="30">
        <f>INDIRECT("Hojalatería!L21")</f>
        <v>7</v>
      </c>
      <c r="P21" s="30">
        <f>INDIRECT("Ajuste Mecánico!L21")</f>
        <v>7</v>
      </c>
      <c r="Q21" s="30">
        <f>INDIRECT("Informática!L21")</f>
        <v>7</v>
      </c>
      <c r="R21" s="30">
        <f>INDIRECT("Construcciones!L21")</f>
        <v>7</v>
      </c>
      <c r="S21" s="9"/>
      <c r="T21" s="9"/>
      <c r="U21" s="9"/>
      <c r="V21" s="9"/>
      <c r="W21" s="9"/>
      <c r="X21" s="9"/>
      <c r="Y21" s="9"/>
      <c r="Z21" s="9"/>
    </row>
    <row r="22">
      <c r="A22" s="7">
        <v>15.0</v>
      </c>
      <c r="B22" s="28" t="s">
        <v>18</v>
      </c>
      <c r="C22" s="30">
        <f>INDIRECT("Lengua y Literatura!L22")</f>
        <v>7</v>
      </c>
      <c r="D22" s="30">
        <f>INDIRECT("Lengua Extranjera!L22")</f>
        <v>7</v>
      </c>
      <c r="E22" s="30">
        <f>INDIRECT("Geografía!L22")</f>
        <v>7</v>
      </c>
      <c r="F22" s="30">
        <f>INDIRECT("Historia I!L22")</f>
        <v>7</v>
      </c>
      <c r="G22" s="30">
        <f>INDIRECT("Formación Ética y Ciudadana!L22")</f>
        <v>7</v>
      </c>
      <c r="H22" s="30">
        <f>INDIRECT("Educación Física!L22")</f>
        <v>7</v>
      </c>
      <c r="I22" s="30">
        <f>INDIRECT("Matemáticas!L22")</f>
        <v>7</v>
      </c>
      <c r="J22" s="30">
        <f>INDIRECT("Biología!L22")</f>
        <v>7</v>
      </c>
      <c r="K22" s="30">
        <f>INDIRECT("Dibujo Técnico!L22")</f>
        <v>7</v>
      </c>
      <c r="L22" s="30">
        <f>INDIRECT("Tecnología!L22")</f>
        <v>7</v>
      </c>
      <c r="M22" s="30">
        <f>INDIRECT("Electricidad!L22")</f>
        <v>7</v>
      </c>
      <c r="N22" s="30">
        <f>INDIRECT("Carpintería!L22")</f>
        <v>7</v>
      </c>
      <c r="O22" s="30">
        <f>INDIRECT("Hojalatería!L22")</f>
        <v>7</v>
      </c>
      <c r="P22" s="30">
        <f>INDIRECT("Ajuste Mecánico!L22")</f>
        <v>7</v>
      </c>
      <c r="Q22" s="30">
        <f>INDIRECT("Informática!L22")</f>
        <v>7</v>
      </c>
      <c r="R22" s="30">
        <f>INDIRECT("Construcciones!L22")</f>
        <v>7</v>
      </c>
      <c r="S22" s="9"/>
      <c r="T22" s="9"/>
      <c r="U22" s="9"/>
      <c r="V22" s="9"/>
      <c r="W22" s="9"/>
      <c r="X22" s="9"/>
      <c r="Y22" s="9"/>
      <c r="Z22" s="9"/>
    </row>
    <row r="23">
      <c r="A23" s="7">
        <v>16.0</v>
      </c>
      <c r="B23" s="28" t="s">
        <v>19</v>
      </c>
      <c r="C23" s="30">
        <f>INDIRECT("Lengua y Literatura!L23")</f>
        <v>7</v>
      </c>
      <c r="D23" s="30">
        <f>INDIRECT("Lengua Extranjera!L23")</f>
        <v>7</v>
      </c>
      <c r="E23" s="30">
        <f>INDIRECT("Geografía!L23")</f>
        <v>7</v>
      </c>
      <c r="F23" s="30">
        <f>INDIRECT("Historia I!L23")</f>
        <v>7</v>
      </c>
      <c r="G23" s="30">
        <f>INDIRECT("Formación Ética y Ciudadana!L23")</f>
        <v>7</v>
      </c>
      <c r="H23" s="30">
        <f>INDIRECT("Educación Física!L23")</f>
        <v>7</v>
      </c>
      <c r="I23" s="30">
        <f>INDIRECT("Matemáticas!L23")</f>
        <v>7</v>
      </c>
      <c r="J23" s="30">
        <f>INDIRECT("Biología!L23")</f>
        <v>7</v>
      </c>
      <c r="K23" s="30">
        <f>INDIRECT("Dibujo Técnico!L23")</f>
        <v>7</v>
      </c>
      <c r="L23" s="30">
        <f>INDIRECT("Tecnología!L23")</f>
        <v>7</v>
      </c>
      <c r="M23" s="30">
        <f>INDIRECT("Electricidad!L23")</f>
        <v>7</v>
      </c>
      <c r="N23" s="30">
        <f>INDIRECT("Carpintería!L23")</f>
        <v>7</v>
      </c>
      <c r="O23" s="30">
        <f>INDIRECT("Hojalatería!L23")</f>
        <v>7</v>
      </c>
      <c r="P23" s="30">
        <f>INDIRECT("Ajuste Mecánico!L23")</f>
        <v>7</v>
      </c>
      <c r="Q23" s="30">
        <f>INDIRECT("Informática!L23")</f>
        <v>7</v>
      </c>
      <c r="R23" s="30">
        <f>INDIRECT("Construcciones!L23")</f>
        <v>7</v>
      </c>
      <c r="S23" s="9"/>
      <c r="T23" s="9"/>
      <c r="U23" s="9"/>
      <c r="V23" s="9"/>
      <c r="W23" s="9"/>
      <c r="X23" s="9"/>
      <c r="Y23" s="9"/>
      <c r="Z23" s="9"/>
    </row>
    <row r="24">
      <c r="A24" s="7">
        <v>17.0</v>
      </c>
      <c r="B24" s="28" t="s">
        <v>20</v>
      </c>
      <c r="C24" s="30">
        <f>INDIRECT("Lengua y Literatura!L24")</f>
        <v>7</v>
      </c>
      <c r="D24" s="30">
        <f>INDIRECT("Lengua Extranjera!L24")</f>
        <v>7</v>
      </c>
      <c r="E24" s="30">
        <f>INDIRECT("Geografía!L24")</f>
        <v>7</v>
      </c>
      <c r="F24" s="30">
        <f>INDIRECT("Historia I!L24")</f>
        <v>7</v>
      </c>
      <c r="G24" s="30">
        <f>INDIRECT("Formación Ética y Ciudadana!L24")</f>
        <v>7</v>
      </c>
      <c r="H24" s="30">
        <f>INDIRECT("Educación Física!L24")</f>
        <v>7</v>
      </c>
      <c r="I24" s="30">
        <f>INDIRECT("Matemáticas!L24")</f>
        <v>7</v>
      </c>
      <c r="J24" s="30">
        <f>INDIRECT("Biología!L24")</f>
        <v>7</v>
      </c>
      <c r="K24" s="30">
        <f>INDIRECT("Dibujo Técnico!L24")</f>
        <v>7</v>
      </c>
      <c r="L24" s="30">
        <f>INDIRECT("Tecnología!L24")</f>
        <v>7</v>
      </c>
      <c r="M24" s="30">
        <f>INDIRECT("Electricidad!L24")</f>
        <v>7</v>
      </c>
      <c r="N24" s="30">
        <f>INDIRECT("Carpintería!L24")</f>
        <v>7</v>
      </c>
      <c r="O24" s="30">
        <f>INDIRECT("Hojalatería!L24")</f>
        <v>7</v>
      </c>
      <c r="P24" s="30">
        <f>INDIRECT("Ajuste Mecánico!L24")</f>
        <v>7</v>
      </c>
      <c r="Q24" s="30">
        <f>INDIRECT("Informática!L24")</f>
        <v>7</v>
      </c>
      <c r="R24" s="30">
        <f>INDIRECT("Construcciones!L24")</f>
        <v>7</v>
      </c>
      <c r="S24" s="9"/>
      <c r="T24" s="9"/>
      <c r="U24" s="9"/>
      <c r="V24" s="9"/>
      <c r="W24" s="9"/>
      <c r="X24" s="9"/>
      <c r="Y24" s="9"/>
      <c r="Z24" s="9"/>
    </row>
    <row r="25">
      <c r="A25" s="7">
        <v>18.0</v>
      </c>
      <c r="B25" s="28" t="s">
        <v>21</v>
      </c>
      <c r="C25" s="30">
        <f>INDIRECT("Lengua y Literatura!L25")</f>
        <v>7</v>
      </c>
      <c r="D25" s="30">
        <f>INDIRECT("Lengua Extranjera!L25")</f>
        <v>7</v>
      </c>
      <c r="E25" s="30">
        <f>INDIRECT("Geografía!L25")</f>
        <v>7</v>
      </c>
      <c r="F25" s="30">
        <f>INDIRECT("Historia I!L25")</f>
        <v>7</v>
      </c>
      <c r="G25" s="30">
        <f>INDIRECT("Formación Ética y Ciudadana!L25")</f>
        <v>7</v>
      </c>
      <c r="H25" s="30">
        <f>INDIRECT("Educación Física!L25")</f>
        <v>7</v>
      </c>
      <c r="I25" s="30">
        <f>INDIRECT("Matemáticas!L25")</f>
        <v>7</v>
      </c>
      <c r="J25" s="30">
        <f>INDIRECT("Biología!L25")</f>
        <v>7</v>
      </c>
      <c r="K25" s="30">
        <f>INDIRECT("Dibujo Técnico!L25")</f>
        <v>7</v>
      </c>
      <c r="L25" s="30">
        <f>INDIRECT("Tecnología!L25")</f>
        <v>7</v>
      </c>
      <c r="M25" s="30">
        <f>INDIRECT("Electricidad!L25")</f>
        <v>7</v>
      </c>
      <c r="N25" s="30">
        <f>INDIRECT("Carpintería!L25")</f>
        <v>7</v>
      </c>
      <c r="O25" s="30">
        <f>INDIRECT("Hojalatería!L25")</f>
        <v>7</v>
      </c>
      <c r="P25" s="30">
        <f>INDIRECT("Ajuste Mecánico!L25")</f>
        <v>7</v>
      </c>
      <c r="Q25" s="30">
        <f>INDIRECT("Informática!L25")</f>
        <v>7</v>
      </c>
      <c r="R25" s="30">
        <f>INDIRECT("Construcciones!L25")</f>
        <v>7</v>
      </c>
      <c r="S25" s="9"/>
      <c r="T25" s="9"/>
      <c r="U25" s="9"/>
      <c r="V25" s="9"/>
      <c r="W25" s="9"/>
      <c r="X25" s="9"/>
      <c r="Y25" s="9"/>
      <c r="Z25" s="9"/>
    </row>
    <row r="26">
      <c r="A26" s="7">
        <v>19.0</v>
      </c>
      <c r="B26" s="28" t="s">
        <v>22</v>
      </c>
      <c r="C26" s="30">
        <f>INDIRECT("Lengua y Literatura!L26")</f>
        <v>7</v>
      </c>
      <c r="D26" s="30">
        <f>INDIRECT("Lengua Extranjera!L26")</f>
        <v>7</v>
      </c>
      <c r="E26" s="30">
        <f>INDIRECT("Geografía!L26")</f>
        <v>7</v>
      </c>
      <c r="F26" s="30">
        <f>INDIRECT("Historia I!L26")</f>
        <v>7</v>
      </c>
      <c r="G26" s="30">
        <f>INDIRECT("Formación Ética y Ciudadana!L26")</f>
        <v>7</v>
      </c>
      <c r="H26" s="30">
        <f>INDIRECT("Educación Física!L26")</f>
        <v>7</v>
      </c>
      <c r="I26" s="30">
        <f>INDIRECT("Matemáticas!L26")</f>
        <v>7</v>
      </c>
      <c r="J26" s="30">
        <f>INDIRECT("Biología!L26")</f>
        <v>7</v>
      </c>
      <c r="K26" s="30">
        <f>INDIRECT("Dibujo Técnico!L26")</f>
        <v>7</v>
      </c>
      <c r="L26" s="30">
        <f>INDIRECT("Tecnología!L26")</f>
        <v>7</v>
      </c>
      <c r="M26" s="30">
        <f>INDIRECT("Electricidad!L26")</f>
        <v>7</v>
      </c>
      <c r="N26" s="30">
        <f>INDIRECT("Carpintería!L26")</f>
        <v>7</v>
      </c>
      <c r="O26" s="30">
        <f>INDIRECT("Hojalatería!L26")</f>
        <v>7</v>
      </c>
      <c r="P26" s="30">
        <f>INDIRECT("Ajuste Mecánico!L26")</f>
        <v>7</v>
      </c>
      <c r="Q26" s="30">
        <f>INDIRECT("Informática!L26")</f>
        <v>7</v>
      </c>
      <c r="R26" s="30">
        <f>INDIRECT("Construcciones!L26")</f>
        <v>7</v>
      </c>
      <c r="S26" s="9"/>
      <c r="T26" s="9"/>
      <c r="U26" s="9"/>
      <c r="V26" s="9"/>
      <c r="W26" s="9"/>
      <c r="X26" s="9"/>
      <c r="Y26" s="9"/>
      <c r="Z26" s="9"/>
    </row>
    <row r="27">
      <c r="A27" s="7">
        <v>20.0</v>
      </c>
      <c r="B27" s="28" t="s">
        <v>23</v>
      </c>
      <c r="C27" s="30">
        <f>INDIRECT("Lengua y Literatura!L27")</f>
        <v>7</v>
      </c>
      <c r="D27" s="30">
        <f>INDIRECT("Lengua Extranjera!L27")</f>
        <v>7</v>
      </c>
      <c r="E27" s="30">
        <f>INDIRECT("Geografía!L27")</f>
        <v>7</v>
      </c>
      <c r="F27" s="30">
        <f>INDIRECT("Historia I!L27")</f>
        <v>7</v>
      </c>
      <c r="G27" s="30">
        <f>INDIRECT("Formación Ética y Ciudadana!L27")</f>
        <v>7</v>
      </c>
      <c r="H27" s="30">
        <f>INDIRECT("Educación Física!L27")</f>
        <v>7</v>
      </c>
      <c r="I27" s="30">
        <f>INDIRECT("Matemáticas!L27")</f>
        <v>7</v>
      </c>
      <c r="J27" s="30">
        <f>INDIRECT("Biología!L27")</f>
        <v>7</v>
      </c>
      <c r="K27" s="30">
        <f>INDIRECT("Dibujo Técnico!L27")</f>
        <v>7</v>
      </c>
      <c r="L27" s="30">
        <f>INDIRECT("Tecnología!L27")</f>
        <v>7</v>
      </c>
      <c r="M27" s="30">
        <f>INDIRECT("Electricidad!L27")</f>
        <v>7</v>
      </c>
      <c r="N27" s="30">
        <f>INDIRECT("Carpintería!L27")</f>
        <v>7</v>
      </c>
      <c r="O27" s="30">
        <f>INDIRECT("Hojalatería!L27")</f>
        <v>7</v>
      </c>
      <c r="P27" s="30">
        <f>INDIRECT("Ajuste Mecánico!L27")</f>
        <v>7</v>
      </c>
      <c r="Q27" s="30">
        <f>INDIRECT("Informática!L27")</f>
        <v>7</v>
      </c>
      <c r="R27" s="30">
        <f>INDIRECT("Construcciones!L27")</f>
        <v>7</v>
      </c>
      <c r="S27" s="9"/>
      <c r="T27" s="9"/>
      <c r="U27" s="9"/>
      <c r="V27" s="9"/>
      <c r="W27" s="9"/>
      <c r="X27" s="9"/>
      <c r="Y27" s="9"/>
      <c r="Z27" s="9"/>
    </row>
    <row r="28">
      <c r="A28" s="7">
        <v>21.0</v>
      </c>
      <c r="B28" s="28" t="s">
        <v>24</v>
      </c>
      <c r="C28" s="30">
        <f>INDIRECT("Lengua y Literatura!L28")</f>
        <v>7</v>
      </c>
      <c r="D28" s="30">
        <f>INDIRECT("Lengua Extranjera!L28")</f>
        <v>7</v>
      </c>
      <c r="E28" s="30">
        <f>INDIRECT("Geografía!L28")</f>
        <v>7</v>
      </c>
      <c r="F28" s="30">
        <f>INDIRECT("Historia I!L28")</f>
        <v>7</v>
      </c>
      <c r="G28" s="30">
        <f>INDIRECT("Formación Ética y Ciudadana!L28")</f>
        <v>7</v>
      </c>
      <c r="H28" s="30">
        <f>INDIRECT("Educación Física!L28")</f>
        <v>7</v>
      </c>
      <c r="I28" s="30">
        <f>INDIRECT("Matemáticas!L28")</f>
        <v>7</v>
      </c>
      <c r="J28" s="30">
        <f>INDIRECT("Biología!L28")</f>
        <v>7</v>
      </c>
      <c r="K28" s="30">
        <f>INDIRECT("Dibujo Técnico!L28")</f>
        <v>7</v>
      </c>
      <c r="L28" s="30">
        <f>INDIRECT("Tecnología!L28")</f>
        <v>7</v>
      </c>
      <c r="M28" s="30">
        <f>INDIRECT("Electricidad!L28")</f>
        <v>7</v>
      </c>
      <c r="N28" s="30">
        <f>INDIRECT("Carpintería!L28")</f>
        <v>7</v>
      </c>
      <c r="O28" s="30">
        <f>INDIRECT("Hojalatería!L28")</f>
        <v>7</v>
      </c>
      <c r="P28" s="30">
        <f>INDIRECT("Ajuste Mecánico!L28")</f>
        <v>7</v>
      </c>
      <c r="Q28" s="30">
        <f>INDIRECT("Informática!L28")</f>
        <v>7</v>
      </c>
      <c r="R28" s="30">
        <f>INDIRECT("Construcciones!L28")</f>
        <v>7</v>
      </c>
      <c r="S28" s="9"/>
      <c r="T28" s="9"/>
      <c r="U28" s="9"/>
      <c r="V28" s="9"/>
      <c r="W28" s="9"/>
      <c r="X28" s="9"/>
      <c r="Y28" s="9"/>
      <c r="Z28" s="9"/>
    </row>
    <row r="29">
      <c r="A29" s="7">
        <v>22.0</v>
      </c>
      <c r="B29" s="28" t="s">
        <v>25</v>
      </c>
      <c r="C29" s="30">
        <f>INDIRECT("Lengua y Literatura!L29")</f>
        <v>7</v>
      </c>
      <c r="D29" s="30">
        <f>INDIRECT("Lengua Extranjera!L29")</f>
        <v>7</v>
      </c>
      <c r="E29" s="30">
        <f>INDIRECT("Geografía!L29")</f>
        <v>7</v>
      </c>
      <c r="F29" s="30">
        <f>INDIRECT("Historia I!L29")</f>
        <v>7</v>
      </c>
      <c r="G29" s="30">
        <f>INDIRECT("Formación Ética y Ciudadana!L29")</f>
        <v>7</v>
      </c>
      <c r="H29" s="30">
        <f>INDIRECT("Educación Física!L29")</f>
        <v>7</v>
      </c>
      <c r="I29" s="30">
        <f>INDIRECT("Matemáticas!L29")</f>
        <v>7</v>
      </c>
      <c r="J29" s="30">
        <f>INDIRECT("Biología!L29")</f>
        <v>7</v>
      </c>
      <c r="K29" s="30">
        <f>INDIRECT("Dibujo Técnico!L29")</f>
        <v>7</v>
      </c>
      <c r="L29" s="30">
        <f>INDIRECT("Tecnología!L29")</f>
        <v>7</v>
      </c>
      <c r="M29" s="30">
        <f>INDIRECT("Electricidad!L29")</f>
        <v>7</v>
      </c>
      <c r="N29" s="30">
        <f>INDIRECT("Carpintería!L29")</f>
        <v>7</v>
      </c>
      <c r="O29" s="30">
        <f>INDIRECT("Hojalatería!L29")</f>
        <v>7</v>
      </c>
      <c r="P29" s="30">
        <f>INDIRECT("Ajuste Mecánico!L29")</f>
        <v>7</v>
      </c>
      <c r="Q29" s="30">
        <f>INDIRECT("Informática!L29")</f>
        <v>7</v>
      </c>
      <c r="R29" s="30">
        <f>INDIRECT("Construcciones!L29")</f>
        <v>7</v>
      </c>
      <c r="S29" s="9"/>
      <c r="T29" s="9"/>
      <c r="U29" s="9"/>
      <c r="V29" s="9"/>
      <c r="W29" s="9"/>
      <c r="X29" s="9"/>
      <c r="Y29" s="9"/>
      <c r="Z29" s="9"/>
    </row>
    <row r="30">
      <c r="A30" s="7">
        <v>23.0</v>
      </c>
      <c r="B30" s="28" t="s">
        <v>26</v>
      </c>
      <c r="C30" s="30">
        <f>INDIRECT("Lengua y Literatura!L30")</f>
        <v>7</v>
      </c>
      <c r="D30" s="30">
        <f>INDIRECT("Lengua Extranjera!L30")</f>
        <v>7</v>
      </c>
      <c r="E30" s="30">
        <f>INDIRECT("Geografía!L30")</f>
        <v>7</v>
      </c>
      <c r="F30" s="30">
        <f>INDIRECT("Historia I!L30")</f>
        <v>7</v>
      </c>
      <c r="G30" s="30">
        <f>INDIRECT("Formación Ética y Ciudadana!L30")</f>
        <v>7</v>
      </c>
      <c r="H30" s="30">
        <f>INDIRECT("Educación Física!L30")</f>
        <v>7</v>
      </c>
      <c r="I30" s="30">
        <f>INDIRECT("Matemáticas!L30")</f>
        <v>7</v>
      </c>
      <c r="J30" s="30">
        <f>INDIRECT("Biología!L30")</f>
        <v>7</v>
      </c>
      <c r="K30" s="30">
        <f>INDIRECT("Dibujo Técnico!L30")</f>
        <v>7</v>
      </c>
      <c r="L30" s="30">
        <f>INDIRECT("Tecnología!L30")</f>
        <v>7</v>
      </c>
      <c r="M30" s="30">
        <f>INDIRECT("Electricidad!L30")</f>
        <v>7</v>
      </c>
      <c r="N30" s="30">
        <f>INDIRECT("Carpintería!L30")</f>
        <v>7</v>
      </c>
      <c r="O30" s="30">
        <f>INDIRECT("Hojalatería!L30")</f>
        <v>7</v>
      </c>
      <c r="P30" s="30">
        <f>INDIRECT("Ajuste Mecánico!L30")</f>
        <v>7</v>
      </c>
      <c r="Q30" s="30">
        <f>INDIRECT("Informática!L30")</f>
        <v>7</v>
      </c>
      <c r="R30" s="30">
        <f>INDIRECT("Construcciones!L30")</f>
        <v>7</v>
      </c>
      <c r="S30" s="9"/>
      <c r="T30" s="9"/>
      <c r="U30" s="9"/>
      <c r="V30" s="9"/>
      <c r="W30" s="9"/>
      <c r="X30" s="9"/>
      <c r="Y30" s="9"/>
      <c r="Z30" s="9"/>
    </row>
    <row r="31">
      <c r="A31" s="7">
        <v>24.0</v>
      </c>
      <c r="B31" s="28" t="s">
        <v>27</v>
      </c>
      <c r="C31" s="30">
        <f>INDIRECT("Lengua y Literatura!L31")</f>
        <v>7</v>
      </c>
      <c r="D31" s="30">
        <f>INDIRECT("Lengua Extranjera!L31")</f>
        <v>7</v>
      </c>
      <c r="E31" s="30">
        <f>INDIRECT("Geografía!L31")</f>
        <v>7</v>
      </c>
      <c r="F31" s="30">
        <f>INDIRECT("Historia I!L31")</f>
        <v>7</v>
      </c>
      <c r="G31" s="30">
        <f>INDIRECT("Formación Ética y Ciudadana!L31")</f>
        <v>7</v>
      </c>
      <c r="H31" s="30">
        <f>INDIRECT("Educación Física!L31")</f>
        <v>7</v>
      </c>
      <c r="I31" s="30">
        <f>INDIRECT("Matemáticas!L31")</f>
        <v>7</v>
      </c>
      <c r="J31" s="30">
        <f>INDIRECT("Biología!L31")</f>
        <v>7</v>
      </c>
      <c r="K31" s="30">
        <f>INDIRECT("Dibujo Técnico!L31")</f>
        <v>7</v>
      </c>
      <c r="L31" s="30">
        <f>INDIRECT("Tecnología!L31")</f>
        <v>7</v>
      </c>
      <c r="M31" s="30">
        <f>INDIRECT("Electricidad!L31")</f>
        <v>7</v>
      </c>
      <c r="N31" s="30">
        <f>INDIRECT("Carpintería!L31")</f>
        <v>7</v>
      </c>
      <c r="O31" s="30">
        <f>INDIRECT("Hojalatería!L31")</f>
        <v>7</v>
      </c>
      <c r="P31" s="30">
        <f>INDIRECT("Ajuste Mecánico!L31")</f>
        <v>7</v>
      </c>
      <c r="Q31" s="30">
        <f>INDIRECT("Informática!L31")</f>
        <v>7</v>
      </c>
      <c r="R31" s="30">
        <f>INDIRECT("Construcciones!L31")</f>
        <v>7</v>
      </c>
      <c r="S31" s="9"/>
      <c r="T31" s="9"/>
      <c r="U31" s="9"/>
      <c r="V31" s="9"/>
      <c r="W31" s="9"/>
      <c r="X31" s="9"/>
      <c r="Y31" s="9"/>
      <c r="Z31" s="9"/>
    </row>
    <row r="32">
      <c r="A32" s="7">
        <v>25.0</v>
      </c>
      <c r="B32" s="28" t="s">
        <v>28</v>
      </c>
      <c r="C32" s="30">
        <f>INDIRECT("Lengua y Literatura!L32")</f>
        <v>7</v>
      </c>
      <c r="D32" s="30">
        <f>INDIRECT("Lengua Extranjera!L32")</f>
        <v>7</v>
      </c>
      <c r="E32" s="30">
        <f>INDIRECT("Geografía!L32")</f>
        <v>7</v>
      </c>
      <c r="F32" s="30">
        <f>INDIRECT("Historia I!L32")</f>
        <v>7</v>
      </c>
      <c r="G32" s="30">
        <f>INDIRECT("Formación Ética y Ciudadana!L32")</f>
        <v>7</v>
      </c>
      <c r="H32" s="30">
        <f>INDIRECT("Educación Física!L32")</f>
        <v>7</v>
      </c>
      <c r="I32" s="30">
        <f>INDIRECT("Matemáticas!L32")</f>
        <v>7</v>
      </c>
      <c r="J32" s="30">
        <f>INDIRECT("Biología!L32")</f>
        <v>7</v>
      </c>
      <c r="K32" s="30">
        <f>INDIRECT("Dibujo Técnico!L32")</f>
        <v>7</v>
      </c>
      <c r="L32" s="30">
        <f>INDIRECT("Tecnología!L32")</f>
        <v>7</v>
      </c>
      <c r="M32" s="30">
        <f>INDIRECT("Electricidad!L32")</f>
        <v>7</v>
      </c>
      <c r="N32" s="30">
        <f>INDIRECT("Carpintería!L32")</f>
        <v>7</v>
      </c>
      <c r="O32" s="30">
        <f>INDIRECT("Hojalatería!L32")</f>
        <v>7</v>
      </c>
      <c r="P32" s="30">
        <f>INDIRECT("Ajuste Mecánico!L32")</f>
        <v>7</v>
      </c>
      <c r="Q32" s="30">
        <f>INDIRECT("Informática!L32")</f>
        <v>7</v>
      </c>
      <c r="R32" s="30">
        <f>INDIRECT("Construcciones!L32")</f>
        <v>7</v>
      </c>
      <c r="S32" s="9"/>
      <c r="T32" s="9"/>
      <c r="U32" s="9"/>
      <c r="V32" s="9"/>
      <c r="W32" s="9"/>
      <c r="X32" s="9"/>
      <c r="Y32" s="9"/>
      <c r="Z32" s="9"/>
    </row>
    <row r="33">
      <c r="A33" s="7">
        <v>26.0</v>
      </c>
      <c r="B33" s="28" t="s">
        <v>55</v>
      </c>
      <c r="C33" s="30">
        <f>INDIRECT("Lengua y Literatura!L33")</f>
        <v>7</v>
      </c>
      <c r="D33" s="30">
        <f>INDIRECT("Lengua Extranjera!L33")</f>
        <v>7</v>
      </c>
      <c r="E33" s="30">
        <f>INDIRECT("Geografía!L33")</f>
        <v>7</v>
      </c>
      <c r="F33" s="30">
        <f>INDIRECT("Historia I!L33")</f>
        <v>7</v>
      </c>
      <c r="G33" s="30">
        <f>INDIRECT("Formación Ética y Ciudadana!L33")</f>
        <v>7</v>
      </c>
      <c r="H33" s="30">
        <f>INDIRECT("Educación Física!L33")</f>
        <v>7</v>
      </c>
      <c r="I33" s="30">
        <f>INDIRECT("Matemáticas!L33")</f>
        <v>7</v>
      </c>
      <c r="J33" s="30">
        <f>INDIRECT("Biología!L33")</f>
        <v>7</v>
      </c>
      <c r="K33" s="30">
        <f>INDIRECT("Dibujo Técnico!L33")</f>
        <v>7</v>
      </c>
      <c r="L33" s="30">
        <f>INDIRECT("Tecnología!L33")</f>
        <v>7</v>
      </c>
      <c r="M33" s="30">
        <f>INDIRECT("Electricidad!L33")</f>
        <v>7</v>
      </c>
      <c r="N33" s="30">
        <f>INDIRECT("Carpintería!L33")</f>
        <v>7</v>
      </c>
      <c r="O33" s="30">
        <f>INDIRECT("Hojalatería!L33")</f>
        <v>7</v>
      </c>
      <c r="P33" s="30">
        <f>INDIRECT("Ajuste Mecánico!L33")</f>
        <v>7</v>
      </c>
      <c r="Q33" s="30">
        <f>INDIRECT("Informática!L33")</f>
        <v>7</v>
      </c>
      <c r="R33" s="30">
        <f>INDIRECT("Construcciones!L33")</f>
        <v>7</v>
      </c>
      <c r="S33" s="9"/>
      <c r="T33" s="9"/>
      <c r="U33" s="9"/>
      <c r="V33" s="9"/>
      <c r="W33" s="9"/>
      <c r="X33" s="9"/>
      <c r="Y33" s="9"/>
      <c r="Z33" s="9"/>
    </row>
    <row r="34">
      <c r="A34" s="7">
        <v>27.0</v>
      </c>
      <c r="B34" s="28" t="s">
        <v>30</v>
      </c>
      <c r="C34" s="30">
        <f>INDIRECT("Lengua y Literatura!L34")</f>
        <v>7</v>
      </c>
      <c r="D34" s="30">
        <f>INDIRECT("Lengua Extranjera!L34")</f>
        <v>7</v>
      </c>
      <c r="E34" s="30">
        <f>INDIRECT("Geografía!L34")</f>
        <v>7</v>
      </c>
      <c r="F34" s="30">
        <f>INDIRECT("Historia I!L34")</f>
        <v>7</v>
      </c>
      <c r="G34" s="30">
        <f>INDIRECT("Formación Ética y Ciudadana!L34")</f>
        <v>7</v>
      </c>
      <c r="H34" s="30">
        <f>INDIRECT("Educación Física!L34")</f>
        <v>7</v>
      </c>
      <c r="I34" s="30">
        <f>INDIRECT("Matemáticas!L34")</f>
        <v>7</v>
      </c>
      <c r="J34" s="30">
        <f>INDIRECT("Biología!L34")</f>
        <v>7</v>
      </c>
      <c r="K34" s="30">
        <f>INDIRECT("Dibujo Técnico!L34")</f>
        <v>7</v>
      </c>
      <c r="L34" s="30">
        <f>INDIRECT("Tecnología!L34")</f>
        <v>7</v>
      </c>
      <c r="M34" s="30">
        <f>INDIRECT("Electricidad!L34")</f>
        <v>7</v>
      </c>
      <c r="N34" s="30">
        <f>INDIRECT("Carpintería!L34")</f>
        <v>7</v>
      </c>
      <c r="O34" s="30">
        <f>INDIRECT("Hojalatería!L34")</f>
        <v>7</v>
      </c>
      <c r="P34" s="30">
        <f>INDIRECT("Ajuste Mecánico!L34")</f>
        <v>7</v>
      </c>
      <c r="Q34" s="30">
        <f>INDIRECT("Informática!L34")</f>
        <v>7</v>
      </c>
      <c r="R34" s="30">
        <f>INDIRECT("Construcciones!L34")</f>
        <v>7</v>
      </c>
      <c r="S34" s="9"/>
      <c r="T34" s="9"/>
      <c r="U34" s="9"/>
      <c r="V34" s="9"/>
      <c r="W34" s="9"/>
      <c r="X34" s="9"/>
      <c r="Y34" s="9"/>
      <c r="Z34" s="9"/>
    </row>
    <row r="35">
      <c r="A35" s="7">
        <v>28.0</v>
      </c>
      <c r="B35" s="28" t="s">
        <v>31</v>
      </c>
      <c r="C35" s="30">
        <f>INDIRECT("Lengua y Literatura!L35")</f>
        <v>7</v>
      </c>
      <c r="D35" s="30">
        <f>INDIRECT("Lengua Extranjera!L35")</f>
        <v>7</v>
      </c>
      <c r="E35" s="30">
        <f>INDIRECT("Geografía!L35")</f>
        <v>7</v>
      </c>
      <c r="F35" s="30">
        <f>INDIRECT("Historia I!L35")</f>
        <v>7</v>
      </c>
      <c r="G35" s="30">
        <f>INDIRECT("Formación Ética y Ciudadana!L35")</f>
        <v>7</v>
      </c>
      <c r="H35" s="30">
        <f>INDIRECT("Educación Física!L35")</f>
        <v>7</v>
      </c>
      <c r="I35" s="30">
        <f>INDIRECT("Matemáticas!L35")</f>
        <v>7</v>
      </c>
      <c r="J35" s="30">
        <f>INDIRECT("Biología!L35")</f>
        <v>7</v>
      </c>
      <c r="K35" s="30">
        <f>INDIRECT("Dibujo Técnico!L35")</f>
        <v>7</v>
      </c>
      <c r="L35" s="30">
        <f>INDIRECT("Tecnología!L35")</f>
        <v>7</v>
      </c>
      <c r="M35" s="30">
        <f>INDIRECT("Electricidad!L35")</f>
        <v>7</v>
      </c>
      <c r="N35" s="30">
        <f>INDIRECT("Carpintería!L35")</f>
        <v>7</v>
      </c>
      <c r="O35" s="30">
        <f>INDIRECT("Hojalatería!L35")</f>
        <v>7</v>
      </c>
      <c r="P35" s="30">
        <f>INDIRECT("Ajuste Mecánico!L35")</f>
        <v>7</v>
      </c>
      <c r="Q35" s="30">
        <f>INDIRECT("Informática!L35")</f>
        <v>7</v>
      </c>
      <c r="R35" s="30">
        <f>INDIRECT("Construcciones!L35")</f>
        <v>7</v>
      </c>
      <c r="S35" s="9"/>
      <c r="T35" s="9"/>
      <c r="U35" s="9"/>
      <c r="V35" s="9"/>
      <c r="W35" s="9"/>
      <c r="X35" s="9"/>
      <c r="Y35" s="9"/>
      <c r="Z35" s="9"/>
    </row>
    <row r="36">
      <c r="A36" s="7">
        <v>29.0</v>
      </c>
      <c r="B36" s="28" t="s">
        <v>32</v>
      </c>
      <c r="C36" s="30">
        <f>INDIRECT("Lengua y Literatura!L36")</f>
        <v>7</v>
      </c>
      <c r="D36" s="30">
        <f>INDIRECT("Lengua Extranjera!L36")</f>
        <v>7</v>
      </c>
      <c r="E36" s="30">
        <f>INDIRECT("Geografía!L36")</f>
        <v>7</v>
      </c>
      <c r="F36" s="30">
        <f>INDIRECT("Historia I!L36")</f>
        <v>7</v>
      </c>
      <c r="G36" s="30">
        <f>INDIRECT("Formación Ética y Ciudadana!L36")</f>
        <v>7</v>
      </c>
      <c r="H36" s="30">
        <f>INDIRECT("Educación Física!L36")</f>
        <v>7</v>
      </c>
      <c r="I36" s="30">
        <f>INDIRECT("Matemáticas!L36")</f>
        <v>7</v>
      </c>
      <c r="J36" s="30">
        <f>INDIRECT("Biología!L36")</f>
        <v>7</v>
      </c>
      <c r="K36" s="30">
        <f>INDIRECT("Dibujo Técnico!L36")</f>
        <v>7</v>
      </c>
      <c r="L36" s="30">
        <f>INDIRECT("Tecnología!L36")</f>
        <v>7</v>
      </c>
      <c r="M36" s="30">
        <f>INDIRECT("Electricidad!L36")</f>
        <v>7</v>
      </c>
      <c r="N36" s="30">
        <f>INDIRECT("Carpintería!L36")</f>
        <v>7</v>
      </c>
      <c r="O36" s="30">
        <f>INDIRECT("Hojalatería!L36")</f>
        <v>7</v>
      </c>
      <c r="P36" s="30">
        <f>INDIRECT("Ajuste Mecánico!L36")</f>
        <v>7</v>
      </c>
      <c r="Q36" s="30">
        <f>INDIRECT("Informática!L36")</f>
        <v>7</v>
      </c>
      <c r="R36" s="30">
        <f>INDIRECT("Construcciones!L36")</f>
        <v>7</v>
      </c>
      <c r="S36" s="9"/>
      <c r="T36" s="9"/>
      <c r="U36" s="9"/>
      <c r="V36" s="9"/>
      <c r="W36" s="9"/>
      <c r="X36" s="9"/>
      <c r="Y36" s="9"/>
      <c r="Z36" s="9"/>
    </row>
    <row r="37">
      <c r="A37" s="7">
        <v>30.0</v>
      </c>
      <c r="B37" s="28" t="s">
        <v>33</v>
      </c>
      <c r="C37" s="30">
        <f>INDIRECT("Lengua y Literatura!L37")</f>
        <v>7</v>
      </c>
      <c r="D37" s="30">
        <f>INDIRECT("Lengua Extranjera!L37")</f>
        <v>7</v>
      </c>
      <c r="E37" s="30">
        <f>INDIRECT("Geografía!L37")</f>
        <v>7</v>
      </c>
      <c r="F37" s="30">
        <f>INDIRECT("Historia I!L37")</f>
        <v>7</v>
      </c>
      <c r="G37" s="30">
        <f>INDIRECT("Formación Ética y Ciudadana!L37")</f>
        <v>7</v>
      </c>
      <c r="H37" s="30">
        <f>INDIRECT("Educación Física!L37")</f>
        <v>7</v>
      </c>
      <c r="I37" s="30">
        <f>INDIRECT("Matemáticas!L37")</f>
        <v>7</v>
      </c>
      <c r="J37" s="30">
        <f>INDIRECT("Biología!L37")</f>
        <v>7</v>
      </c>
      <c r="K37" s="30">
        <f>INDIRECT("Dibujo Técnico!L37")</f>
        <v>7</v>
      </c>
      <c r="L37" s="30">
        <f>INDIRECT("Tecnología!L37")</f>
        <v>7</v>
      </c>
      <c r="M37" s="30">
        <f>INDIRECT("Electricidad!L37")</f>
        <v>7</v>
      </c>
      <c r="N37" s="30">
        <f>INDIRECT("Carpintería!L37")</f>
        <v>7</v>
      </c>
      <c r="O37" s="30">
        <f>INDIRECT("Hojalatería!L37")</f>
        <v>7</v>
      </c>
      <c r="P37" s="30">
        <f>INDIRECT("Ajuste Mecánico!L37")</f>
        <v>7</v>
      </c>
      <c r="Q37" s="30">
        <f>INDIRECT("Informática!L37")</f>
        <v>7</v>
      </c>
      <c r="R37" s="30">
        <f>INDIRECT("Construcciones!L37")</f>
        <v>7</v>
      </c>
      <c r="S37" s="9"/>
      <c r="T37" s="9"/>
      <c r="U37" s="9"/>
      <c r="V37" s="9"/>
      <c r="W37" s="9"/>
      <c r="X37" s="9"/>
      <c r="Y37" s="9"/>
      <c r="Z37" s="9"/>
    </row>
    <row r="38">
      <c r="A38" s="7">
        <v>31.0</v>
      </c>
      <c r="B38" s="28" t="s">
        <v>34</v>
      </c>
      <c r="C38" s="30">
        <f>INDIRECT("Lengua y Literatura!L38")</f>
        <v>7</v>
      </c>
      <c r="D38" s="30">
        <f>INDIRECT("Lengua Extranjera!L38")</f>
        <v>7</v>
      </c>
      <c r="E38" s="30">
        <f>INDIRECT("Geografía!L38")</f>
        <v>7</v>
      </c>
      <c r="F38" s="30">
        <f>INDIRECT("Historia I!L38")</f>
        <v>7</v>
      </c>
      <c r="G38" s="30">
        <f>INDIRECT("Formación Ética y Ciudadana!L38")</f>
        <v>7</v>
      </c>
      <c r="H38" s="30">
        <f>INDIRECT("Educación Física!L38")</f>
        <v>7</v>
      </c>
      <c r="I38" s="30">
        <f>INDIRECT("Matemáticas!L38")</f>
        <v>7</v>
      </c>
      <c r="J38" s="30">
        <f>INDIRECT("Biología!L38")</f>
        <v>7</v>
      </c>
      <c r="K38" s="30">
        <f>INDIRECT("Dibujo Técnico!L38")</f>
        <v>7</v>
      </c>
      <c r="L38" s="30">
        <f>INDIRECT("Tecnología!L38")</f>
        <v>7</v>
      </c>
      <c r="M38" s="30">
        <f>INDIRECT("Electricidad!L38")</f>
        <v>7</v>
      </c>
      <c r="N38" s="30">
        <f>INDIRECT("Carpintería!L38")</f>
        <v>7</v>
      </c>
      <c r="O38" s="30">
        <f>INDIRECT("Hojalatería!L38")</f>
        <v>7</v>
      </c>
      <c r="P38" s="30">
        <f>INDIRECT("Ajuste Mecánico!L38")</f>
        <v>7</v>
      </c>
      <c r="Q38" s="30">
        <f>INDIRECT("Informática!L38")</f>
        <v>7</v>
      </c>
      <c r="R38" s="30">
        <f>INDIRECT("Construcciones!L38")</f>
        <v>7</v>
      </c>
      <c r="S38" s="9"/>
      <c r="T38" s="9"/>
      <c r="U38" s="9"/>
      <c r="V38" s="9"/>
      <c r="W38" s="9"/>
      <c r="X38" s="9"/>
      <c r="Y38" s="9"/>
      <c r="Z38" s="9"/>
    </row>
    <row r="39">
      <c r="A39" s="7">
        <v>32.0</v>
      </c>
      <c r="B39" s="28" t="s">
        <v>35</v>
      </c>
      <c r="C39" s="30">
        <f>INDIRECT("Lengua y Literatura!L39")</f>
        <v>7</v>
      </c>
      <c r="D39" s="30">
        <f>INDIRECT("Lengua Extranjera!L39")</f>
        <v>7</v>
      </c>
      <c r="E39" s="30">
        <f>INDIRECT("Geografía!L39")</f>
        <v>7</v>
      </c>
      <c r="F39" s="30">
        <f>INDIRECT("Historia I!L39")</f>
        <v>7</v>
      </c>
      <c r="G39" s="30">
        <f>INDIRECT("Formación Ética y Ciudadana!L39")</f>
        <v>7</v>
      </c>
      <c r="H39" s="30">
        <f>INDIRECT("Educación Física!L39")</f>
        <v>7</v>
      </c>
      <c r="I39" s="30">
        <f>INDIRECT("Matemáticas!L39")</f>
        <v>7</v>
      </c>
      <c r="J39" s="30">
        <f>INDIRECT("Biología!L39")</f>
        <v>7</v>
      </c>
      <c r="K39" s="30">
        <f>INDIRECT("Dibujo Técnico!L39")</f>
        <v>7</v>
      </c>
      <c r="L39" s="30">
        <f>INDIRECT("Tecnología!L39")</f>
        <v>7</v>
      </c>
      <c r="M39" s="30">
        <f>INDIRECT("Electricidad!L39")</f>
        <v>7</v>
      </c>
      <c r="N39" s="30">
        <f>INDIRECT("Carpintería!L39")</f>
        <v>7</v>
      </c>
      <c r="O39" s="30">
        <f>INDIRECT("Hojalatería!L39")</f>
        <v>7</v>
      </c>
      <c r="P39" s="30">
        <f>INDIRECT("Ajuste Mecánico!L39")</f>
        <v>7</v>
      </c>
      <c r="Q39" s="30">
        <f>INDIRECT("Informática!L39")</f>
        <v>7</v>
      </c>
      <c r="R39" s="30">
        <f>INDIRECT("Construcciones!L39")</f>
        <v>7</v>
      </c>
      <c r="S39" s="9"/>
      <c r="T39" s="9"/>
      <c r="U39" s="9"/>
      <c r="V39" s="9"/>
      <c r="W39" s="9"/>
      <c r="X39" s="9"/>
      <c r="Y39" s="9"/>
      <c r="Z39" s="9"/>
    </row>
    <row r="40">
      <c r="A40" s="7">
        <v>33.0</v>
      </c>
      <c r="B40" s="28" t="s">
        <v>36</v>
      </c>
      <c r="C40" s="30">
        <f>INDIRECT("Lengua y Literatura!L40")</f>
        <v>7</v>
      </c>
      <c r="D40" s="30">
        <f>INDIRECT("Lengua Extranjera!L40")</f>
        <v>7</v>
      </c>
      <c r="E40" s="30">
        <f>INDIRECT("Geografía!L40")</f>
        <v>7</v>
      </c>
      <c r="F40" s="30">
        <f>INDIRECT("Historia I!L40")</f>
        <v>7</v>
      </c>
      <c r="G40" s="30">
        <f>INDIRECT("Formación Ética y Ciudadana!L40")</f>
        <v>7</v>
      </c>
      <c r="H40" s="30">
        <f>INDIRECT("Educación Física!L40")</f>
        <v>7</v>
      </c>
      <c r="I40" s="30">
        <f>INDIRECT("Matemáticas!L40")</f>
        <v>7</v>
      </c>
      <c r="J40" s="30">
        <f>INDIRECT("Biología!L40")</f>
        <v>7</v>
      </c>
      <c r="K40" s="30">
        <f>INDIRECT("Dibujo Técnico!L40")</f>
        <v>7</v>
      </c>
      <c r="L40" s="30">
        <f>INDIRECT("Tecnología!L40")</f>
        <v>7</v>
      </c>
      <c r="M40" s="30">
        <f>INDIRECT("Electricidad!L40")</f>
        <v>7</v>
      </c>
      <c r="N40" s="30">
        <f>INDIRECT("Carpintería!L40")</f>
        <v>7</v>
      </c>
      <c r="O40" s="30">
        <f>INDIRECT("Hojalatería!L40")</f>
        <v>7</v>
      </c>
      <c r="P40" s="30">
        <f>INDIRECT("Ajuste Mecánico!L40")</f>
        <v>7</v>
      </c>
      <c r="Q40" s="30">
        <f>INDIRECT("Informática!L40")</f>
        <v>7</v>
      </c>
      <c r="R40" s="30">
        <f>INDIRECT("Construcciones!L40")</f>
        <v>7</v>
      </c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1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10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1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1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10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1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10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10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10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10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10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1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10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10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10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10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10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10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10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10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1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1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10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10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10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10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10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10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10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10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10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1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1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10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10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10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1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10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10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10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1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10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1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1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10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10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10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10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10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10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10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10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10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10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10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10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10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10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10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10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10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10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10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10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10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10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10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10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10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10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10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10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10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10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10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10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10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10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10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10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10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10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10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10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10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10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10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10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10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10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10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10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10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10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10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10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10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10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10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10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10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10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10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10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10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10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10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10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10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10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10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10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10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10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10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10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10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10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10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10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10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10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10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10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10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10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10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10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10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10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10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10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10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10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10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10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10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10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10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10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10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10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10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10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10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10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10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10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10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10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10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10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10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10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10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10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10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10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10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10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10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10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10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10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10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10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10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10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10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10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10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10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10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10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10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10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10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10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10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10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10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10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10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10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10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10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10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10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10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10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10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10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10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10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10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10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10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10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10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10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10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10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10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10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10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10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10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10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10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10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10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10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10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10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10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10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10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10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10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10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10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10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10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10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10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10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10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10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10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10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10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10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10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10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10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10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10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10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10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10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10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10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10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10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10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10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10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10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10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10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10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10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10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10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10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10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10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10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10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10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10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10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10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10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10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10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10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10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1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10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10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10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10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10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10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10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10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10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10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10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10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10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10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10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10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10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10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10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10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10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10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10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10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10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10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10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10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10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10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10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10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10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10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10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10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10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10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10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10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10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10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10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10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10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10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10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10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10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10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10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10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10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10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10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10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10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10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10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10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10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10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10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10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10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10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10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10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10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10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10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10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10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10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10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10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10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10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10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10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10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10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10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10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10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10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10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10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10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10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10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10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10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10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10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10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10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10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10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10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10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10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10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10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10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10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10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10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10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10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10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10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10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10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10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10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10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10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10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10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10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10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10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10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10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10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10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10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10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10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10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10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10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10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10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10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10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10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10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10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10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10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10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10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10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10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10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10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10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10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10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10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10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10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10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10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10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10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10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10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10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10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10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10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10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10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10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10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10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10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10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10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10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10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10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10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10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10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10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10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10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10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10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10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10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10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10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10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10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10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10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10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10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10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10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10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10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10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10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10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10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10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10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10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10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10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10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10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10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10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10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10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10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10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10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10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10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10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10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10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10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10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10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10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10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10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10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10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10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10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10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10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10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10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10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10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10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10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10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10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10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10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10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10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10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10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10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10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10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10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10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10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10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10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10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10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10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10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10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10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10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10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10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10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10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10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10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10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10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10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10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10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10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10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10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10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10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10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10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10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10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10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10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10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10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10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10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10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10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10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10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10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10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10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10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10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10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10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10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10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10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10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10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10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10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10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10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10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10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10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10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10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10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10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10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10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10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10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10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10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10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10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10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10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10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10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10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10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10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10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10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10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10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10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10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10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10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10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10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10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10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10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10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10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10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10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10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10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10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10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10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10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10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10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10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10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10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10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10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10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10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10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10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10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10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10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10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10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10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10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10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10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10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10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10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10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10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10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10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10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10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10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10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10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10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10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10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10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10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10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10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10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10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10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10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10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10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10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10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10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10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10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10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10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10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10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10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10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10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10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10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10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10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10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10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10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10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10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10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10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10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10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10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10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10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10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10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10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10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10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10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10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10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10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10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10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10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10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10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10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10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10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10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10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10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10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10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10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10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10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10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10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10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10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10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10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10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10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10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10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10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10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10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10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10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10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10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10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10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10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10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10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10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10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10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10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10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10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10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10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10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10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10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10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10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10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10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10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10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10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10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10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10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10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10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10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10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10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10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10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10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10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10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10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10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10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10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10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10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10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10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10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10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10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10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10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10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10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10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10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10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10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10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10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10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10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10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10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10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10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10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10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10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10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10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10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10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10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10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10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10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10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10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10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10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10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10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10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10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10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10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10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10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10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10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10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10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10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10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10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10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10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10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10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10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10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10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10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10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10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10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10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10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10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10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10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10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10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10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10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10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10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10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10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10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10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10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10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10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10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10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10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10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10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10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10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10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10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10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10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10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10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10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10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10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10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10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10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10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10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10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10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10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10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10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10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10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10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10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10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10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10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10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10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10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10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10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10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10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10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10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10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10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10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10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10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10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10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10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10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10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10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10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10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10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10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10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10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10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10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10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10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10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">
    <mergeCell ref="A4:B4"/>
    <mergeCell ref="A5:B5"/>
    <mergeCell ref="C5:R5"/>
    <mergeCell ref="C6:R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3.88"/>
    <col customWidth="1" min="2" max="2" width="22.0"/>
    <col customWidth="1" min="3" max="3" width="17.13"/>
    <col customWidth="1" min="4" max="18" width="4.88"/>
    <col customWidth="1" min="19" max="26" width="24.13"/>
  </cols>
  <sheetData>
    <row r="1">
      <c r="A1" s="9"/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9"/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9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 t="s">
        <v>0</v>
      </c>
      <c r="B4" s="12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 t="s">
        <v>1</v>
      </c>
      <c r="B5" s="14"/>
      <c r="C5" s="15" t="s">
        <v>37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9"/>
      <c r="T5" s="9"/>
      <c r="U5" s="9"/>
      <c r="V5" s="9"/>
      <c r="W5" s="9"/>
      <c r="X5" s="9"/>
      <c r="Y5" s="9"/>
      <c r="Z5" s="9"/>
    </row>
    <row r="6">
      <c r="A6" s="18"/>
      <c r="B6" s="19"/>
      <c r="C6" s="20" t="s">
        <v>38</v>
      </c>
      <c r="R6" s="21"/>
      <c r="S6" s="9"/>
      <c r="T6" s="9"/>
      <c r="U6" s="9"/>
      <c r="V6" s="9"/>
      <c r="W6" s="9"/>
      <c r="X6" s="9"/>
      <c r="Y6" s="9"/>
      <c r="Z6" s="9"/>
    </row>
    <row r="7">
      <c r="A7" s="22" t="s">
        <v>2</v>
      </c>
      <c r="B7" s="23" t="s">
        <v>3</v>
      </c>
      <c r="C7" s="24" t="s">
        <v>39</v>
      </c>
      <c r="D7" s="25" t="s">
        <v>40</v>
      </c>
      <c r="E7" s="26" t="s">
        <v>41</v>
      </c>
      <c r="F7" s="26" t="s">
        <v>42</v>
      </c>
      <c r="G7" s="26" t="s">
        <v>43</v>
      </c>
      <c r="H7" s="26" t="s">
        <v>44</v>
      </c>
      <c r="I7" s="26" t="s">
        <v>45</v>
      </c>
      <c r="J7" s="26" t="s">
        <v>46</v>
      </c>
      <c r="K7" s="26" t="s">
        <v>47</v>
      </c>
      <c r="L7" s="26" t="s">
        <v>48</v>
      </c>
      <c r="M7" s="26" t="s">
        <v>49</v>
      </c>
      <c r="N7" s="26" t="s">
        <v>50</v>
      </c>
      <c r="O7" s="26" t="s">
        <v>51</v>
      </c>
      <c r="P7" s="26" t="s">
        <v>52</v>
      </c>
      <c r="Q7" s="26" t="s">
        <v>53</v>
      </c>
      <c r="R7" s="27" t="s">
        <v>54</v>
      </c>
      <c r="S7" s="9"/>
      <c r="T7" s="9"/>
      <c r="U7" s="9"/>
      <c r="V7" s="9"/>
      <c r="W7" s="9"/>
      <c r="X7" s="9"/>
      <c r="Y7" s="9"/>
      <c r="Z7" s="9"/>
    </row>
    <row r="8">
      <c r="A8" s="7">
        <v>1.0</v>
      </c>
      <c r="B8" s="28" t="s">
        <v>4</v>
      </c>
      <c r="C8" s="29">
        <f>INDIRECT("Lengua y Literatura!Q8")</f>
        <v>1</v>
      </c>
      <c r="D8" s="29">
        <f>INDIRECT("Lengua Extranjera!Q8")</f>
        <v>6</v>
      </c>
      <c r="E8" s="29">
        <f>INDIRECT("Geografía!Q8")</f>
        <v>6</v>
      </c>
      <c r="F8" s="29">
        <f>INDIRECT("Historia I!Q8")</f>
        <v>6</v>
      </c>
      <c r="G8" s="29">
        <f>INDIRECT("Formación Ética y Ciudadana!g8")</f>
        <v>5</v>
      </c>
      <c r="H8" s="29">
        <f>INDIRECT("Educación Física!Q8")</f>
        <v>6</v>
      </c>
      <c r="I8" s="29">
        <f>INDIRECT("Matemáticas!Q8")</f>
        <v>6</v>
      </c>
      <c r="J8" s="29">
        <f>INDIRECT("Biología!Q8")</f>
        <v>6</v>
      </c>
      <c r="K8" s="29">
        <f>INDIRECT("Dibujo Técnico!Q8")</f>
        <v>6</v>
      </c>
      <c r="L8" s="29">
        <f>INDIRECT("Tecnología!Q8")</f>
        <v>6</v>
      </c>
      <c r="M8" s="29">
        <f>INDIRECT("Electricidad!Q8")</f>
        <v>6</v>
      </c>
      <c r="N8" s="29">
        <f>INDIRECT("Carpintería!Q8")</f>
        <v>6</v>
      </c>
      <c r="O8" s="29">
        <f>INDIRECT("Hojalatería!Q8")</f>
        <v>6</v>
      </c>
      <c r="P8" s="29">
        <f>INDIRECT("Ajuste Mecánico!Q8")</f>
        <v>6</v>
      </c>
      <c r="Q8" s="29">
        <f>INDIRECT("Informática!Q8")</f>
        <v>6</v>
      </c>
      <c r="R8" s="29">
        <f>INDIRECT("Construcciones!Q8")</f>
        <v>6</v>
      </c>
      <c r="S8" s="9"/>
      <c r="T8" s="9"/>
      <c r="U8" s="9"/>
      <c r="V8" s="9"/>
      <c r="W8" s="9"/>
      <c r="X8" s="9"/>
      <c r="Y8" s="9"/>
      <c r="Z8" s="9"/>
    </row>
    <row r="9">
      <c r="A9" s="7">
        <v>2.0</v>
      </c>
      <c r="B9" s="28" t="s">
        <v>5</v>
      </c>
      <c r="C9" s="30">
        <f>INDIRECT("Lengua y Literatura!Q9")</f>
        <v>6</v>
      </c>
      <c r="D9" s="30">
        <f>INDIRECT("Lengua Extranjera!Q9")</f>
        <v>6</v>
      </c>
      <c r="E9" s="30">
        <f>INDIRECT("Geografía!Q9")</f>
        <v>6</v>
      </c>
      <c r="F9" s="30">
        <f>INDIRECT("Historia I!Q9")</f>
        <v>6</v>
      </c>
      <c r="G9" s="30">
        <f>INDIRECT("Formación Ética y Ciudadana!g9")</f>
        <v>6</v>
      </c>
      <c r="H9" s="30">
        <f>INDIRECT("Educación Física!Q9")</f>
        <v>6</v>
      </c>
      <c r="I9" s="30">
        <f>INDIRECT("Matemáticas!Q9")</f>
        <v>6</v>
      </c>
      <c r="J9" s="30">
        <f>INDIRECT("Biología!Q9")</f>
        <v>6</v>
      </c>
      <c r="K9" s="30">
        <f>INDIRECT("Dibujo Técnico!Q9")</f>
        <v>6</v>
      </c>
      <c r="L9" s="30">
        <f>INDIRECT("Tecnología!Q9")</f>
        <v>6</v>
      </c>
      <c r="M9" s="30">
        <f>INDIRECT("Electricidad!Q9")</f>
        <v>6</v>
      </c>
      <c r="N9" s="30">
        <f>INDIRECT("Carpintería!Q9")</f>
        <v>6</v>
      </c>
      <c r="O9" s="30">
        <f>INDIRECT("Hojalatería!Q9")</f>
        <v>6</v>
      </c>
      <c r="P9" s="30">
        <f>INDIRECT("Ajuste Mecánico!Q9")</f>
        <v>6</v>
      </c>
      <c r="Q9" s="30">
        <f>INDIRECT("Informática!Q9")</f>
        <v>6</v>
      </c>
      <c r="R9" s="30">
        <f>INDIRECT("Construcciones!Q9")</f>
        <v>6</v>
      </c>
      <c r="S9" s="9"/>
      <c r="T9" s="9"/>
      <c r="U9" s="9"/>
      <c r="V9" s="9"/>
      <c r="W9" s="9"/>
      <c r="X9" s="9"/>
      <c r="Y9" s="9"/>
      <c r="Z9" s="9"/>
    </row>
    <row r="10">
      <c r="A10" s="7">
        <v>3.0</v>
      </c>
      <c r="B10" s="28" t="s">
        <v>6</v>
      </c>
      <c r="C10" s="30">
        <f>INDIRECT("Lengua y Literatura!Q10")</f>
        <v>6</v>
      </c>
      <c r="D10" s="30">
        <f>INDIRECT("Lengua Extranjera!Q10")</f>
        <v>6</v>
      </c>
      <c r="E10" s="30">
        <f>INDIRECT("Geografía!Q10")</f>
        <v>6</v>
      </c>
      <c r="F10" s="30">
        <f>INDIRECT("Historia I!Q10")</f>
        <v>6</v>
      </c>
      <c r="G10" s="30">
        <f>INDIRECT("Formación Ética y Ciudadana!g10")</f>
        <v>6</v>
      </c>
      <c r="H10" s="30">
        <f>INDIRECT("Educación Física!Q10")</f>
        <v>6</v>
      </c>
      <c r="I10" s="30">
        <f>INDIRECT("Matemáticas!Q10")</f>
        <v>6</v>
      </c>
      <c r="J10" s="30">
        <f>INDIRECT("Biología!Q10")</f>
        <v>6</v>
      </c>
      <c r="K10" s="30">
        <f>INDIRECT("Dibujo Técnico!Q10")</f>
        <v>6</v>
      </c>
      <c r="L10" s="30">
        <f>INDIRECT("Tecnología!Q10")</f>
        <v>6</v>
      </c>
      <c r="M10" s="30">
        <f>INDIRECT("Electricidad!Q10")</f>
        <v>6</v>
      </c>
      <c r="N10" s="30">
        <f>INDIRECT("Carpintería!Q10")</f>
        <v>6</v>
      </c>
      <c r="O10" s="30">
        <f>INDIRECT("Hojalatería!Q10")</f>
        <v>6</v>
      </c>
      <c r="P10" s="30">
        <f>INDIRECT("Ajuste Mecánico!Q10")</f>
        <v>6</v>
      </c>
      <c r="Q10" s="30">
        <f>INDIRECT("Informática!Q10")</f>
        <v>6</v>
      </c>
      <c r="R10" s="30">
        <f>INDIRECT("Construcciones!Q10")</f>
        <v>6</v>
      </c>
      <c r="S10" s="9"/>
      <c r="T10" s="9"/>
      <c r="U10" s="9"/>
      <c r="V10" s="9"/>
      <c r="W10" s="9"/>
      <c r="X10" s="9"/>
      <c r="Y10" s="9"/>
      <c r="Z10" s="9"/>
    </row>
    <row r="11">
      <c r="A11" s="7">
        <v>4.0</v>
      </c>
      <c r="B11" s="28" t="s">
        <v>7</v>
      </c>
      <c r="C11" s="30">
        <f>INDIRECT("Lengua y Literatura!Q11")</f>
        <v>6</v>
      </c>
      <c r="D11" s="30">
        <f>INDIRECT("Lengua Extranjera!Q11")</f>
        <v>6</v>
      </c>
      <c r="E11" s="30">
        <f>INDIRECT("Geografía!Q11")</f>
        <v>6</v>
      </c>
      <c r="F11" s="30">
        <f>INDIRECT("Historia I!Q11")</f>
        <v>6</v>
      </c>
      <c r="G11" s="30">
        <f>INDIRECT("Formación Ética y Ciudadana!g11")</f>
        <v>6</v>
      </c>
      <c r="H11" s="30">
        <f>INDIRECT("Educación Física!Q11")</f>
        <v>6</v>
      </c>
      <c r="I11" s="30">
        <f>INDIRECT("Matemáticas!Q11")</f>
        <v>6</v>
      </c>
      <c r="J11" s="30">
        <f>INDIRECT("Biología!Q11")</f>
        <v>6</v>
      </c>
      <c r="K11" s="30">
        <f>INDIRECT("Dibujo Técnico!Q11")</f>
        <v>6</v>
      </c>
      <c r="L11" s="30">
        <f>INDIRECT("Tecnología!Q11")</f>
        <v>6</v>
      </c>
      <c r="M11" s="30">
        <f>INDIRECT("Electricidad!Q11")</f>
        <v>6</v>
      </c>
      <c r="N11" s="30">
        <f>INDIRECT("Carpintería!Q11")</f>
        <v>6</v>
      </c>
      <c r="O11" s="30">
        <f>INDIRECT("Hojalatería!Q11")</f>
        <v>6</v>
      </c>
      <c r="P11" s="30">
        <f>INDIRECT("Ajuste Mecánico!Q11")</f>
        <v>6</v>
      </c>
      <c r="Q11" s="30">
        <f>INDIRECT("Informática!Q11")</f>
        <v>6</v>
      </c>
      <c r="R11" s="30">
        <f>INDIRECT("Construcciones!Q11")</f>
        <v>6</v>
      </c>
      <c r="S11" s="9"/>
      <c r="T11" s="9"/>
      <c r="U11" s="9"/>
      <c r="V11" s="9"/>
      <c r="W11" s="9"/>
      <c r="X11" s="9"/>
      <c r="Y11" s="9"/>
      <c r="Z11" s="9"/>
    </row>
    <row r="12">
      <c r="A12" s="7">
        <v>4.0</v>
      </c>
      <c r="B12" s="28" t="s">
        <v>8</v>
      </c>
      <c r="C12" s="30">
        <f>INDIRECT("Lengua y Literatura!Q12")</f>
        <v>6</v>
      </c>
      <c r="D12" s="30">
        <f>INDIRECT("Lengua Extranjera!Q12")</f>
        <v>6</v>
      </c>
      <c r="E12" s="30">
        <f>INDIRECT("Geografía!Q12")</f>
        <v>6</v>
      </c>
      <c r="F12" s="30">
        <f>INDIRECT("Historia I!Q12")</f>
        <v>6</v>
      </c>
      <c r="G12" s="30">
        <f>INDIRECT("Formación Ética y Ciudadana!g12")</f>
        <v>6</v>
      </c>
      <c r="H12" s="30">
        <f>INDIRECT("Educación Física!Q12")</f>
        <v>6</v>
      </c>
      <c r="I12" s="30">
        <f>INDIRECT("Matemáticas!Q12")</f>
        <v>6</v>
      </c>
      <c r="J12" s="30">
        <f>INDIRECT("Biología!Q12")</f>
        <v>6</v>
      </c>
      <c r="K12" s="30">
        <f>INDIRECT("Dibujo Técnico!Q12")</f>
        <v>6</v>
      </c>
      <c r="L12" s="30">
        <f>INDIRECT("Tecnología!Q12")</f>
        <v>6</v>
      </c>
      <c r="M12" s="30">
        <f>INDIRECT("Electricidad!Q12")</f>
        <v>6</v>
      </c>
      <c r="N12" s="30">
        <f>INDIRECT("Carpintería!Q12")</f>
        <v>6</v>
      </c>
      <c r="O12" s="30">
        <f>INDIRECT("Hojalatería!Q12")</f>
        <v>6</v>
      </c>
      <c r="P12" s="30">
        <f>INDIRECT("Ajuste Mecánico!Q12")</f>
        <v>6</v>
      </c>
      <c r="Q12" s="30">
        <f>INDIRECT("Informática!Q12")</f>
        <v>6</v>
      </c>
      <c r="R12" s="30">
        <f>INDIRECT("Construcciones!Q12")</f>
        <v>6</v>
      </c>
      <c r="S12" s="9"/>
      <c r="T12" s="9"/>
      <c r="U12" s="9"/>
      <c r="V12" s="9"/>
      <c r="W12" s="9"/>
      <c r="X12" s="9"/>
      <c r="Y12" s="9"/>
      <c r="Z12" s="9"/>
    </row>
    <row r="13">
      <c r="A13" s="7">
        <v>6.0</v>
      </c>
      <c r="B13" s="28" t="s">
        <v>9</v>
      </c>
      <c r="C13" s="30">
        <f>INDIRECT("Lengua y Literatura!Q13")</f>
        <v>6</v>
      </c>
      <c r="D13" s="30">
        <f>INDIRECT("Lengua Extranjera!Q13")</f>
        <v>6</v>
      </c>
      <c r="E13" s="30">
        <f>INDIRECT("Geografía!Q13")</f>
        <v>6</v>
      </c>
      <c r="F13" s="30">
        <f>INDIRECT("Historia I!Q13")</f>
        <v>6</v>
      </c>
      <c r="G13" s="30">
        <f>INDIRECT("Formación Ética y Ciudadana!g13")</f>
        <v>6</v>
      </c>
      <c r="H13" s="30">
        <f>INDIRECT("Educación Física!Q13")</f>
        <v>6</v>
      </c>
      <c r="I13" s="30">
        <f>INDIRECT("Matemáticas!Q13")</f>
        <v>6</v>
      </c>
      <c r="J13" s="30">
        <f>INDIRECT("Biología!Q13")</f>
        <v>6</v>
      </c>
      <c r="K13" s="30">
        <f>INDIRECT("Dibujo Técnico!Q13")</f>
        <v>6</v>
      </c>
      <c r="L13" s="30">
        <f>INDIRECT("Tecnología!Q13")</f>
        <v>6</v>
      </c>
      <c r="M13" s="30">
        <f>INDIRECT("Electricidad!Q13")</f>
        <v>6</v>
      </c>
      <c r="N13" s="30">
        <f>INDIRECT("Carpintería!Q13")</f>
        <v>6</v>
      </c>
      <c r="O13" s="30">
        <f>INDIRECT("Hojalatería!Q13")</f>
        <v>6</v>
      </c>
      <c r="P13" s="30">
        <f>INDIRECT("Ajuste Mecánico!Q13")</f>
        <v>6</v>
      </c>
      <c r="Q13" s="30">
        <f>INDIRECT("Informática!Q13")</f>
        <v>6</v>
      </c>
      <c r="R13" s="30">
        <f>INDIRECT("Construcciones!Q13")</f>
        <v>6</v>
      </c>
      <c r="S13" s="9"/>
      <c r="T13" s="9"/>
      <c r="U13" s="9"/>
      <c r="V13" s="9"/>
      <c r="W13" s="9"/>
      <c r="X13" s="9"/>
      <c r="Y13" s="9"/>
      <c r="Z13" s="9"/>
    </row>
    <row r="14">
      <c r="A14" s="7">
        <v>7.0</v>
      </c>
      <c r="B14" s="28" t="s">
        <v>10</v>
      </c>
      <c r="C14" s="30">
        <f>INDIRECT("Lengua y Literatura!Q14")</f>
        <v>6</v>
      </c>
      <c r="D14" s="30">
        <f>INDIRECT("Lengua Extranjera!Q14")</f>
        <v>6</v>
      </c>
      <c r="E14" s="30">
        <f>INDIRECT("Geografía!Q14")</f>
        <v>6</v>
      </c>
      <c r="F14" s="30">
        <f>INDIRECT("Historia I!Q14")</f>
        <v>6</v>
      </c>
      <c r="G14" s="30">
        <f>INDIRECT("Formación Ética y Ciudadana!g14")</f>
        <v>6</v>
      </c>
      <c r="H14" s="30">
        <f>INDIRECT("Educación Física!Q14")</f>
        <v>6</v>
      </c>
      <c r="I14" s="30">
        <f>INDIRECT("Matemáticas!Q14")</f>
        <v>6</v>
      </c>
      <c r="J14" s="30">
        <f>INDIRECT("Biología!Q14")</f>
        <v>6</v>
      </c>
      <c r="K14" s="30">
        <f>INDIRECT("Dibujo Técnico!Q14")</f>
        <v>6</v>
      </c>
      <c r="L14" s="30">
        <f>INDIRECT("Tecnología!Q14")</f>
        <v>6</v>
      </c>
      <c r="M14" s="30">
        <f>INDIRECT("Electricidad!Q14")</f>
        <v>6</v>
      </c>
      <c r="N14" s="30">
        <f>INDIRECT("Carpintería!Q14")</f>
        <v>6</v>
      </c>
      <c r="O14" s="30">
        <f>INDIRECT("Hojalatería!Q14")</f>
        <v>6</v>
      </c>
      <c r="P14" s="30">
        <f>INDIRECT("Ajuste Mecánico!Q14")</f>
        <v>6</v>
      </c>
      <c r="Q14" s="30">
        <f>INDIRECT("Informática!Q14")</f>
        <v>6</v>
      </c>
      <c r="R14" s="30">
        <f>INDIRECT("Construcciones!Q14")</f>
        <v>6</v>
      </c>
      <c r="S14" s="9"/>
      <c r="T14" s="9"/>
      <c r="U14" s="9"/>
      <c r="V14" s="9"/>
      <c r="W14" s="9"/>
      <c r="X14" s="9"/>
      <c r="Y14" s="9"/>
      <c r="Z14" s="9"/>
    </row>
    <row r="15">
      <c r="A15" s="7">
        <v>8.0</v>
      </c>
      <c r="B15" s="28" t="s">
        <v>11</v>
      </c>
      <c r="C15" s="30">
        <f>INDIRECT("Lengua y Literatura!Q15")</f>
        <v>6</v>
      </c>
      <c r="D15" s="30">
        <f>INDIRECT("Lengua Extranjera!Q15")</f>
        <v>6</v>
      </c>
      <c r="E15" s="30">
        <f>INDIRECT("Geografía!Q15")</f>
        <v>6</v>
      </c>
      <c r="F15" s="30">
        <f>INDIRECT("Historia I!Q15")</f>
        <v>6</v>
      </c>
      <c r="G15" s="30">
        <f>INDIRECT("Formación Ética y Ciudadana!g15")</f>
        <v>6</v>
      </c>
      <c r="H15" s="30">
        <f>INDIRECT("Educación Física!Q15")</f>
        <v>6</v>
      </c>
      <c r="I15" s="30">
        <f>INDIRECT("Matemáticas!Q15")</f>
        <v>6</v>
      </c>
      <c r="J15" s="30">
        <f>INDIRECT("Biología!Q15")</f>
        <v>6</v>
      </c>
      <c r="K15" s="30">
        <f>INDIRECT("Dibujo Técnico!Q15")</f>
        <v>6</v>
      </c>
      <c r="L15" s="30">
        <f>INDIRECT("Tecnología!Q15")</f>
        <v>6</v>
      </c>
      <c r="M15" s="30">
        <f>INDIRECT("Electricidad!Q15")</f>
        <v>6</v>
      </c>
      <c r="N15" s="30">
        <f>INDIRECT("Carpintería!Q15")</f>
        <v>6</v>
      </c>
      <c r="O15" s="30">
        <f>INDIRECT("Hojalatería!Q15")</f>
        <v>6</v>
      </c>
      <c r="P15" s="30">
        <f>INDIRECT("Ajuste Mecánico!Q15")</f>
        <v>6</v>
      </c>
      <c r="Q15" s="30">
        <f>INDIRECT("Informática!Q15")</f>
        <v>6</v>
      </c>
      <c r="R15" s="30">
        <f>INDIRECT("Construcciones!Q15")</f>
        <v>6</v>
      </c>
      <c r="S15" s="9"/>
      <c r="T15" s="9"/>
      <c r="U15" s="9"/>
      <c r="V15" s="9"/>
      <c r="W15" s="9"/>
      <c r="X15" s="9"/>
      <c r="Y15" s="9"/>
      <c r="Z15" s="9"/>
    </row>
    <row r="16">
      <c r="A16" s="7">
        <v>9.0</v>
      </c>
      <c r="B16" s="28" t="s">
        <v>12</v>
      </c>
      <c r="C16" s="30">
        <f>INDIRECT("Lengua y Literatura!Q16")</f>
        <v>6</v>
      </c>
      <c r="D16" s="30">
        <f>INDIRECT("Lengua Extranjera!Q16")</f>
        <v>6</v>
      </c>
      <c r="E16" s="30">
        <f>INDIRECT("Geografía!Q16")</f>
        <v>6</v>
      </c>
      <c r="F16" s="30">
        <f>INDIRECT("Historia I!Q16")</f>
        <v>6</v>
      </c>
      <c r="G16" s="30">
        <f>INDIRECT("Formación Ética y Ciudadana!g16")</f>
        <v>6</v>
      </c>
      <c r="H16" s="30">
        <f>INDIRECT("Educación Física!Q16")</f>
        <v>6</v>
      </c>
      <c r="I16" s="30">
        <f>INDIRECT("Matemáticas!Q16")</f>
        <v>6</v>
      </c>
      <c r="J16" s="30">
        <f>INDIRECT("Biología!Q16")</f>
        <v>6</v>
      </c>
      <c r="K16" s="30">
        <f>INDIRECT("Dibujo Técnico!Q16")</f>
        <v>6</v>
      </c>
      <c r="L16" s="30">
        <f>INDIRECT("Tecnología!Q16")</f>
        <v>6</v>
      </c>
      <c r="M16" s="30">
        <f>INDIRECT("Electricidad!Q16")</f>
        <v>6</v>
      </c>
      <c r="N16" s="30">
        <f>INDIRECT("Carpintería!Q16")</f>
        <v>6</v>
      </c>
      <c r="O16" s="30">
        <f>INDIRECT("Hojalatería!Q16")</f>
        <v>6</v>
      </c>
      <c r="P16" s="30">
        <f>INDIRECT("Ajuste Mecánico!Q16")</f>
        <v>6</v>
      </c>
      <c r="Q16" s="30">
        <f>INDIRECT("Informática!Q16")</f>
        <v>6</v>
      </c>
      <c r="R16" s="30">
        <f>INDIRECT("Construcciones!Q16")</f>
        <v>6</v>
      </c>
      <c r="S16" s="9"/>
      <c r="T16" s="9"/>
      <c r="U16" s="9"/>
      <c r="V16" s="9"/>
      <c r="W16" s="9"/>
      <c r="X16" s="9"/>
      <c r="Y16" s="9"/>
      <c r="Z16" s="9"/>
    </row>
    <row r="17">
      <c r="A17" s="7">
        <v>10.0</v>
      </c>
      <c r="B17" s="28" t="s">
        <v>13</v>
      </c>
      <c r="C17" s="30">
        <f>INDIRECT("Lengua y Literatura!Q17")</f>
        <v>6</v>
      </c>
      <c r="D17" s="30">
        <f>INDIRECT("Lengua Extranjera!Q17")</f>
        <v>6</v>
      </c>
      <c r="E17" s="30">
        <f>INDIRECT("Geografía!Q17")</f>
        <v>6</v>
      </c>
      <c r="F17" s="30">
        <f>INDIRECT("Historia I!Q17")</f>
        <v>6</v>
      </c>
      <c r="G17" s="30">
        <f>INDIRECT("Formación Ética y Ciudadana!g17")</f>
        <v>6.5</v>
      </c>
      <c r="H17" s="30">
        <f>INDIRECT("Educación Física!Q17")</f>
        <v>6</v>
      </c>
      <c r="I17" s="30">
        <f>INDIRECT("Matemáticas!Q17")</f>
        <v>6</v>
      </c>
      <c r="J17" s="30">
        <f>INDIRECT("Biología!Q17")</f>
        <v>6</v>
      </c>
      <c r="K17" s="30">
        <f>INDIRECT("Dibujo Técnico!Q17")</f>
        <v>6</v>
      </c>
      <c r="L17" s="30">
        <f>INDIRECT("Tecnología!Q17")</f>
        <v>6</v>
      </c>
      <c r="M17" s="30">
        <f>INDIRECT("Electricidad!Q17")</f>
        <v>6</v>
      </c>
      <c r="N17" s="30">
        <f>INDIRECT("Carpintería!Q17")</f>
        <v>6</v>
      </c>
      <c r="O17" s="30">
        <f>INDIRECT("Hojalatería!Q17")</f>
        <v>6</v>
      </c>
      <c r="P17" s="30">
        <f>INDIRECT("Ajuste Mecánico!Q17")</f>
        <v>6</v>
      </c>
      <c r="Q17" s="30">
        <f>INDIRECT("Informática!Q17")</f>
        <v>6</v>
      </c>
      <c r="R17" s="30">
        <f>INDIRECT("Construcciones!Q17")</f>
        <v>6</v>
      </c>
      <c r="S17" s="9"/>
      <c r="T17" s="9"/>
      <c r="U17" s="9"/>
      <c r="V17" s="9"/>
      <c r="W17" s="9"/>
      <c r="X17" s="9"/>
      <c r="Y17" s="9"/>
      <c r="Z17" s="9"/>
    </row>
    <row r="18">
      <c r="A18" s="7">
        <v>11.0</v>
      </c>
      <c r="B18" s="28" t="s">
        <v>14</v>
      </c>
      <c r="C18" s="30">
        <f>INDIRECT("Lengua y Literatura!Q18")</f>
        <v>6</v>
      </c>
      <c r="D18" s="30">
        <f>INDIRECT("Lengua Extranjera!Q18")</f>
        <v>6</v>
      </c>
      <c r="E18" s="30">
        <f>INDIRECT("Geografía!Q18")</f>
        <v>6</v>
      </c>
      <c r="F18" s="30">
        <f>INDIRECT("Historia I!Q18")</f>
        <v>6</v>
      </c>
      <c r="G18" s="30">
        <f>INDIRECT("Formación Ética y Ciudadana!g18")</f>
        <v>6</v>
      </c>
      <c r="H18" s="30">
        <f>INDIRECT("Educación Física!Q18")</f>
        <v>6</v>
      </c>
      <c r="I18" s="30">
        <f>INDIRECT("Matemáticas!Q18")</f>
        <v>6</v>
      </c>
      <c r="J18" s="30">
        <f>INDIRECT("Biología!Q18")</f>
        <v>6</v>
      </c>
      <c r="K18" s="30">
        <f>INDIRECT("Dibujo Técnico!Q18")</f>
        <v>6</v>
      </c>
      <c r="L18" s="30">
        <f>INDIRECT("Tecnología!Q18")</f>
        <v>6</v>
      </c>
      <c r="M18" s="30">
        <f>INDIRECT("Electricidad!Q18")</f>
        <v>6</v>
      </c>
      <c r="N18" s="30">
        <f>INDIRECT("Carpintería!Q18")</f>
        <v>6</v>
      </c>
      <c r="O18" s="30">
        <f>INDIRECT("Hojalatería!Q18")</f>
        <v>6</v>
      </c>
      <c r="P18" s="30">
        <f>INDIRECT("Ajuste Mecánico!Q18")</f>
        <v>6</v>
      </c>
      <c r="Q18" s="30">
        <f>INDIRECT("Informática!Q18")</f>
        <v>6</v>
      </c>
      <c r="R18" s="30">
        <f>INDIRECT("Construcciones!Q18")</f>
        <v>6</v>
      </c>
      <c r="S18" s="9"/>
      <c r="T18" s="9"/>
      <c r="U18" s="9"/>
      <c r="V18" s="9"/>
      <c r="W18" s="9"/>
      <c r="X18" s="9"/>
      <c r="Y18" s="9"/>
      <c r="Z18" s="9"/>
    </row>
    <row r="19">
      <c r="A19" s="7">
        <v>12.0</v>
      </c>
      <c r="B19" s="28" t="s">
        <v>15</v>
      </c>
      <c r="C19" s="30">
        <f>INDIRECT("Lengua y Literatura!Q19")</f>
        <v>6</v>
      </c>
      <c r="D19" s="30">
        <f>INDIRECT("Lengua Extranjera!Q19")</f>
        <v>6</v>
      </c>
      <c r="E19" s="30">
        <f>INDIRECT("Geografía!Q19")</f>
        <v>6</v>
      </c>
      <c r="F19" s="30">
        <f>INDIRECT("Historia I!Q19")</f>
        <v>6</v>
      </c>
      <c r="G19" s="30">
        <f>INDIRECT("Formación Ética y Ciudadana!g19")</f>
        <v>6</v>
      </c>
      <c r="H19" s="30">
        <f>INDIRECT("Educación Física!Q19")</f>
        <v>6</v>
      </c>
      <c r="I19" s="30">
        <f>INDIRECT("Matemáticas!Q19")</f>
        <v>6</v>
      </c>
      <c r="J19" s="30">
        <f>INDIRECT("Biología!Q19")</f>
        <v>6</v>
      </c>
      <c r="K19" s="30">
        <f>INDIRECT("Dibujo Técnico!Q19")</f>
        <v>6</v>
      </c>
      <c r="L19" s="30">
        <f>INDIRECT("Tecnología!Q19")</f>
        <v>6</v>
      </c>
      <c r="M19" s="30">
        <f>INDIRECT("Electricidad!Q19")</f>
        <v>6</v>
      </c>
      <c r="N19" s="30">
        <f>INDIRECT("Carpintería!Q19")</f>
        <v>6</v>
      </c>
      <c r="O19" s="30">
        <f>INDIRECT("Hojalatería!Q19")</f>
        <v>6</v>
      </c>
      <c r="P19" s="30">
        <f>INDIRECT("Ajuste Mecánico!Q19")</f>
        <v>6</v>
      </c>
      <c r="Q19" s="30">
        <f>INDIRECT("Informática!Q19")</f>
        <v>6</v>
      </c>
      <c r="R19" s="30">
        <f>INDIRECT("Construcciones!Q19")</f>
        <v>6</v>
      </c>
      <c r="S19" s="9"/>
      <c r="T19" s="9"/>
      <c r="U19" s="9"/>
      <c r="V19" s="9"/>
      <c r="W19" s="9"/>
      <c r="X19" s="9"/>
      <c r="Y19" s="9"/>
      <c r="Z19" s="9"/>
    </row>
    <row r="20">
      <c r="A20" s="7">
        <v>13.0</v>
      </c>
      <c r="B20" s="28" t="s">
        <v>16</v>
      </c>
      <c r="C20" s="30">
        <f>INDIRECT("Lengua y Literatura!Q20")</f>
        <v>6</v>
      </c>
      <c r="D20" s="30">
        <f>INDIRECT("Lengua Extranjera!Q20")</f>
        <v>6</v>
      </c>
      <c r="E20" s="30">
        <f>INDIRECT("Geografía!Q20")</f>
        <v>6</v>
      </c>
      <c r="F20" s="30">
        <f>INDIRECT("Historia I!Q20")</f>
        <v>6</v>
      </c>
      <c r="G20" s="30">
        <f>INDIRECT("Formación Ética y Ciudadana!g20")</f>
        <v>6</v>
      </c>
      <c r="H20" s="30">
        <f>INDIRECT("Educación Física!Q20")</f>
        <v>6</v>
      </c>
      <c r="I20" s="30">
        <f>INDIRECT("Matemáticas!Q20")</f>
        <v>6</v>
      </c>
      <c r="J20" s="30">
        <f>INDIRECT("Biología!Q20")</f>
        <v>6</v>
      </c>
      <c r="K20" s="30">
        <f>INDIRECT("Dibujo Técnico!Q20")</f>
        <v>6</v>
      </c>
      <c r="L20" s="30">
        <f>INDIRECT("Tecnología!Q20")</f>
        <v>6</v>
      </c>
      <c r="M20" s="30">
        <f>INDIRECT("Electricidad!Q20")</f>
        <v>6</v>
      </c>
      <c r="N20" s="30">
        <f>INDIRECT("Carpintería!Q20")</f>
        <v>6</v>
      </c>
      <c r="O20" s="30">
        <f>INDIRECT("Hojalatería!Q20")</f>
        <v>6</v>
      </c>
      <c r="P20" s="30">
        <f>INDIRECT("Ajuste Mecánico!Q20")</f>
        <v>6</v>
      </c>
      <c r="Q20" s="30">
        <f>INDIRECT("Informática!Q20")</f>
        <v>6</v>
      </c>
      <c r="R20" s="30">
        <f>INDIRECT("Construcciones!Q20")</f>
        <v>6</v>
      </c>
      <c r="S20" s="9"/>
      <c r="T20" s="9"/>
      <c r="U20" s="9"/>
      <c r="V20" s="9"/>
      <c r="W20" s="9"/>
      <c r="X20" s="9"/>
      <c r="Y20" s="9"/>
      <c r="Z20" s="9"/>
    </row>
    <row r="21">
      <c r="A21" s="7">
        <v>14.0</v>
      </c>
      <c r="B21" s="28" t="s">
        <v>17</v>
      </c>
      <c r="C21" s="30">
        <f>INDIRECT("Lengua y Literatura!Q21")</f>
        <v>6</v>
      </c>
      <c r="D21" s="30">
        <f>INDIRECT("Lengua Extranjera!Q21")</f>
        <v>6</v>
      </c>
      <c r="E21" s="30">
        <f>INDIRECT("Geografía!Q21")</f>
        <v>6</v>
      </c>
      <c r="F21" s="30">
        <f>INDIRECT("Historia I!Q21")</f>
        <v>6</v>
      </c>
      <c r="G21" s="30">
        <f>INDIRECT("Formación Ética y Ciudadana!g21")</f>
        <v>6</v>
      </c>
      <c r="H21" s="30">
        <f>INDIRECT("Educación Física!Q21")</f>
        <v>6</v>
      </c>
      <c r="I21" s="30">
        <f>INDIRECT("Matemáticas!Q21")</f>
        <v>6</v>
      </c>
      <c r="J21" s="30">
        <f>INDIRECT("Biología!Q21")</f>
        <v>6</v>
      </c>
      <c r="K21" s="30">
        <f>INDIRECT("Dibujo Técnico!Q21")</f>
        <v>6</v>
      </c>
      <c r="L21" s="30">
        <f>INDIRECT("Tecnología!Q21")</f>
        <v>6</v>
      </c>
      <c r="M21" s="30">
        <f>INDIRECT("Electricidad!Q21")</f>
        <v>6</v>
      </c>
      <c r="N21" s="30">
        <f>INDIRECT("Carpintería!Q21")</f>
        <v>6</v>
      </c>
      <c r="O21" s="30">
        <f>INDIRECT("Hojalatería!Q21")</f>
        <v>6</v>
      </c>
      <c r="P21" s="30">
        <f>INDIRECT("Ajuste Mecánico!Q21")</f>
        <v>6</v>
      </c>
      <c r="Q21" s="30">
        <f>INDIRECT("Informática!Q21")</f>
        <v>6</v>
      </c>
      <c r="R21" s="30">
        <f>INDIRECT("Construcciones!Q21")</f>
        <v>6</v>
      </c>
      <c r="S21" s="9"/>
      <c r="T21" s="9"/>
      <c r="U21" s="9"/>
      <c r="V21" s="9"/>
      <c r="W21" s="9"/>
      <c r="X21" s="9"/>
      <c r="Y21" s="9"/>
      <c r="Z21" s="9"/>
    </row>
    <row r="22">
      <c r="A22" s="7">
        <v>15.0</v>
      </c>
      <c r="B22" s="28" t="s">
        <v>18</v>
      </c>
      <c r="C22" s="30">
        <f>INDIRECT("Lengua y Literatura!Q22")</f>
        <v>6</v>
      </c>
      <c r="D22" s="30">
        <f>INDIRECT("Lengua Extranjera!Q22")</f>
        <v>6</v>
      </c>
      <c r="E22" s="30">
        <f>INDIRECT("Geografía!Q22")</f>
        <v>6</v>
      </c>
      <c r="F22" s="30">
        <f>INDIRECT("Historia I!Q22")</f>
        <v>6</v>
      </c>
      <c r="G22" s="30">
        <f>INDIRECT("Formación Ética y Ciudadana!g22")</f>
        <v>6</v>
      </c>
      <c r="H22" s="30">
        <f>INDIRECT("Educación Física!Q22")</f>
        <v>6</v>
      </c>
      <c r="I22" s="30">
        <f>INDIRECT("Matemáticas!Q22")</f>
        <v>6</v>
      </c>
      <c r="J22" s="30">
        <f>INDIRECT("Biología!Q22")</f>
        <v>6</v>
      </c>
      <c r="K22" s="30">
        <f>INDIRECT("Dibujo Técnico!Q22")</f>
        <v>6</v>
      </c>
      <c r="L22" s="30">
        <f>INDIRECT("Tecnología!Q22")</f>
        <v>6</v>
      </c>
      <c r="M22" s="30">
        <f>INDIRECT("Electricidad!Q22")</f>
        <v>6</v>
      </c>
      <c r="N22" s="30">
        <f>INDIRECT("Carpintería!Q22")</f>
        <v>6</v>
      </c>
      <c r="O22" s="30">
        <f>INDIRECT("Hojalatería!Q22")</f>
        <v>6</v>
      </c>
      <c r="P22" s="30">
        <f>INDIRECT("Ajuste Mecánico!Q22")</f>
        <v>6</v>
      </c>
      <c r="Q22" s="30">
        <f>INDIRECT("Informática!Q22")</f>
        <v>6</v>
      </c>
      <c r="R22" s="30">
        <f>INDIRECT("Construcciones!Q22")</f>
        <v>6</v>
      </c>
      <c r="S22" s="9"/>
      <c r="T22" s="9"/>
      <c r="U22" s="9"/>
      <c r="V22" s="9"/>
      <c r="W22" s="9"/>
      <c r="X22" s="9"/>
      <c r="Y22" s="9"/>
      <c r="Z22" s="9"/>
    </row>
    <row r="23">
      <c r="A23" s="7">
        <v>16.0</v>
      </c>
      <c r="B23" s="28" t="s">
        <v>19</v>
      </c>
      <c r="C23" s="30">
        <f>INDIRECT("Lengua y Literatura!Q23")</f>
        <v>6</v>
      </c>
      <c r="D23" s="30">
        <f>INDIRECT("Lengua Extranjera!Q23")</f>
        <v>6</v>
      </c>
      <c r="E23" s="30">
        <f>INDIRECT("Geografía!Q23")</f>
        <v>6</v>
      </c>
      <c r="F23" s="30">
        <f>INDIRECT("Historia I!Q23")</f>
        <v>6</v>
      </c>
      <c r="G23" s="30">
        <f>INDIRECT("Formación Ética y Ciudadana!g23")</f>
        <v>6</v>
      </c>
      <c r="H23" s="30">
        <f>INDIRECT("Educación Física!Q23")</f>
        <v>6</v>
      </c>
      <c r="I23" s="30">
        <f>INDIRECT("Matemáticas!Q23")</f>
        <v>6</v>
      </c>
      <c r="J23" s="30">
        <f>INDIRECT("Biología!Q23")</f>
        <v>6</v>
      </c>
      <c r="K23" s="30">
        <f>INDIRECT("Dibujo Técnico!Q23")</f>
        <v>6</v>
      </c>
      <c r="L23" s="30">
        <f>INDIRECT("Tecnología!Q23")</f>
        <v>6</v>
      </c>
      <c r="M23" s="30">
        <f>INDIRECT("Electricidad!Q23")</f>
        <v>6</v>
      </c>
      <c r="N23" s="30">
        <f>INDIRECT("Carpintería!Q23")</f>
        <v>6</v>
      </c>
      <c r="O23" s="30">
        <f>INDIRECT("Hojalatería!Q23")</f>
        <v>6</v>
      </c>
      <c r="P23" s="30">
        <f>INDIRECT("Ajuste Mecánico!Q23")</f>
        <v>6</v>
      </c>
      <c r="Q23" s="30">
        <f>INDIRECT("Informática!Q23")</f>
        <v>6</v>
      </c>
      <c r="R23" s="30">
        <f>INDIRECT("Construcciones!Q23")</f>
        <v>6</v>
      </c>
      <c r="S23" s="9"/>
      <c r="T23" s="9"/>
      <c r="U23" s="9"/>
      <c r="V23" s="9"/>
      <c r="W23" s="9"/>
      <c r="X23" s="9"/>
      <c r="Y23" s="9"/>
      <c r="Z23" s="9"/>
    </row>
    <row r="24">
      <c r="A24" s="7">
        <v>17.0</v>
      </c>
      <c r="B24" s="28" t="s">
        <v>20</v>
      </c>
      <c r="C24" s="30">
        <f>INDIRECT("Lengua y Literatura!Q24")</f>
        <v>6</v>
      </c>
      <c r="D24" s="30">
        <f>INDIRECT("Lengua Extranjera!Q24")</f>
        <v>6</v>
      </c>
      <c r="E24" s="30">
        <f>INDIRECT("Geografía!Q24")</f>
        <v>6</v>
      </c>
      <c r="F24" s="30">
        <f>INDIRECT("Historia I!Q24")</f>
        <v>6</v>
      </c>
      <c r="G24" s="30">
        <f>INDIRECT("Formación Ética y Ciudadana!g24")</f>
        <v>6</v>
      </c>
      <c r="H24" s="30">
        <f>INDIRECT("Educación Física!Q24")</f>
        <v>6</v>
      </c>
      <c r="I24" s="30">
        <f>INDIRECT("Matemáticas!Q24")</f>
        <v>6</v>
      </c>
      <c r="J24" s="30">
        <f>INDIRECT("Biología!Q24")</f>
        <v>6</v>
      </c>
      <c r="K24" s="30">
        <f>INDIRECT("Dibujo Técnico!Q24")</f>
        <v>6</v>
      </c>
      <c r="L24" s="30">
        <f>INDIRECT("Tecnología!Q24")</f>
        <v>6</v>
      </c>
      <c r="M24" s="30">
        <f>INDIRECT("Electricidad!Q24")</f>
        <v>6</v>
      </c>
      <c r="N24" s="30">
        <f>INDIRECT("Carpintería!Q24")</f>
        <v>6</v>
      </c>
      <c r="O24" s="30">
        <f>INDIRECT("Hojalatería!Q24")</f>
        <v>6</v>
      </c>
      <c r="P24" s="30">
        <f>INDIRECT("Ajuste Mecánico!Q24")</f>
        <v>6</v>
      </c>
      <c r="Q24" s="30">
        <f>INDIRECT("Informática!Q24")</f>
        <v>6</v>
      </c>
      <c r="R24" s="30">
        <f>INDIRECT("Construcciones!Q24")</f>
        <v>6</v>
      </c>
      <c r="S24" s="9"/>
      <c r="T24" s="9"/>
      <c r="U24" s="9"/>
      <c r="V24" s="9"/>
      <c r="W24" s="9"/>
      <c r="X24" s="9"/>
      <c r="Y24" s="9"/>
      <c r="Z24" s="9"/>
    </row>
    <row r="25">
      <c r="A25" s="7">
        <v>18.0</v>
      </c>
      <c r="B25" s="28" t="s">
        <v>21</v>
      </c>
      <c r="C25" s="30">
        <f>INDIRECT("Lengua y Literatura!Q25")</f>
        <v>6</v>
      </c>
      <c r="D25" s="30">
        <f>INDIRECT("Lengua Extranjera!Q25")</f>
        <v>6</v>
      </c>
      <c r="E25" s="30">
        <f>INDIRECT("Geografía!Q25")</f>
        <v>6</v>
      </c>
      <c r="F25" s="30">
        <f>INDIRECT("Historia I!Q25")</f>
        <v>6</v>
      </c>
      <c r="G25" s="30">
        <f>INDIRECT("Formación Ética y Ciudadana!g25")</f>
        <v>6</v>
      </c>
      <c r="H25" s="30">
        <f>INDIRECT("Educación Física!Q25")</f>
        <v>6</v>
      </c>
      <c r="I25" s="30">
        <f>INDIRECT("Matemáticas!Q25")</f>
        <v>6</v>
      </c>
      <c r="J25" s="30">
        <f>INDIRECT("Biología!Q25")</f>
        <v>6</v>
      </c>
      <c r="K25" s="30">
        <f>INDIRECT("Dibujo Técnico!Q25")</f>
        <v>6</v>
      </c>
      <c r="L25" s="30">
        <f>INDIRECT("Tecnología!Q25")</f>
        <v>6</v>
      </c>
      <c r="M25" s="30">
        <f>INDIRECT("Electricidad!Q25")</f>
        <v>6</v>
      </c>
      <c r="N25" s="30">
        <f>INDIRECT("Carpintería!Q25")</f>
        <v>6</v>
      </c>
      <c r="O25" s="30">
        <f>INDIRECT("Hojalatería!Q25")</f>
        <v>6</v>
      </c>
      <c r="P25" s="30">
        <f>INDIRECT("Ajuste Mecánico!Q25")</f>
        <v>6</v>
      </c>
      <c r="Q25" s="30">
        <f>INDIRECT("Informática!Q25")</f>
        <v>6</v>
      </c>
      <c r="R25" s="30">
        <f>INDIRECT("Construcciones!Q25")</f>
        <v>6</v>
      </c>
      <c r="S25" s="9"/>
      <c r="T25" s="9"/>
      <c r="U25" s="9"/>
      <c r="V25" s="9"/>
      <c r="W25" s="9"/>
      <c r="X25" s="9"/>
      <c r="Y25" s="9"/>
      <c r="Z25" s="9"/>
    </row>
    <row r="26">
      <c r="A26" s="7">
        <v>19.0</v>
      </c>
      <c r="B26" s="28" t="s">
        <v>22</v>
      </c>
      <c r="C26" s="30">
        <f>INDIRECT("Lengua y Literatura!Q26")</f>
        <v>6</v>
      </c>
      <c r="D26" s="30">
        <f>INDIRECT("Lengua Extranjera!Q26")</f>
        <v>6</v>
      </c>
      <c r="E26" s="30">
        <f>INDIRECT("Geografía!Q26")</f>
        <v>6</v>
      </c>
      <c r="F26" s="30">
        <f>INDIRECT("Historia I!Q26")</f>
        <v>6</v>
      </c>
      <c r="G26" s="30">
        <f>INDIRECT("Formación Ética y Ciudadana!g26")</f>
        <v>6</v>
      </c>
      <c r="H26" s="30">
        <f>INDIRECT("Educación Física!Q26")</f>
        <v>6</v>
      </c>
      <c r="I26" s="30">
        <f>INDIRECT("Matemáticas!Q26")</f>
        <v>6</v>
      </c>
      <c r="J26" s="30">
        <f>INDIRECT("Biología!Q26")</f>
        <v>6</v>
      </c>
      <c r="K26" s="30">
        <f>INDIRECT("Dibujo Técnico!Q26")</f>
        <v>6</v>
      </c>
      <c r="L26" s="30">
        <f>INDIRECT("Tecnología!Q26")</f>
        <v>6</v>
      </c>
      <c r="M26" s="30">
        <f>INDIRECT("Electricidad!Q26")</f>
        <v>6</v>
      </c>
      <c r="N26" s="30">
        <f>INDIRECT("Carpintería!Q26")</f>
        <v>6</v>
      </c>
      <c r="O26" s="30">
        <f>INDIRECT("Hojalatería!Q26")</f>
        <v>6</v>
      </c>
      <c r="P26" s="30">
        <f>INDIRECT("Ajuste Mecánico!Q26")</f>
        <v>6</v>
      </c>
      <c r="Q26" s="30">
        <f>INDIRECT("Informática!Q26")</f>
        <v>6</v>
      </c>
      <c r="R26" s="30">
        <f>INDIRECT("Construcciones!Q26")</f>
        <v>6</v>
      </c>
      <c r="S26" s="9"/>
      <c r="T26" s="9"/>
      <c r="U26" s="9"/>
      <c r="V26" s="9"/>
      <c r="W26" s="9"/>
      <c r="X26" s="9"/>
      <c r="Y26" s="9"/>
      <c r="Z26" s="9"/>
    </row>
    <row r="27">
      <c r="A27" s="7">
        <v>20.0</v>
      </c>
      <c r="B27" s="28" t="s">
        <v>23</v>
      </c>
      <c r="C27" s="30">
        <f>INDIRECT("Lengua y Literatura!Q27")</f>
        <v>6</v>
      </c>
      <c r="D27" s="30">
        <f>INDIRECT("Lengua Extranjera!Q27")</f>
        <v>6</v>
      </c>
      <c r="E27" s="30">
        <f>INDIRECT("Geografía!Q27")</f>
        <v>6</v>
      </c>
      <c r="F27" s="30">
        <f>INDIRECT("Historia I!Q27")</f>
        <v>6</v>
      </c>
      <c r="G27" s="30">
        <f>INDIRECT("Formación Ética y Ciudadana!g27")</f>
        <v>6</v>
      </c>
      <c r="H27" s="30">
        <f>INDIRECT("Educación Física!Q27")</f>
        <v>6</v>
      </c>
      <c r="I27" s="30">
        <f>INDIRECT("Matemáticas!Q27")</f>
        <v>6</v>
      </c>
      <c r="J27" s="30">
        <f>INDIRECT("Biología!Q27")</f>
        <v>6</v>
      </c>
      <c r="K27" s="30">
        <f>INDIRECT("Dibujo Técnico!Q27")</f>
        <v>6</v>
      </c>
      <c r="L27" s="30">
        <f>INDIRECT("Tecnología!Q27")</f>
        <v>6</v>
      </c>
      <c r="M27" s="30">
        <f>INDIRECT("Electricidad!Q27")</f>
        <v>6</v>
      </c>
      <c r="N27" s="30">
        <f>INDIRECT("Carpintería!Q27")</f>
        <v>6</v>
      </c>
      <c r="O27" s="30">
        <f>INDIRECT("Hojalatería!Q27")</f>
        <v>6</v>
      </c>
      <c r="P27" s="30">
        <f>INDIRECT("Ajuste Mecánico!Q27")</f>
        <v>6</v>
      </c>
      <c r="Q27" s="30">
        <f>INDIRECT("Informática!Q27")</f>
        <v>6</v>
      </c>
      <c r="R27" s="30">
        <f>INDIRECT("Construcciones!Q27")</f>
        <v>6</v>
      </c>
      <c r="S27" s="9"/>
      <c r="T27" s="9"/>
      <c r="U27" s="9"/>
      <c r="V27" s="9"/>
      <c r="W27" s="9"/>
      <c r="X27" s="9"/>
      <c r="Y27" s="9"/>
      <c r="Z27" s="9"/>
    </row>
    <row r="28">
      <c r="A28" s="7">
        <v>21.0</v>
      </c>
      <c r="B28" s="28" t="s">
        <v>24</v>
      </c>
      <c r="C28" s="30">
        <f>INDIRECT("Lengua y Literatura!Q28")</f>
        <v>6</v>
      </c>
      <c r="D28" s="30">
        <f>INDIRECT("Lengua Extranjera!Q28")</f>
        <v>6</v>
      </c>
      <c r="E28" s="30">
        <f>INDIRECT("Geografía!Q28")</f>
        <v>6</v>
      </c>
      <c r="F28" s="30">
        <f>INDIRECT("Historia I!Q28")</f>
        <v>6</v>
      </c>
      <c r="G28" s="30">
        <f>INDIRECT("Formación Ética y Ciudadana!g28")</f>
        <v>6</v>
      </c>
      <c r="H28" s="30">
        <f>INDIRECT("Educación Física!Q28")</f>
        <v>6</v>
      </c>
      <c r="I28" s="30">
        <f>INDIRECT("Matemáticas!Q28")</f>
        <v>6</v>
      </c>
      <c r="J28" s="30">
        <f>INDIRECT("Biología!Q28")</f>
        <v>6</v>
      </c>
      <c r="K28" s="30">
        <f>INDIRECT("Dibujo Técnico!Q28")</f>
        <v>6</v>
      </c>
      <c r="L28" s="30">
        <f>INDIRECT("Tecnología!Q28")</f>
        <v>6</v>
      </c>
      <c r="M28" s="30">
        <f>INDIRECT("Electricidad!Q28")</f>
        <v>6</v>
      </c>
      <c r="N28" s="30">
        <f>INDIRECT("Carpintería!Q28")</f>
        <v>6</v>
      </c>
      <c r="O28" s="30">
        <f>INDIRECT("Hojalatería!Q28")</f>
        <v>6</v>
      </c>
      <c r="P28" s="30">
        <f>INDIRECT("Ajuste Mecánico!Q28")</f>
        <v>6</v>
      </c>
      <c r="Q28" s="30">
        <f>INDIRECT("Informática!Q28")</f>
        <v>6</v>
      </c>
      <c r="R28" s="30">
        <f>INDIRECT("Construcciones!Q28")</f>
        <v>6</v>
      </c>
      <c r="S28" s="9"/>
      <c r="T28" s="9"/>
      <c r="U28" s="9"/>
      <c r="V28" s="9"/>
      <c r="W28" s="9"/>
      <c r="X28" s="9"/>
      <c r="Y28" s="9"/>
      <c r="Z28" s="9"/>
    </row>
    <row r="29">
      <c r="A29" s="7">
        <v>22.0</v>
      </c>
      <c r="B29" s="28" t="s">
        <v>25</v>
      </c>
      <c r="C29" s="30">
        <f>INDIRECT("Lengua y Literatura!Q29")</f>
        <v>6</v>
      </c>
      <c r="D29" s="30">
        <f>INDIRECT("Lengua Extranjera!Q29")</f>
        <v>6</v>
      </c>
      <c r="E29" s="30">
        <f>INDIRECT("Geografía!Q29")</f>
        <v>6</v>
      </c>
      <c r="F29" s="30">
        <f>INDIRECT("Historia I!Q29")</f>
        <v>6</v>
      </c>
      <c r="G29" s="30">
        <f>INDIRECT("Formación Ética y Ciudadana!g29")</f>
        <v>6</v>
      </c>
      <c r="H29" s="30">
        <f>INDIRECT("Educación Física!Q29")</f>
        <v>6</v>
      </c>
      <c r="I29" s="30">
        <f>INDIRECT("Matemáticas!Q29")</f>
        <v>6</v>
      </c>
      <c r="J29" s="30">
        <f>INDIRECT("Biología!Q29")</f>
        <v>6</v>
      </c>
      <c r="K29" s="30">
        <f>INDIRECT("Dibujo Técnico!Q29")</f>
        <v>6</v>
      </c>
      <c r="L29" s="30">
        <f>INDIRECT("Tecnología!Q29")</f>
        <v>6</v>
      </c>
      <c r="M29" s="30">
        <f>INDIRECT("Electricidad!Q29")</f>
        <v>6</v>
      </c>
      <c r="N29" s="30">
        <f>INDIRECT("Carpintería!Q29")</f>
        <v>6</v>
      </c>
      <c r="O29" s="30">
        <f>INDIRECT("Hojalatería!Q29")</f>
        <v>6</v>
      </c>
      <c r="P29" s="30">
        <f>INDIRECT("Ajuste Mecánico!Q29")</f>
        <v>6</v>
      </c>
      <c r="Q29" s="30">
        <f>INDIRECT("Informática!Q29")</f>
        <v>6</v>
      </c>
      <c r="R29" s="30">
        <f>INDIRECT("Construcciones!Q29")</f>
        <v>6</v>
      </c>
      <c r="S29" s="9"/>
      <c r="T29" s="9"/>
      <c r="U29" s="9"/>
      <c r="V29" s="9"/>
      <c r="W29" s="9"/>
      <c r="X29" s="9"/>
      <c r="Y29" s="9"/>
      <c r="Z29" s="9"/>
    </row>
    <row r="30">
      <c r="A30" s="7">
        <v>23.0</v>
      </c>
      <c r="B30" s="28" t="s">
        <v>26</v>
      </c>
      <c r="C30" s="30">
        <f>INDIRECT("Lengua y Literatura!Q30")</f>
        <v>6</v>
      </c>
      <c r="D30" s="30">
        <f>INDIRECT("Lengua Extranjera!Q30")</f>
        <v>6</v>
      </c>
      <c r="E30" s="30">
        <f>INDIRECT("Geografía!Q30")</f>
        <v>6</v>
      </c>
      <c r="F30" s="30">
        <f>INDIRECT("Historia I!Q30")</f>
        <v>6</v>
      </c>
      <c r="G30" s="30">
        <f>INDIRECT("Formación Ética y Ciudadana!g30")</f>
        <v>6</v>
      </c>
      <c r="H30" s="30">
        <f>INDIRECT("Educación Física!Q30")</f>
        <v>6</v>
      </c>
      <c r="I30" s="30">
        <f>INDIRECT("Matemáticas!Q30")</f>
        <v>6</v>
      </c>
      <c r="J30" s="30">
        <f>INDIRECT("Biología!Q30")</f>
        <v>6</v>
      </c>
      <c r="K30" s="30">
        <f>INDIRECT("Dibujo Técnico!Q30")</f>
        <v>6</v>
      </c>
      <c r="L30" s="30">
        <f>INDIRECT("Tecnología!Q30")</f>
        <v>6</v>
      </c>
      <c r="M30" s="30">
        <f>INDIRECT("Electricidad!Q30")</f>
        <v>6</v>
      </c>
      <c r="N30" s="30">
        <f>INDIRECT("Carpintería!Q30")</f>
        <v>6</v>
      </c>
      <c r="O30" s="30">
        <f>INDIRECT("Hojalatería!Q30")</f>
        <v>6</v>
      </c>
      <c r="P30" s="30">
        <f>INDIRECT("Ajuste Mecánico!Q30")</f>
        <v>6</v>
      </c>
      <c r="Q30" s="30">
        <f>INDIRECT("Informática!Q30")</f>
        <v>6</v>
      </c>
      <c r="R30" s="30">
        <f>INDIRECT("Construcciones!Q30")</f>
        <v>6</v>
      </c>
      <c r="S30" s="9"/>
      <c r="T30" s="9"/>
      <c r="U30" s="9"/>
      <c r="V30" s="9"/>
      <c r="W30" s="9"/>
      <c r="X30" s="9"/>
      <c r="Y30" s="9"/>
      <c r="Z30" s="9"/>
    </row>
    <row r="31">
      <c r="A31" s="7">
        <v>24.0</v>
      </c>
      <c r="B31" s="28" t="s">
        <v>27</v>
      </c>
      <c r="C31" s="30">
        <f>INDIRECT("Lengua y Literatura!Q31")</f>
        <v>6</v>
      </c>
      <c r="D31" s="30">
        <f>INDIRECT("Lengua Extranjera!Q31")</f>
        <v>6</v>
      </c>
      <c r="E31" s="30">
        <f>INDIRECT("Geografía!Q31")</f>
        <v>6</v>
      </c>
      <c r="F31" s="30">
        <f>INDIRECT("Historia I!Q31")</f>
        <v>6</v>
      </c>
      <c r="G31" s="30">
        <f>INDIRECT("Formación Ética y Ciudadana!g31")</f>
        <v>6</v>
      </c>
      <c r="H31" s="30">
        <f>INDIRECT("Educación Física!Q31")</f>
        <v>6</v>
      </c>
      <c r="I31" s="30">
        <f>INDIRECT("Matemáticas!Q31")</f>
        <v>6</v>
      </c>
      <c r="J31" s="30">
        <f>INDIRECT("Biología!Q31")</f>
        <v>6</v>
      </c>
      <c r="K31" s="30">
        <f>INDIRECT("Dibujo Técnico!Q31")</f>
        <v>6</v>
      </c>
      <c r="L31" s="30">
        <f>INDIRECT("Tecnología!Q31")</f>
        <v>6</v>
      </c>
      <c r="M31" s="30">
        <f>INDIRECT("Electricidad!Q31")</f>
        <v>6</v>
      </c>
      <c r="N31" s="30">
        <f>INDIRECT("Carpintería!Q31")</f>
        <v>6</v>
      </c>
      <c r="O31" s="30">
        <f>INDIRECT("Hojalatería!Q31")</f>
        <v>6</v>
      </c>
      <c r="P31" s="30">
        <f>INDIRECT("Ajuste Mecánico!Q31")</f>
        <v>6</v>
      </c>
      <c r="Q31" s="30">
        <f>INDIRECT("Informática!Q31")</f>
        <v>6</v>
      </c>
      <c r="R31" s="30">
        <f>INDIRECT("Construcciones!Q31")</f>
        <v>6</v>
      </c>
      <c r="S31" s="9"/>
      <c r="T31" s="9"/>
      <c r="U31" s="9"/>
      <c r="V31" s="9"/>
      <c r="W31" s="9"/>
      <c r="X31" s="9"/>
      <c r="Y31" s="9"/>
      <c r="Z31" s="9"/>
    </row>
    <row r="32">
      <c r="A32" s="7">
        <v>25.0</v>
      </c>
      <c r="B32" s="28" t="s">
        <v>28</v>
      </c>
      <c r="C32" s="30">
        <f>INDIRECT("Lengua y Literatura!Q32")</f>
        <v>6</v>
      </c>
      <c r="D32" s="30">
        <f>INDIRECT("Lengua Extranjera!Q32")</f>
        <v>6</v>
      </c>
      <c r="E32" s="30">
        <f>INDIRECT("Geografía!Q32")</f>
        <v>6</v>
      </c>
      <c r="F32" s="30">
        <f>INDIRECT("Historia I!Q32")</f>
        <v>6</v>
      </c>
      <c r="G32" s="30">
        <f>INDIRECT("Formación Ética y Ciudadana!g32")</f>
        <v>6</v>
      </c>
      <c r="H32" s="30">
        <f>INDIRECT("Educación Física!Q32")</f>
        <v>6</v>
      </c>
      <c r="I32" s="30">
        <f>INDIRECT("Matemáticas!Q32")</f>
        <v>6</v>
      </c>
      <c r="J32" s="30">
        <f>INDIRECT("Biología!Q32")</f>
        <v>6</v>
      </c>
      <c r="K32" s="30">
        <f>INDIRECT("Dibujo Técnico!Q32")</f>
        <v>6</v>
      </c>
      <c r="L32" s="30">
        <f>INDIRECT("Tecnología!Q32")</f>
        <v>6</v>
      </c>
      <c r="M32" s="30">
        <f>INDIRECT("Electricidad!Q32")</f>
        <v>6</v>
      </c>
      <c r="N32" s="30">
        <f>INDIRECT("Carpintería!Q32")</f>
        <v>6</v>
      </c>
      <c r="O32" s="30">
        <f>INDIRECT("Hojalatería!Q32")</f>
        <v>6</v>
      </c>
      <c r="P32" s="30">
        <f>INDIRECT("Ajuste Mecánico!Q32")</f>
        <v>6</v>
      </c>
      <c r="Q32" s="30">
        <f>INDIRECT("Informática!Q32")</f>
        <v>6</v>
      </c>
      <c r="R32" s="30">
        <f>INDIRECT("Construcciones!Q32")</f>
        <v>6</v>
      </c>
      <c r="S32" s="9"/>
      <c r="T32" s="9"/>
      <c r="U32" s="9"/>
      <c r="V32" s="9"/>
      <c r="W32" s="9"/>
      <c r="X32" s="9"/>
      <c r="Y32" s="9"/>
      <c r="Z32" s="9"/>
    </row>
    <row r="33">
      <c r="A33" s="7">
        <v>26.0</v>
      </c>
      <c r="B33" s="28" t="s">
        <v>55</v>
      </c>
      <c r="C33" s="30">
        <f>INDIRECT("Lengua y Literatura!Q33")</f>
        <v>6</v>
      </c>
      <c r="D33" s="30">
        <f>INDIRECT("Lengua Extranjera!Q33")</f>
        <v>6</v>
      </c>
      <c r="E33" s="30">
        <f>INDIRECT("Geografía!Q33")</f>
        <v>6</v>
      </c>
      <c r="F33" s="30">
        <f>INDIRECT("Historia I!Q33")</f>
        <v>6</v>
      </c>
      <c r="G33" s="30">
        <f>INDIRECT("Formación Ética y Ciudadana!g33")</f>
        <v>6</v>
      </c>
      <c r="H33" s="30">
        <f>INDIRECT("Educación Física!Q33")</f>
        <v>6</v>
      </c>
      <c r="I33" s="30">
        <f>INDIRECT("Matemáticas!Q33")</f>
        <v>6</v>
      </c>
      <c r="J33" s="30">
        <f>INDIRECT("Biología!Q33")</f>
        <v>6</v>
      </c>
      <c r="K33" s="30">
        <f>INDIRECT("Dibujo Técnico!Q33")</f>
        <v>6</v>
      </c>
      <c r="L33" s="30">
        <f>INDIRECT("Tecnología!Q33")</f>
        <v>6</v>
      </c>
      <c r="M33" s="30">
        <f>INDIRECT("Electricidad!Q33")</f>
        <v>6</v>
      </c>
      <c r="N33" s="30">
        <f>INDIRECT("Carpintería!Q33")</f>
        <v>6</v>
      </c>
      <c r="O33" s="30">
        <f>INDIRECT("Hojalatería!Q33")</f>
        <v>6</v>
      </c>
      <c r="P33" s="30">
        <f>INDIRECT("Ajuste Mecánico!Q33")</f>
        <v>6</v>
      </c>
      <c r="Q33" s="30">
        <f>INDIRECT("Informática!Q33")</f>
        <v>6</v>
      </c>
      <c r="R33" s="30">
        <f>INDIRECT("Construcciones!Q33")</f>
        <v>6</v>
      </c>
      <c r="S33" s="9"/>
      <c r="T33" s="9"/>
      <c r="U33" s="9"/>
      <c r="V33" s="9"/>
      <c r="W33" s="9"/>
      <c r="X33" s="9"/>
      <c r="Y33" s="9"/>
      <c r="Z33" s="9"/>
    </row>
    <row r="34">
      <c r="A34" s="7">
        <v>27.0</v>
      </c>
      <c r="B34" s="28" t="s">
        <v>30</v>
      </c>
      <c r="C34" s="30">
        <f>INDIRECT("Lengua y Literatura!Q34")</f>
        <v>6</v>
      </c>
      <c r="D34" s="30">
        <f>INDIRECT("Lengua Extranjera!Q34")</f>
        <v>6</v>
      </c>
      <c r="E34" s="30">
        <f>INDIRECT("Geografía!Q34")</f>
        <v>6</v>
      </c>
      <c r="F34" s="30">
        <f>INDIRECT("Historia I!Q34")</f>
        <v>6</v>
      </c>
      <c r="G34" s="30">
        <f>INDIRECT("Formación Ética y Ciudadana!g34")</f>
        <v>6</v>
      </c>
      <c r="H34" s="30">
        <f>INDIRECT("Educación Física!Q34")</f>
        <v>6</v>
      </c>
      <c r="I34" s="30">
        <f>INDIRECT("Matemáticas!Q34")</f>
        <v>6</v>
      </c>
      <c r="J34" s="30">
        <f>INDIRECT("Biología!Q34")</f>
        <v>6</v>
      </c>
      <c r="K34" s="30">
        <f>INDIRECT("Dibujo Técnico!Q34")</f>
        <v>6</v>
      </c>
      <c r="L34" s="30">
        <f>INDIRECT("Tecnología!Q34")</f>
        <v>6</v>
      </c>
      <c r="M34" s="30">
        <f>INDIRECT("Electricidad!Q34")</f>
        <v>6</v>
      </c>
      <c r="N34" s="30">
        <f>INDIRECT("Carpintería!Q34")</f>
        <v>6</v>
      </c>
      <c r="O34" s="30">
        <f>INDIRECT("Hojalatería!Q34")</f>
        <v>6</v>
      </c>
      <c r="P34" s="30">
        <f>INDIRECT("Ajuste Mecánico!Q34")</f>
        <v>6</v>
      </c>
      <c r="Q34" s="30">
        <f>INDIRECT("Informática!Q34")</f>
        <v>6</v>
      </c>
      <c r="R34" s="30">
        <f>INDIRECT("Construcciones!Q34")</f>
        <v>6</v>
      </c>
      <c r="S34" s="9"/>
      <c r="T34" s="9"/>
      <c r="U34" s="9"/>
      <c r="V34" s="9"/>
      <c r="W34" s="9"/>
      <c r="X34" s="9"/>
      <c r="Y34" s="9"/>
      <c r="Z34" s="9"/>
    </row>
    <row r="35">
      <c r="A35" s="7">
        <v>28.0</v>
      </c>
      <c r="B35" s="28" t="s">
        <v>31</v>
      </c>
      <c r="C35" s="30">
        <f>INDIRECT("Lengua y Literatura!Q35")</f>
        <v>6</v>
      </c>
      <c r="D35" s="30">
        <f>INDIRECT("Lengua Extranjera!Q35")</f>
        <v>6</v>
      </c>
      <c r="E35" s="30">
        <f>INDIRECT("Geografía!Q35")</f>
        <v>6</v>
      </c>
      <c r="F35" s="30">
        <f>INDIRECT("Historia I!Q35")</f>
        <v>6</v>
      </c>
      <c r="G35" s="30">
        <f>INDIRECT("Formación Ética y Ciudadana!g35")</f>
        <v>6</v>
      </c>
      <c r="H35" s="30">
        <f>INDIRECT("Educación Física!Q35")</f>
        <v>6</v>
      </c>
      <c r="I35" s="30">
        <f>INDIRECT("Matemáticas!Q35")</f>
        <v>6</v>
      </c>
      <c r="J35" s="30">
        <f>INDIRECT("Biología!Q35")</f>
        <v>6</v>
      </c>
      <c r="K35" s="30">
        <f>INDIRECT("Dibujo Técnico!Q35")</f>
        <v>6</v>
      </c>
      <c r="L35" s="30">
        <f>INDIRECT("Tecnología!Q35")</f>
        <v>6</v>
      </c>
      <c r="M35" s="30">
        <f>INDIRECT("Electricidad!Q35")</f>
        <v>6</v>
      </c>
      <c r="N35" s="30">
        <f>INDIRECT("Carpintería!Q35")</f>
        <v>6</v>
      </c>
      <c r="O35" s="30">
        <f>INDIRECT("Hojalatería!Q35")</f>
        <v>6</v>
      </c>
      <c r="P35" s="30">
        <f>INDIRECT("Ajuste Mecánico!Q35")</f>
        <v>6</v>
      </c>
      <c r="Q35" s="30">
        <f>INDIRECT("Informática!Q35")</f>
        <v>6</v>
      </c>
      <c r="R35" s="30">
        <f>INDIRECT("Construcciones!Q35")</f>
        <v>6</v>
      </c>
      <c r="S35" s="9"/>
      <c r="T35" s="9"/>
      <c r="U35" s="9"/>
      <c r="V35" s="9"/>
      <c r="W35" s="9"/>
      <c r="X35" s="9"/>
      <c r="Y35" s="9"/>
      <c r="Z35" s="9"/>
    </row>
    <row r="36">
      <c r="A36" s="7">
        <v>29.0</v>
      </c>
      <c r="B36" s="28" t="s">
        <v>32</v>
      </c>
      <c r="C36" s="30">
        <f>INDIRECT("Lengua y Literatura!Q36")</f>
        <v>6</v>
      </c>
      <c r="D36" s="30">
        <f>INDIRECT("Lengua Extranjera!Q36")</f>
        <v>6</v>
      </c>
      <c r="E36" s="30">
        <f>INDIRECT("Geografía!Q36")</f>
        <v>6</v>
      </c>
      <c r="F36" s="30">
        <f>INDIRECT("Historia I!Q36")</f>
        <v>6</v>
      </c>
      <c r="G36" s="30">
        <f>INDIRECT("Formación Ética y Ciudadana!g36")</f>
        <v>6</v>
      </c>
      <c r="H36" s="30">
        <f>INDIRECT("Educación Física!Q36")</f>
        <v>6</v>
      </c>
      <c r="I36" s="30">
        <f>INDIRECT("Matemáticas!Q36")</f>
        <v>6</v>
      </c>
      <c r="J36" s="30">
        <f>INDIRECT("Biología!Q36")</f>
        <v>6</v>
      </c>
      <c r="K36" s="30">
        <f>INDIRECT("Dibujo Técnico!Q36")</f>
        <v>6</v>
      </c>
      <c r="L36" s="30">
        <f>INDIRECT("Tecnología!Q36")</f>
        <v>6</v>
      </c>
      <c r="M36" s="30">
        <f>INDIRECT("Electricidad!Q36")</f>
        <v>6</v>
      </c>
      <c r="N36" s="30">
        <f>INDIRECT("Carpintería!Q36")</f>
        <v>6</v>
      </c>
      <c r="O36" s="30">
        <f>INDIRECT("Hojalatería!Q36")</f>
        <v>6</v>
      </c>
      <c r="P36" s="30">
        <f>INDIRECT("Ajuste Mecánico!Q36")</f>
        <v>6</v>
      </c>
      <c r="Q36" s="30">
        <f>INDIRECT("Informática!Q36")</f>
        <v>6</v>
      </c>
      <c r="R36" s="30">
        <f>INDIRECT("Construcciones!Q36")</f>
        <v>6</v>
      </c>
      <c r="S36" s="9"/>
      <c r="T36" s="9"/>
      <c r="U36" s="9"/>
      <c r="V36" s="9"/>
      <c r="W36" s="9"/>
      <c r="X36" s="9"/>
      <c r="Y36" s="9"/>
      <c r="Z36" s="9"/>
    </row>
    <row r="37">
      <c r="A37" s="7">
        <v>30.0</v>
      </c>
      <c r="B37" s="28" t="s">
        <v>33</v>
      </c>
      <c r="C37" s="30">
        <f>INDIRECT("Lengua y Literatura!Q37")</f>
        <v>6</v>
      </c>
      <c r="D37" s="30">
        <f>INDIRECT("Lengua Extranjera!Q37")</f>
        <v>6</v>
      </c>
      <c r="E37" s="30">
        <f>INDIRECT("Geografía!Q37")</f>
        <v>6</v>
      </c>
      <c r="F37" s="30">
        <f>INDIRECT("Historia I!Q37")</f>
        <v>6</v>
      </c>
      <c r="G37" s="30">
        <f>INDIRECT("Formación Ética y Ciudadana!g37")</f>
        <v>6</v>
      </c>
      <c r="H37" s="30">
        <f>INDIRECT("Educación Física!Q37")</f>
        <v>6</v>
      </c>
      <c r="I37" s="30">
        <f>INDIRECT("Matemáticas!Q37")</f>
        <v>6</v>
      </c>
      <c r="J37" s="30">
        <f>INDIRECT("Biología!Q37")</f>
        <v>6</v>
      </c>
      <c r="K37" s="30">
        <f>INDIRECT("Dibujo Técnico!Q37")</f>
        <v>6</v>
      </c>
      <c r="L37" s="30">
        <f>INDIRECT("Tecnología!Q37")</f>
        <v>6</v>
      </c>
      <c r="M37" s="30">
        <f>INDIRECT("Electricidad!Q37")</f>
        <v>6</v>
      </c>
      <c r="N37" s="30">
        <f>INDIRECT("Carpintería!Q37")</f>
        <v>6</v>
      </c>
      <c r="O37" s="30">
        <f>INDIRECT("Hojalatería!Q37")</f>
        <v>6</v>
      </c>
      <c r="P37" s="30">
        <f>INDIRECT("Ajuste Mecánico!Q37")</f>
        <v>6</v>
      </c>
      <c r="Q37" s="30">
        <f>INDIRECT("Informática!Q37")</f>
        <v>6</v>
      </c>
      <c r="R37" s="30">
        <f>INDIRECT("Construcciones!Q37")</f>
        <v>6</v>
      </c>
      <c r="S37" s="9"/>
      <c r="T37" s="9"/>
      <c r="U37" s="9"/>
      <c r="V37" s="9"/>
      <c r="W37" s="9"/>
      <c r="X37" s="9"/>
      <c r="Y37" s="9"/>
      <c r="Z37" s="9"/>
    </row>
    <row r="38">
      <c r="A38" s="7">
        <v>31.0</v>
      </c>
      <c r="B38" s="28" t="s">
        <v>34</v>
      </c>
      <c r="C38" s="30">
        <f>INDIRECT("Lengua y Literatura!Q38")</f>
        <v>6</v>
      </c>
      <c r="D38" s="30">
        <f>INDIRECT("Lengua Extranjera!Q38")</f>
        <v>6</v>
      </c>
      <c r="E38" s="30">
        <f>INDIRECT("Geografía!Q38")</f>
        <v>6</v>
      </c>
      <c r="F38" s="30">
        <f>INDIRECT("Historia I!Q38")</f>
        <v>6</v>
      </c>
      <c r="G38" s="30">
        <f>INDIRECT("Formación Ética y Ciudadana!g38")</f>
        <v>6</v>
      </c>
      <c r="H38" s="30">
        <f>INDIRECT("Educación Física!Q38")</f>
        <v>6</v>
      </c>
      <c r="I38" s="30">
        <f>INDIRECT("Matemáticas!Q38")</f>
        <v>6</v>
      </c>
      <c r="J38" s="30">
        <f>INDIRECT("Biología!Q38")</f>
        <v>6</v>
      </c>
      <c r="K38" s="30">
        <f>INDIRECT("Dibujo Técnico!Q38")</f>
        <v>6</v>
      </c>
      <c r="L38" s="30">
        <f>INDIRECT("Tecnología!Q38")</f>
        <v>6</v>
      </c>
      <c r="M38" s="30">
        <f>INDIRECT("Electricidad!Q38")</f>
        <v>6</v>
      </c>
      <c r="N38" s="30">
        <f>INDIRECT("Carpintería!Q38")</f>
        <v>6</v>
      </c>
      <c r="O38" s="30">
        <f>INDIRECT("Hojalatería!Q38")</f>
        <v>6</v>
      </c>
      <c r="P38" s="30">
        <f>INDIRECT("Ajuste Mecánico!Q38")</f>
        <v>6</v>
      </c>
      <c r="Q38" s="30">
        <f>INDIRECT("Informática!Q38")</f>
        <v>6</v>
      </c>
      <c r="R38" s="30">
        <f>INDIRECT("Construcciones!Q38")</f>
        <v>6</v>
      </c>
      <c r="S38" s="9"/>
      <c r="T38" s="9"/>
      <c r="U38" s="9"/>
      <c r="V38" s="9"/>
      <c r="W38" s="9"/>
      <c r="X38" s="9"/>
      <c r="Y38" s="9"/>
      <c r="Z38" s="9"/>
    </row>
    <row r="39">
      <c r="A39" s="7">
        <v>32.0</v>
      </c>
      <c r="B39" s="28" t="s">
        <v>35</v>
      </c>
      <c r="C39" s="30">
        <f>INDIRECT("Lengua y Literatura!Q39")</f>
        <v>6</v>
      </c>
      <c r="D39" s="30">
        <f>INDIRECT("Lengua Extranjera!Q39")</f>
        <v>6</v>
      </c>
      <c r="E39" s="30">
        <f>INDIRECT("Geografía!Q39")</f>
        <v>6</v>
      </c>
      <c r="F39" s="30">
        <f>INDIRECT("Historia I!Q39")</f>
        <v>6</v>
      </c>
      <c r="G39" s="30">
        <f>INDIRECT("Formación Ética y Ciudadana!g39")</f>
        <v>6</v>
      </c>
      <c r="H39" s="30">
        <f>INDIRECT("Educación Física!Q39")</f>
        <v>6</v>
      </c>
      <c r="I39" s="30">
        <f>INDIRECT("Matemáticas!Q39")</f>
        <v>6</v>
      </c>
      <c r="J39" s="30">
        <f>INDIRECT("Biología!Q39")</f>
        <v>6</v>
      </c>
      <c r="K39" s="30">
        <f>INDIRECT("Dibujo Técnico!Q39")</f>
        <v>6</v>
      </c>
      <c r="L39" s="30">
        <f>INDIRECT("Tecnología!Q39")</f>
        <v>6</v>
      </c>
      <c r="M39" s="30">
        <f>INDIRECT("Electricidad!Q39")</f>
        <v>6</v>
      </c>
      <c r="N39" s="30">
        <f>INDIRECT("Carpintería!Q39")</f>
        <v>6</v>
      </c>
      <c r="O39" s="30">
        <f>INDIRECT("Hojalatería!Q39")</f>
        <v>6</v>
      </c>
      <c r="P39" s="30">
        <f>INDIRECT("Ajuste Mecánico!Q39")</f>
        <v>6</v>
      </c>
      <c r="Q39" s="30">
        <f>INDIRECT("Informática!Q39")</f>
        <v>6</v>
      </c>
      <c r="R39" s="30">
        <f>INDIRECT("Construcciones!Q39")</f>
        <v>6</v>
      </c>
      <c r="S39" s="9"/>
      <c r="T39" s="9"/>
      <c r="U39" s="9"/>
      <c r="V39" s="9"/>
      <c r="W39" s="9"/>
      <c r="X39" s="9"/>
      <c r="Y39" s="9"/>
      <c r="Z39" s="9"/>
    </row>
    <row r="40">
      <c r="A40" s="7">
        <v>33.0</v>
      </c>
      <c r="B40" s="28" t="s">
        <v>36</v>
      </c>
      <c r="C40" s="30">
        <f>INDIRECT("Lengua y Literatura!Q40")</f>
        <v>6</v>
      </c>
      <c r="D40" s="30">
        <f>INDIRECT("Lengua Extranjera!Q40")</f>
        <v>6</v>
      </c>
      <c r="E40" s="30">
        <f>INDIRECT("Geografía!Q40")</f>
        <v>6</v>
      </c>
      <c r="F40" s="30">
        <f>INDIRECT("Historia I!Q40")</f>
        <v>6</v>
      </c>
      <c r="G40" s="30">
        <f>INDIRECT("Formación Ética y Ciudadana!g40")</f>
        <v>7</v>
      </c>
      <c r="H40" s="30">
        <f>INDIRECT("Educación Física!Q40")</f>
        <v>6</v>
      </c>
      <c r="I40" s="30">
        <f>INDIRECT("Matemáticas!Q40")</f>
        <v>6</v>
      </c>
      <c r="J40" s="30">
        <f>INDIRECT("Biología!Q40")</f>
        <v>6</v>
      </c>
      <c r="K40" s="30">
        <f>INDIRECT("Dibujo Técnico!Q40")</f>
        <v>6</v>
      </c>
      <c r="L40" s="30">
        <f>INDIRECT("Tecnología!Q40")</f>
        <v>6</v>
      </c>
      <c r="M40" s="30">
        <f>INDIRECT("Electricidad!Q40")</f>
        <v>6</v>
      </c>
      <c r="N40" s="30">
        <f>INDIRECT("Carpintería!Q40")</f>
        <v>6</v>
      </c>
      <c r="O40" s="30">
        <f>INDIRECT("Hojalatería!Q40")</f>
        <v>6</v>
      </c>
      <c r="P40" s="30">
        <f>INDIRECT("Ajuste Mecánico!Q40")</f>
        <v>6</v>
      </c>
      <c r="Q40" s="30">
        <f>INDIRECT("Informática!Q40")</f>
        <v>6</v>
      </c>
      <c r="R40" s="30">
        <f>INDIRECT("Construcciones!Q40")</f>
        <v>6</v>
      </c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10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10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10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10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10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1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10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10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10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10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10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10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10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10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10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10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10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10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10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10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10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10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10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10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10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10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10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10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10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10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10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10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10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10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10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10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10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10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10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10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10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10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10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1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10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10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10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10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10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10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10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10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10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10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10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10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10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10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10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10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10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10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10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10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10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10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10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10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10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10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10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10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10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10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10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10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10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10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10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10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10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10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10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10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10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10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10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10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10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10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10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10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10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10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10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10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10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10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10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10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10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10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10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10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10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10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10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10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10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10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10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10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10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10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10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10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10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10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10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10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10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10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10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10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10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10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10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10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10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10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10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10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10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10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10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10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10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10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10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10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10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10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10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10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10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10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10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10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10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10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10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10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10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10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10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10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10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10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10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10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10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10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10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10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10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10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10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10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10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10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10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10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10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10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10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10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10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10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10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10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10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10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10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10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10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10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10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10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10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10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10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10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10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10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10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10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10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10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10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10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10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10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10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10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10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10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10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10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10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10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10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10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10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10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10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10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10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10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10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10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10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10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10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10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10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10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10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10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10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10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10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10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10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10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10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10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10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10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10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10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10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10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10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10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10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10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10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10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10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10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10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10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10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10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10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10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10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10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10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10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10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10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10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10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10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10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10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10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10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10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10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10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10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10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10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10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10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10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10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10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10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10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10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10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10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10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10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10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10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10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1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10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10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10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10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10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10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10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10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10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10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10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10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10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10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10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10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10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10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10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10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10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10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10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10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10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10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10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10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10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10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10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10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10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10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10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10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10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10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10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10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10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10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10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10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10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10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10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10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10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10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10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10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10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10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10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10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10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10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10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10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10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10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10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10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10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10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10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10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10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10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10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10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10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10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10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10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10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10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10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10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10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10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10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10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10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10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10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10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10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10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10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10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10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10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10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10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10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10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10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10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10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10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10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10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10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10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10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10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10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10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10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10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10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10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10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10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10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10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10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10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10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10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10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10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10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10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10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10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10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10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10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10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10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10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10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10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10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10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10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10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10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10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10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10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10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10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10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10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10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10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10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10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10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10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10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10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10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10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10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10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10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10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10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10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10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10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10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10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10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10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10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10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10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10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10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10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10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10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10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10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10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10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10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10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10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10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10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10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10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10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10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10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10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10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10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10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10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10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10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10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10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10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10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10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10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10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10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10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10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10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10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10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10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10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10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10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10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10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10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10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10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10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10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10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10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10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10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10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10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10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10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10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10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10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10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10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10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10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10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10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10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10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10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10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10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10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10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10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10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10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10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10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10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10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10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10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10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10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10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10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10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10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10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10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10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10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10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10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10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10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10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10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10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10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10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10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10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10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10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10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10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10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10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10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10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10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10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10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10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10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10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10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10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10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10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10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10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10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10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10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10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10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10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10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10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10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10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10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10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10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10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10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10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10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10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10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10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10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10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10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10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10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10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10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10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10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10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10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10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10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10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10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10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10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10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10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10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10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10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10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10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10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10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10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10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10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10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10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10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10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10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10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10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10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10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10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10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10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10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10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10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10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10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10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10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10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10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10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10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10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10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10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10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10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10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10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10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10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10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10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10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10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10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10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10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10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10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10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10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10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10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10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10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10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10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10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10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10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10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10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10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10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10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10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10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10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10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10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10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10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10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10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10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10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10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10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10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10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10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10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10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10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10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10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10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10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10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10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10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10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10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10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10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10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10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10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10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10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10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10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10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10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10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10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10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10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10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10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10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10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10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10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10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10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10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10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10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10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10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10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10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10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10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10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10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10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10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10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10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10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10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10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10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10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10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10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10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10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10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10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10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10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10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10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10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10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10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10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10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10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10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10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10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10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10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10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10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10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10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10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10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10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10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10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10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10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10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10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10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10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10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10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10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10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10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10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10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10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10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10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10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10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10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10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10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10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10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10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10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10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10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10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10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10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10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10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10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10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10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10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10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10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10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10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10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10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10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10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10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10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10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10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10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10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10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10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10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10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10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10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10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10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10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10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10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10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10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10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10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10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10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10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10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10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10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10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10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10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10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10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10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10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10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10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10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10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10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10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10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10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10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10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10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10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10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10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10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10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10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10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10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10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10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10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10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10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10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10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10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10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10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10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10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10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10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10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10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10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10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10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10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10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10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10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10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10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10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10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10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10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10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10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10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10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10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10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10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10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10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10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10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10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10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10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10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10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10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10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10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10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10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10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10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10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">
    <mergeCell ref="A4:B4"/>
    <mergeCell ref="A5:B5"/>
    <mergeCell ref="C5:R5"/>
    <mergeCell ref="C6:R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7" width="6.38"/>
    <col customWidth="1" min="18" max="18" width="13.75"/>
    <col customWidth="1" min="19" max="19" width="11.5"/>
    <col customWidth="1" min="20" max="20" width="12.5"/>
    <col customWidth="1" min="21" max="21" width="13.75"/>
    <col customWidth="1" min="22" max="22" width="25.25"/>
  </cols>
  <sheetData>
    <row r="1">
      <c r="A1" s="32" t="s">
        <v>56</v>
      </c>
      <c r="B1" s="33"/>
      <c r="C1" s="34" t="s">
        <v>57</v>
      </c>
      <c r="D1" s="35"/>
      <c r="E1" s="35"/>
      <c r="F1" s="35"/>
      <c r="G1" s="35"/>
      <c r="H1" s="35"/>
      <c r="I1" s="35"/>
      <c r="J1" s="33"/>
      <c r="K1" s="36"/>
      <c r="L1" s="36"/>
      <c r="M1" s="37"/>
      <c r="N1" s="37"/>
      <c r="O1" s="37"/>
      <c r="P1" s="37"/>
      <c r="Q1" s="37"/>
      <c r="R1" s="37"/>
      <c r="S1" s="37"/>
      <c r="T1" s="37"/>
      <c r="U1" s="37"/>
      <c r="V1" s="9"/>
    </row>
    <row r="2">
      <c r="A2" s="38"/>
      <c r="B2" s="39"/>
      <c r="C2" s="40"/>
      <c r="D2" s="41"/>
      <c r="E2" s="41"/>
      <c r="F2" s="41"/>
      <c r="G2" s="41"/>
      <c r="H2" s="41"/>
      <c r="I2" s="41"/>
      <c r="J2" s="42"/>
      <c r="K2" s="43"/>
      <c r="L2" s="43"/>
      <c r="M2" s="44"/>
      <c r="N2" s="44"/>
      <c r="O2" s="44"/>
      <c r="P2" s="44"/>
      <c r="Q2" s="44"/>
      <c r="R2" s="44"/>
      <c r="S2" s="44"/>
      <c r="T2" s="44"/>
      <c r="U2" s="44"/>
      <c r="V2" s="9"/>
    </row>
    <row r="3">
      <c r="A3" s="45"/>
      <c r="B3" s="46"/>
      <c r="C3" s="47" t="s">
        <v>58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9"/>
      <c r="U3" s="50"/>
      <c r="V3" s="9"/>
    </row>
    <row r="4">
      <c r="A4" s="51" t="s">
        <v>59</v>
      </c>
      <c r="B4" s="52"/>
      <c r="C4" s="52"/>
      <c r="D4" s="52"/>
      <c r="E4" s="53"/>
      <c r="F4" s="54" t="s">
        <v>60</v>
      </c>
      <c r="G4" s="52"/>
      <c r="H4" s="52"/>
      <c r="I4" s="52"/>
      <c r="J4" s="52"/>
      <c r="K4" s="52"/>
      <c r="L4" s="52"/>
      <c r="M4" s="53"/>
      <c r="N4" s="44"/>
      <c r="O4" s="44"/>
      <c r="P4" s="44"/>
      <c r="Q4" s="55"/>
      <c r="U4" s="44"/>
      <c r="V4" s="9"/>
    </row>
    <row r="5">
      <c r="A5" s="56" t="s">
        <v>61</v>
      </c>
      <c r="B5" s="57" t="str">
        <f>INDIRECT("Alumnos!A5")
</f>
        <v>José</v>
      </c>
      <c r="C5" s="56"/>
      <c r="D5" s="56"/>
      <c r="E5" s="56"/>
      <c r="F5" s="58"/>
      <c r="G5" s="59"/>
      <c r="H5" s="59"/>
      <c r="I5" s="59"/>
      <c r="J5" s="59"/>
      <c r="K5" s="59"/>
      <c r="L5" s="59"/>
      <c r="M5" s="59"/>
      <c r="N5" s="60"/>
      <c r="O5" s="60"/>
      <c r="P5" s="60"/>
      <c r="Q5" s="60"/>
      <c r="R5" s="60"/>
      <c r="S5" s="60"/>
      <c r="T5" s="60"/>
      <c r="U5" s="50"/>
      <c r="V5" s="9"/>
    </row>
    <row r="6">
      <c r="A6" s="61" t="s">
        <v>2</v>
      </c>
      <c r="B6" s="61" t="s">
        <v>3</v>
      </c>
      <c r="C6" s="62" t="s">
        <v>62</v>
      </c>
      <c r="D6" s="63"/>
      <c r="E6" s="63"/>
      <c r="F6" s="64"/>
      <c r="G6" s="65" t="s">
        <v>63</v>
      </c>
      <c r="H6" s="62" t="s">
        <v>64</v>
      </c>
      <c r="I6" s="63"/>
      <c r="J6" s="63"/>
      <c r="K6" s="64"/>
      <c r="L6" s="65" t="s">
        <v>63</v>
      </c>
      <c r="M6" s="62" t="s">
        <v>65</v>
      </c>
      <c r="N6" s="63"/>
      <c r="O6" s="63"/>
      <c r="P6" s="64"/>
      <c r="Q6" s="65" t="s">
        <v>63</v>
      </c>
      <c r="R6" s="66" t="s">
        <v>63</v>
      </c>
      <c r="S6" s="61" t="s">
        <v>66</v>
      </c>
      <c r="T6" s="61" t="s">
        <v>67</v>
      </c>
      <c r="U6" s="61" t="s">
        <v>68</v>
      </c>
    </row>
    <row r="7">
      <c r="A7" s="67"/>
      <c r="B7" s="67"/>
      <c r="C7" s="45"/>
      <c r="D7" s="68"/>
      <c r="E7" s="68"/>
      <c r="F7" s="46"/>
      <c r="G7" s="67"/>
      <c r="H7" s="45"/>
      <c r="I7" s="68"/>
      <c r="J7" s="68"/>
      <c r="K7" s="46"/>
      <c r="L7" s="67"/>
      <c r="M7" s="45"/>
      <c r="N7" s="68"/>
      <c r="O7" s="68"/>
      <c r="P7" s="46"/>
      <c r="Q7" s="67"/>
      <c r="R7" s="69" t="s">
        <v>69</v>
      </c>
      <c r="S7" s="67"/>
      <c r="T7" s="67"/>
      <c r="U7" s="67"/>
    </row>
    <row r="8">
      <c r="A8" s="70">
        <v>1.0</v>
      </c>
      <c r="B8" s="71" t="str">
        <f>INDIRECT("Alumnos!B8")
</f>
        <v>Juan Rodríguez</v>
      </c>
      <c r="C8" s="72">
        <v>9.0</v>
      </c>
      <c r="D8" s="72">
        <v>8.0</v>
      </c>
      <c r="E8" s="72">
        <v>7.0</v>
      </c>
      <c r="F8" s="72">
        <v>9.0</v>
      </c>
      <c r="G8" s="73">
        <f t="shared" ref="G8:G41" si="1">SUM(C8:F8)/4</f>
        <v>8.25</v>
      </c>
      <c r="H8" s="72">
        <v>9.0</v>
      </c>
      <c r="I8" s="72">
        <v>9.0</v>
      </c>
      <c r="J8" s="72">
        <v>9.0</v>
      </c>
      <c r="K8" s="72">
        <v>9.0</v>
      </c>
      <c r="L8" s="73">
        <f t="shared" ref="L8:L41" si="2">SUM(H8:K8)/4</f>
        <v>9</v>
      </c>
      <c r="M8" s="72">
        <v>1.0</v>
      </c>
      <c r="N8" s="72">
        <v>1.0</v>
      </c>
      <c r="O8" s="72">
        <v>1.0</v>
      </c>
      <c r="P8" s="72">
        <v>1.0</v>
      </c>
      <c r="Q8" s="73">
        <f t="shared" ref="Q8:Q41" si="3">TRUNC(SUM(M8:P8)/4,2)</f>
        <v>1</v>
      </c>
      <c r="R8" s="74" t="str">
        <f>IF(AND(G8&gt;=6, L8&gt;=6, Q8&gt;=6), ROUND((G8+L8+Q8)/3, 2), "5.99")
</f>
        <v>5.99</v>
      </c>
      <c r="S8" s="75">
        <v>0.0</v>
      </c>
      <c r="T8" s="75">
        <v>0.0</v>
      </c>
      <c r="U8" s="76">
        <f>TRUNC(IF(R8&gt;=6, R8, IF(S8&gt;=6, S8, T8)), 2)</f>
        <v>5.99</v>
      </c>
    </row>
    <row r="9">
      <c r="A9" s="77">
        <v>2.0</v>
      </c>
      <c r="B9" s="78" t="str">
        <f>INDIRECT("Alumnos!B9")
</f>
        <v>María González</v>
      </c>
      <c r="C9" s="79">
        <v>6.0</v>
      </c>
      <c r="D9" s="79">
        <v>6.0</v>
      </c>
      <c r="E9" s="79">
        <v>6.0</v>
      </c>
      <c r="F9" s="79">
        <v>6.0</v>
      </c>
      <c r="G9" s="80">
        <f t="shared" si="1"/>
        <v>6</v>
      </c>
      <c r="H9" s="79">
        <v>6.0</v>
      </c>
      <c r="I9" s="79">
        <v>7.0</v>
      </c>
      <c r="J9" s="79">
        <v>9.0</v>
      </c>
      <c r="K9" s="79">
        <v>7.0</v>
      </c>
      <c r="L9" s="80">
        <f t="shared" si="2"/>
        <v>7.25</v>
      </c>
      <c r="M9" s="79">
        <v>6.0</v>
      </c>
      <c r="N9" s="79">
        <v>6.0</v>
      </c>
      <c r="O9" s="79">
        <v>6.0</v>
      </c>
      <c r="P9" s="79">
        <v>6.0</v>
      </c>
      <c r="Q9" s="80">
        <f t="shared" si="3"/>
        <v>6</v>
      </c>
      <c r="R9" s="81">
        <f t="shared" ref="R9:R41" si="4">TRUNC(SUM(G9,L9,Q9)/3,2)</f>
        <v>6.41</v>
      </c>
      <c r="S9" s="82">
        <v>6.0</v>
      </c>
      <c r="T9" s="82">
        <v>6.0</v>
      </c>
      <c r="U9" s="83">
        <f t="shared" ref="U9:U41" si="5">TRUNC(IF(AND(R9&gt;6, ISBLANK(S9)), R9, IF(AND(R9&gt;6, S9&gt;=6), (R9+S9)/2, R9)), 2)</f>
        <v>6.2</v>
      </c>
    </row>
    <row r="10">
      <c r="A10" s="70">
        <v>3.0</v>
      </c>
      <c r="B10" s="71" t="str">
        <f>INDIRECT("Alumnos!B10")
</f>
        <v>Carlos López</v>
      </c>
      <c r="C10" s="72">
        <v>6.0</v>
      </c>
      <c r="D10" s="72">
        <v>9.0</v>
      </c>
      <c r="E10" s="72">
        <v>6.0</v>
      </c>
      <c r="F10" s="72">
        <v>6.0</v>
      </c>
      <c r="G10" s="73">
        <f t="shared" si="1"/>
        <v>6.75</v>
      </c>
      <c r="H10" s="72">
        <v>6.0</v>
      </c>
      <c r="I10" s="72">
        <v>7.0</v>
      </c>
      <c r="J10" s="72">
        <v>7.0</v>
      </c>
      <c r="K10" s="72">
        <v>7.0</v>
      </c>
      <c r="L10" s="73">
        <f t="shared" si="2"/>
        <v>6.75</v>
      </c>
      <c r="M10" s="72">
        <v>6.0</v>
      </c>
      <c r="N10" s="72">
        <v>6.0</v>
      </c>
      <c r="O10" s="72">
        <v>6.0</v>
      </c>
      <c r="P10" s="72">
        <v>6.0</v>
      </c>
      <c r="Q10" s="73">
        <f t="shared" si="3"/>
        <v>6</v>
      </c>
      <c r="R10" s="74">
        <f t="shared" si="4"/>
        <v>6.5</v>
      </c>
      <c r="S10" s="75">
        <v>6.0</v>
      </c>
      <c r="T10" s="75">
        <v>6.0</v>
      </c>
      <c r="U10" s="76">
        <f t="shared" si="5"/>
        <v>6.25</v>
      </c>
    </row>
    <row r="11">
      <c r="A11" s="77">
        <v>4.0</v>
      </c>
      <c r="B11" s="78" t="str">
        <f>INDIRECT("Alumnos!B11")
</f>
        <v>Ana Martínez</v>
      </c>
      <c r="C11" s="79">
        <v>6.0</v>
      </c>
      <c r="D11" s="79">
        <v>6.0</v>
      </c>
      <c r="E11" s="79">
        <v>6.0</v>
      </c>
      <c r="F11" s="79">
        <v>6.0</v>
      </c>
      <c r="G11" s="80">
        <f t="shared" si="1"/>
        <v>6</v>
      </c>
      <c r="H11" s="79">
        <v>6.0</v>
      </c>
      <c r="I11" s="79">
        <v>7.0</v>
      </c>
      <c r="J11" s="79">
        <v>7.0</v>
      </c>
      <c r="K11" s="79">
        <v>7.0</v>
      </c>
      <c r="L11" s="80">
        <f t="shared" si="2"/>
        <v>6.75</v>
      </c>
      <c r="M11" s="79">
        <v>6.0</v>
      </c>
      <c r="N11" s="79">
        <v>6.0</v>
      </c>
      <c r="O11" s="79">
        <v>6.0</v>
      </c>
      <c r="P11" s="79">
        <v>6.0</v>
      </c>
      <c r="Q11" s="80">
        <f t="shared" si="3"/>
        <v>6</v>
      </c>
      <c r="R11" s="81">
        <f t="shared" si="4"/>
        <v>6.25</v>
      </c>
      <c r="S11" s="82">
        <v>6.0</v>
      </c>
      <c r="T11" s="82">
        <v>6.0</v>
      </c>
      <c r="U11" s="83">
        <f t="shared" si="5"/>
        <v>6.12</v>
      </c>
    </row>
    <row r="12">
      <c r="A12" s="70">
        <v>5.0</v>
      </c>
      <c r="B12" s="71" t="str">
        <f>INDIRECT("Alumnos!B12")
</f>
        <v>Javier Pérez</v>
      </c>
      <c r="C12" s="72">
        <v>6.0</v>
      </c>
      <c r="D12" s="72">
        <v>6.0</v>
      </c>
      <c r="E12" s="72">
        <v>6.0</v>
      </c>
      <c r="F12" s="72">
        <v>6.0</v>
      </c>
      <c r="G12" s="73">
        <f t="shared" si="1"/>
        <v>6</v>
      </c>
      <c r="H12" s="72">
        <v>6.0</v>
      </c>
      <c r="I12" s="72">
        <v>7.0</v>
      </c>
      <c r="J12" s="72">
        <v>7.0</v>
      </c>
      <c r="K12" s="72">
        <v>7.0</v>
      </c>
      <c r="L12" s="73">
        <f t="shared" si="2"/>
        <v>6.75</v>
      </c>
      <c r="M12" s="72">
        <v>6.0</v>
      </c>
      <c r="N12" s="72">
        <v>6.0</v>
      </c>
      <c r="O12" s="72">
        <v>6.0</v>
      </c>
      <c r="P12" s="72">
        <v>6.0</v>
      </c>
      <c r="Q12" s="73">
        <f t="shared" si="3"/>
        <v>6</v>
      </c>
      <c r="R12" s="74">
        <f t="shared" si="4"/>
        <v>6.25</v>
      </c>
      <c r="S12" s="75">
        <v>6.0</v>
      </c>
      <c r="T12" s="75">
        <v>6.0</v>
      </c>
      <c r="U12" s="76">
        <f t="shared" si="5"/>
        <v>6.12</v>
      </c>
    </row>
    <row r="13">
      <c r="A13" s="77">
        <v>6.0</v>
      </c>
      <c r="B13" s="78" t="str">
        <f>INDIRECT("Alumnos!B13")
</f>
        <v>Laura Sánchez</v>
      </c>
      <c r="C13" s="79">
        <v>6.0</v>
      </c>
      <c r="D13" s="79">
        <v>6.0</v>
      </c>
      <c r="E13" s="79">
        <v>6.0</v>
      </c>
      <c r="F13" s="79">
        <v>6.0</v>
      </c>
      <c r="G13" s="80">
        <f t="shared" si="1"/>
        <v>6</v>
      </c>
      <c r="H13" s="79">
        <v>6.0</v>
      </c>
      <c r="I13" s="79">
        <v>7.0</v>
      </c>
      <c r="J13" s="79">
        <v>7.0</v>
      </c>
      <c r="K13" s="79">
        <v>7.0</v>
      </c>
      <c r="L13" s="80">
        <f t="shared" si="2"/>
        <v>6.75</v>
      </c>
      <c r="M13" s="79">
        <v>6.0</v>
      </c>
      <c r="N13" s="79">
        <v>6.0</v>
      </c>
      <c r="O13" s="79">
        <v>6.0</v>
      </c>
      <c r="P13" s="79">
        <v>6.0</v>
      </c>
      <c r="Q13" s="80">
        <f t="shared" si="3"/>
        <v>6</v>
      </c>
      <c r="R13" s="81">
        <f t="shared" si="4"/>
        <v>6.25</v>
      </c>
      <c r="S13" s="82">
        <v>6.0</v>
      </c>
      <c r="T13" s="82">
        <v>6.0</v>
      </c>
      <c r="U13" s="83">
        <f t="shared" si="5"/>
        <v>6.12</v>
      </c>
    </row>
    <row r="14">
      <c r="A14" s="70">
        <v>7.0</v>
      </c>
      <c r="B14" s="71" t="str">
        <f>INDIRECT("Alumnos!B14")
</f>
        <v>Alejandro Ramírez</v>
      </c>
      <c r="C14" s="72">
        <v>6.0</v>
      </c>
      <c r="D14" s="72">
        <v>6.0</v>
      </c>
      <c r="E14" s="72">
        <v>6.0</v>
      </c>
      <c r="F14" s="72">
        <v>6.0</v>
      </c>
      <c r="G14" s="73">
        <f t="shared" si="1"/>
        <v>6</v>
      </c>
      <c r="H14" s="72">
        <v>6.0</v>
      </c>
      <c r="I14" s="72">
        <v>7.0</v>
      </c>
      <c r="J14" s="72">
        <v>7.0</v>
      </c>
      <c r="K14" s="72">
        <v>7.0</v>
      </c>
      <c r="L14" s="73">
        <f t="shared" si="2"/>
        <v>6.75</v>
      </c>
      <c r="M14" s="72">
        <v>6.0</v>
      </c>
      <c r="N14" s="72">
        <v>6.0</v>
      </c>
      <c r="O14" s="72">
        <v>6.0</v>
      </c>
      <c r="P14" s="72">
        <v>6.0</v>
      </c>
      <c r="Q14" s="73">
        <f t="shared" si="3"/>
        <v>6</v>
      </c>
      <c r="R14" s="74">
        <f t="shared" si="4"/>
        <v>6.25</v>
      </c>
      <c r="S14" s="75">
        <v>6.0</v>
      </c>
      <c r="T14" s="75">
        <v>6.0</v>
      </c>
      <c r="U14" s="76">
        <f t="shared" si="5"/>
        <v>6.12</v>
      </c>
    </row>
    <row r="15">
      <c r="A15" s="77">
        <v>8.0</v>
      </c>
      <c r="B15" s="78" t="str">
        <f>INDIRECT("Alumnos!B15")
</f>
        <v>Isabel Torres</v>
      </c>
      <c r="C15" s="79">
        <v>6.0</v>
      </c>
      <c r="D15" s="79">
        <v>6.0</v>
      </c>
      <c r="E15" s="79">
        <v>6.0</v>
      </c>
      <c r="F15" s="79">
        <v>6.0</v>
      </c>
      <c r="G15" s="80">
        <f t="shared" si="1"/>
        <v>6</v>
      </c>
      <c r="H15" s="79">
        <v>6.0</v>
      </c>
      <c r="I15" s="79">
        <v>7.0</v>
      </c>
      <c r="J15" s="79">
        <v>7.0</v>
      </c>
      <c r="K15" s="79">
        <v>7.0</v>
      </c>
      <c r="L15" s="80">
        <f t="shared" si="2"/>
        <v>6.75</v>
      </c>
      <c r="M15" s="79">
        <v>6.0</v>
      </c>
      <c r="N15" s="79">
        <v>6.0</v>
      </c>
      <c r="O15" s="79">
        <v>6.0</v>
      </c>
      <c r="P15" s="79">
        <v>6.0</v>
      </c>
      <c r="Q15" s="80">
        <f t="shared" si="3"/>
        <v>6</v>
      </c>
      <c r="R15" s="81">
        <f t="shared" si="4"/>
        <v>6.25</v>
      </c>
      <c r="S15" s="82">
        <v>6.0</v>
      </c>
      <c r="T15" s="82">
        <v>6.0</v>
      </c>
      <c r="U15" s="83">
        <f t="shared" si="5"/>
        <v>6.12</v>
      </c>
    </row>
    <row r="16">
      <c r="A16" s="70">
        <v>9.0</v>
      </c>
      <c r="B16" s="71" t="str">
        <f>INDIRECT("Alumnos!B16")
</f>
        <v>Miguel Díaz</v>
      </c>
      <c r="C16" s="72">
        <v>6.0</v>
      </c>
      <c r="D16" s="72">
        <v>6.0</v>
      </c>
      <c r="E16" s="72">
        <v>6.0</v>
      </c>
      <c r="F16" s="72">
        <v>6.0</v>
      </c>
      <c r="G16" s="73">
        <f t="shared" si="1"/>
        <v>6</v>
      </c>
      <c r="H16" s="72">
        <v>6.0</v>
      </c>
      <c r="I16" s="72">
        <v>7.0</v>
      </c>
      <c r="J16" s="72">
        <v>7.0</v>
      </c>
      <c r="K16" s="72">
        <v>7.0</v>
      </c>
      <c r="L16" s="73">
        <f t="shared" si="2"/>
        <v>6.75</v>
      </c>
      <c r="M16" s="72">
        <v>6.0</v>
      </c>
      <c r="N16" s="72">
        <v>6.0</v>
      </c>
      <c r="O16" s="72">
        <v>6.0</v>
      </c>
      <c r="P16" s="72">
        <v>6.0</v>
      </c>
      <c r="Q16" s="73">
        <f t="shared" si="3"/>
        <v>6</v>
      </c>
      <c r="R16" s="74">
        <f t="shared" si="4"/>
        <v>6.25</v>
      </c>
      <c r="S16" s="75">
        <v>6.0</v>
      </c>
      <c r="T16" s="75">
        <v>6.0</v>
      </c>
      <c r="U16" s="76">
        <f t="shared" si="5"/>
        <v>6.12</v>
      </c>
    </row>
    <row r="17">
      <c r="A17" s="77">
        <v>10.0</v>
      </c>
      <c r="B17" s="78" t="str">
        <f>INDIRECT("Alumnos!B17")
</f>
        <v>Patricia Ruiz</v>
      </c>
      <c r="C17" s="79">
        <v>6.0</v>
      </c>
      <c r="D17" s="79">
        <v>8.0</v>
      </c>
      <c r="E17" s="79">
        <v>6.0</v>
      </c>
      <c r="F17" s="79">
        <v>6.0</v>
      </c>
      <c r="G17" s="80">
        <f t="shared" si="1"/>
        <v>6.5</v>
      </c>
      <c r="H17" s="79">
        <v>6.0</v>
      </c>
      <c r="I17" s="79">
        <v>7.0</v>
      </c>
      <c r="J17" s="79">
        <v>7.0</v>
      </c>
      <c r="K17" s="79">
        <v>7.0</v>
      </c>
      <c r="L17" s="80">
        <f t="shared" si="2"/>
        <v>6.75</v>
      </c>
      <c r="M17" s="79">
        <v>6.0</v>
      </c>
      <c r="N17" s="79">
        <v>6.0</v>
      </c>
      <c r="O17" s="79">
        <v>6.0</v>
      </c>
      <c r="P17" s="79">
        <v>6.0</v>
      </c>
      <c r="Q17" s="80">
        <f t="shared" si="3"/>
        <v>6</v>
      </c>
      <c r="R17" s="81">
        <f t="shared" si="4"/>
        <v>6.41</v>
      </c>
      <c r="S17" s="82">
        <v>6.0</v>
      </c>
      <c r="T17" s="82">
        <v>6.0</v>
      </c>
      <c r="U17" s="83">
        <f t="shared" si="5"/>
        <v>6.2</v>
      </c>
    </row>
    <row r="18">
      <c r="A18" s="70">
        <v>11.0</v>
      </c>
      <c r="B18" s="71" t="str">
        <f>INDIRECT("Alumnos!B18")
</f>
        <v>Alberto Fernández</v>
      </c>
      <c r="C18" s="72">
        <v>6.0</v>
      </c>
      <c r="D18" s="72">
        <v>6.0</v>
      </c>
      <c r="E18" s="72">
        <v>6.0</v>
      </c>
      <c r="F18" s="72">
        <v>6.0</v>
      </c>
      <c r="G18" s="73">
        <f t="shared" si="1"/>
        <v>6</v>
      </c>
      <c r="H18" s="72">
        <v>6.0</v>
      </c>
      <c r="I18" s="72">
        <v>7.0</v>
      </c>
      <c r="J18" s="72">
        <v>7.0</v>
      </c>
      <c r="K18" s="72">
        <v>7.0</v>
      </c>
      <c r="L18" s="73">
        <f t="shared" si="2"/>
        <v>6.75</v>
      </c>
      <c r="M18" s="72">
        <v>6.0</v>
      </c>
      <c r="N18" s="72">
        <v>6.0</v>
      </c>
      <c r="O18" s="72">
        <v>6.0</v>
      </c>
      <c r="P18" s="72">
        <v>6.0</v>
      </c>
      <c r="Q18" s="73">
        <f t="shared" si="3"/>
        <v>6</v>
      </c>
      <c r="R18" s="74">
        <f t="shared" si="4"/>
        <v>6.25</v>
      </c>
      <c r="S18" s="75">
        <v>6.0</v>
      </c>
      <c r="T18" s="75">
        <v>6.0</v>
      </c>
      <c r="U18" s="76">
        <f t="shared" si="5"/>
        <v>6.12</v>
      </c>
    </row>
    <row r="19">
      <c r="A19" s="77">
        <v>12.0</v>
      </c>
      <c r="B19" s="78" t="str">
        <f>INDIRECT("Alumnos!B19")
</f>
        <v>Paula García</v>
      </c>
      <c r="C19" s="79">
        <v>6.0</v>
      </c>
      <c r="D19" s="79">
        <v>6.0</v>
      </c>
      <c r="E19" s="79">
        <v>6.0</v>
      </c>
      <c r="F19" s="79">
        <v>6.0</v>
      </c>
      <c r="G19" s="80">
        <f t="shared" si="1"/>
        <v>6</v>
      </c>
      <c r="H19" s="79">
        <v>7.0</v>
      </c>
      <c r="I19" s="79">
        <v>7.0</v>
      </c>
      <c r="J19" s="79">
        <v>7.0</v>
      </c>
      <c r="K19" s="79">
        <v>7.0</v>
      </c>
      <c r="L19" s="80">
        <f t="shared" si="2"/>
        <v>7</v>
      </c>
      <c r="M19" s="79">
        <v>6.0</v>
      </c>
      <c r="N19" s="79">
        <v>6.0</v>
      </c>
      <c r="O19" s="79">
        <v>6.0</v>
      </c>
      <c r="P19" s="79">
        <v>6.0</v>
      </c>
      <c r="Q19" s="80">
        <f t="shared" si="3"/>
        <v>6</v>
      </c>
      <c r="R19" s="81">
        <f t="shared" si="4"/>
        <v>6.33</v>
      </c>
      <c r="S19" s="82">
        <v>6.0</v>
      </c>
      <c r="T19" s="82">
        <v>6.0</v>
      </c>
      <c r="U19" s="83">
        <f t="shared" si="5"/>
        <v>6.16</v>
      </c>
    </row>
    <row r="20">
      <c r="A20" s="70">
        <v>13.0</v>
      </c>
      <c r="B20" s="71" t="str">
        <f>INDIRECT("Alumnos!B20")
</f>
        <v>Francisco Morales</v>
      </c>
      <c r="C20" s="72">
        <v>6.0</v>
      </c>
      <c r="D20" s="72">
        <v>6.0</v>
      </c>
      <c r="E20" s="72">
        <v>6.0</v>
      </c>
      <c r="F20" s="72">
        <v>6.0</v>
      </c>
      <c r="G20" s="73">
        <f t="shared" si="1"/>
        <v>6</v>
      </c>
      <c r="H20" s="72">
        <v>7.0</v>
      </c>
      <c r="I20" s="72">
        <v>7.0</v>
      </c>
      <c r="J20" s="72">
        <v>7.0</v>
      </c>
      <c r="K20" s="72">
        <v>7.0</v>
      </c>
      <c r="L20" s="73">
        <f t="shared" si="2"/>
        <v>7</v>
      </c>
      <c r="M20" s="72">
        <v>6.0</v>
      </c>
      <c r="N20" s="72">
        <v>6.0</v>
      </c>
      <c r="O20" s="72">
        <v>6.0</v>
      </c>
      <c r="P20" s="72">
        <v>6.0</v>
      </c>
      <c r="Q20" s="73">
        <f t="shared" si="3"/>
        <v>6</v>
      </c>
      <c r="R20" s="74">
        <f t="shared" si="4"/>
        <v>6.33</v>
      </c>
      <c r="S20" s="75">
        <v>6.0</v>
      </c>
      <c r="T20" s="75">
        <v>6.0</v>
      </c>
      <c r="U20" s="76">
        <f t="shared" si="5"/>
        <v>6.16</v>
      </c>
    </row>
    <row r="21">
      <c r="A21" s="77">
        <v>14.0</v>
      </c>
      <c r="B21" s="78" t="str">
        <f>INDIRECT("Alumnos!B21")
</f>
        <v>Beatriz Jiménez</v>
      </c>
      <c r="C21" s="79">
        <v>6.0</v>
      </c>
      <c r="D21" s="79">
        <v>6.0</v>
      </c>
      <c r="E21" s="79">
        <v>6.0</v>
      </c>
      <c r="F21" s="79">
        <v>6.0</v>
      </c>
      <c r="G21" s="80">
        <f t="shared" si="1"/>
        <v>6</v>
      </c>
      <c r="H21" s="79">
        <v>7.0</v>
      </c>
      <c r="I21" s="79">
        <v>7.0</v>
      </c>
      <c r="J21" s="79">
        <v>7.0</v>
      </c>
      <c r="K21" s="79">
        <v>7.0</v>
      </c>
      <c r="L21" s="80">
        <f t="shared" si="2"/>
        <v>7</v>
      </c>
      <c r="M21" s="79">
        <v>6.0</v>
      </c>
      <c r="N21" s="79">
        <v>6.0</v>
      </c>
      <c r="O21" s="79">
        <v>6.0</v>
      </c>
      <c r="P21" s="79">
        <v>6.0</v>
      </c>
      <c r="Q21" s="80">
        <f t="shared" si="3"/>
        <v>6</v>
      </c>
      <c r="R21" s="81">
        <f t="shared" si="4"/>
        <v>6.33</v>
      </c>
      <c r="S21" s="82">
        <v>6.0</v>
      </c>
      <c r="T21" s="82">
        <v>6.0</v>
      </c>
      <c r="U21" s="83">
        <f t="shared" si="5"/>
        <v>6.16</v>
      </c>
    </row>
    <row r="22">
      <c r="A22" s="70">
        <v>15.0</v>
      </c>
      <c r="B22" s="71" t="str">
        <f>INDIRECT("Alumnos!B22")
</f>
        <v>Raúl Vargas</v>
      </c>
      <c r="C22" s="72">
        <v>6.0</v>
      </c>
      <c r="D22" s="72">
        <v>6.0</v>
      </c>
      <c r="E22" s="72">
        <v>6.0</v>
      </c>
      <c r="F22" s="72">
        <v>6.0</v>
      </c>
      <c r="G22" s="73">
        <f t="shared" si="1"/>
        <v>6</v>
      </c>
      <c r="H22" s="72">
        <v>7.0</v>
      </c>
      <c r="I22" s="72">
        <v>7.0</v>
      </c>
      <c r="J22" s="72">
        <v>7.0</v>
      </c>
      <c r="K22" s="72">
        <v>7.0</v>
      </c>
      <c r="L22" s="73">
        <f t="shared" si="2"/>
        <v>7</v>
      </c>
      <c r="M22" s="72">
        <v>6.0</v>
      </c>
      <c r="N22" s="72">
        <v>6.0</v>
      </c>
      <c r="O22" s="72">
        <v>6.0</v>
      </c>
      <c r="P22" s="72">
        <v>6.0</v>
      </c>
      <c r="Q22" s="73">
        <f t="shared" si="3"/>
        <v>6</v>
      </c>
      <c r="R22" s="74">
        <f t="shared" si="4"/>
        <v>6.33</v>
      </c>
      <c r="S22" s="75">
        <v>6.0</v>
      </c>
      <c r="T22" s="75">
        <v>6.0</v>
      </c>
      <c r="U22" s="76">
        <f t="shared" si="5"/>
        <v>6.16</v>
      </c>
    </row>
    <row r="23">
      <c r="A23" s="77">
        <v>16.0</v>
      </c>
      <c r="B23" s="78" t="str">
        <f>INDIRECT("Alumnos!B23")
</f>
        <v>Claudia Castro</v>
      </c>
      <c r="C23" s="79">
        <v>6.0</v>
      </c>
      <c r="D23" s="79">
        <v>6.0</v>
      </c>
      <c r="E23" s="79">
        <v>6.0</v>
      </c>
      <c r="F23" s="79">
        <v>6.0</v>
      </c>
      <c r="G23" s="80">
        <f t="shared" si="1"/>
        <v>6</v>
      </c>
      <c r="H23" s="79">
        <v>7.0</v>
      </c>
      <c r="I23" s="79">
        <v>7.0</v>
      </c>
      <c r="J23" s="79">
        <v>7.0</v>
      </c>
      <c r="K23" s="79">
        <v>7.0</v>
      </c>
      <c r="L23" s="80">
        <f t="shared" si="2"/>
        <v>7</v>
      </c>
      <c r="M23" s="79">
        <v>6.0</v>
      </c>
      <c r="N23" s="79">
        <v>6.0</v>
      </c>
      <c r="O23" s="79">
        <v>6.0</v>
      </c>
      <c r="P23" s="79">
        <v>6.0</v>
      </c>
      <c r="Q23" s="80">
        <f t="shared" si="3"/>
        <v>6</v>
      </c>
      <c r="R23" s="81">
        <f t="shared" si="4"/>
        <v>6.33</v>
      </c>
      <c r="S23" s="82">
        <v>6.0</v>
      </c>
      <c r="T23" s="82">
        <v>6.0</v>
      </c>
      <c r="U23" s="83">
        <f t="shared" si="5"/>
        <v>6.16</v>
      </c>
    </row>
    <row r="24">
      <c r="A24" s="70">
        <v>17.0</v>
      </c>
      <c r="B24" s="71" t="str">
        <f>INDIRECT("Alumnos!B24")
</f>
        <v>Sergio Herrera</v>
      </c>
      <c r="C24" s="72">
        <v>6.0</v>
      </c>
      <c r="D24" s="72">
        <v>6.0</v>
      </c>
      <c r="E24" s="72">
        <v>6.0</v>
      </c>
      <c r="F24" s="72">
        <v>6.0</v>
      </c>
      <c r="G24" s="73">
        <f t="shared" si="1"/>
        <v>6</v>
      </c>
      <c r="H24" s="72">
        <v>7.0</v>
      </c>
      <c r="I24" s="72">
        <v>7.0</v>
      </c>
      <c r="J24" s="72">
        <v>7.0</v>
      </c>
      <c r="K24" s="72">
        <v>7.0</v>
      </c>
      <c r="L24" s="73">
        <f t="shared" si="2"/>
        <v>7</v>
      </c>
      <c r="M24" s="72">
        <v>6.0</v>
      </c>
      <c r="N24" s="72">
        <v>6.0</v>
      </c>
      <c r="O24" s="72">
        <v>6.0</v>
      </c>
      <c r="P24" s="72">
        <v>6.0</v>
      </c>
      <c r="Q24" s="73">
        <f t="shared" si="3"/>
        <v>6</v>
      </c>
      <c r="R24" s="74">
        <f t="shared" si="4"/>
        <v>6.33</v>
      </c>
      <c r="S24" s="75">
        <v>6.0</v>
      </c>
      <c r="T24" s="75">
        <v>6.0</v>
      </c>
      <c r="U24" s="76">
        <f t="shared" si="5"/>
        <v>6.16</v>
      </c>
    </row>
    <row r="25">
      <c r="A25" s="77">
        <v>18.0</v>
      </c>
      <c r="B25" s="78" t="str">
        <f>INDIRECT("Alumnos!B25")
</f>
        <v>Valeria Ortega</v>
      </c>
      <c r="C25" s="79">
        <v>6.0</v>
      </c>
      <c r="D25" s="79">
        <v>6.0</v>
      </c>
      <c r="E25" s="79">
        <v>6.0</v>
      </c>
      <c r="F25" s="79">
        <v>6.0</v>
      </c>
      <c r="G25" s="80">
        <f t="shared" si="1"/>
        <v>6</v>
      </c>
      <c r="H25" s="79">
        <v>7.0</v>
      </c>
      <c r="I25" s="79">
        <v>7.0</v>
      </c>
      <c r="J25" s="79">
        <v>7.0</v>
      </c>
      <c r="K25" s="79">
        <v>7.0</v>
      </c>
      <c r="L25" s="80">
        <f t="shared" si="2"/>
        <v>7</v>
      </c>
      <c r="M25" s="79">
        <v>6.0</v>
      </c>
      <c r="N25" s="79">
        <v>6.0</v>
      </c>
      <c r="O25" s="79">
        <v>6.0</v>
      </c>
      <c r="P25" s="79">
        <v>6.0</v>
      </c>
      <c r="Q25" s="80">
        <f t="shared" si="3"/>
        <v>6</v>
      </c>
      <c r="R25" s="81">
        <f t="shared" si="4"/>
        <v>6.33</v>
      </c>
      <c r="S25" s="82">
        <v>6.0</v>
      </c>
      <c r="T25" s="82">
        <v>6.0</v>
      </c>
      <c r="U25" s="83">
        <f t="shared" si="5"/>
        <v>6.16</v>
      </c>
    </row>
    <row r="26">
      <c r="A26" s="70">
        <v>19.0</v>
      </c>
      <c r="B26" s="71" t="str">
        <f>INDIRECT("Alumnos!B26")
</f>
        <v>Ricardo Mendoza</v>
      </c>
      <c r="C26" s="72">
        <v>6.0</v>
      </c>
      <c r="D26" s="72">
        <v>6.0</v>
      </c>
      <c r="E26" s="72">
        <v>6.0</v>
      </c>
      <c r="F26" s="72">
        <v>6.0</v>
      </c>
      <c r="G26" s="73">
        <f t="shared" si="1"/>
        <v>6</v>
      </c>
      <c r="H26" s="72">
        <v>7.0</v>
      </c>
      <c r="I26" s="72">
        <v>7.0</v>
      </c>
      <c r="J26" s="72">
        <v>7.0</v>
      </c>
      <c r="K26" s="72">
        <v>7.0</v>
      </c>
      <c r="L26" s="73">
        <f t="shared" si="2"/>
        <v>7</v>
      </c>
      <c r="M26" s="72">
        <v>6.0</v>
      </c>
      <c r="N26" s="72">
        <v>6.0</v>
      </c>
      <c r="O26" s="72">
        <v>6.0</v>
      </c>
      <c r="P26" s="72">
        <v>6.0</v>
      </c>
      <c r="Q26" s="73">
        <f t="shared" si="3"/>
        <v>6</v>
      </c>
      <c r="R26" s="74">
        <f t="shared" si="4"/>
        <v>6.33</v>
      </c>
      <c r="S26" s="75">
        <v>6.0</v>
      </c>
      <c r="T26" s="75">
        <v>6.0</v>
      </c>
      <c r="U26" s="76">
        <f t="shared" si="5"/>
        <v>6.16</v>
      </c>
    </row>
    <row r="27">
      <c r="A27" s="77">
        <v>20.0</v>
      </c>
      <c r="B27" s="78" t="str">
        <f>INDIRECT("Alumnos!B27")
</f>
        <v>Lorena Medina</v>
      </c>
      <c r="C27" s="79">
        <v>6.0</v>
      </c>
      <c r="D27" s="79">
        <v>6.0</v>
      </c>
      <c r="E27" s="79">
        <v>6.0</v>
      </c>
      <c r="F27" s="79">
        <v>6.0</v>
      </c>
      <c r="G27" s="80">
        <f t="shared" si="1"/>
        <v>6</v>
      </c>
      <c r="H27" s="79">
        <v>7.0</v>
      </c>
      <c r="I27" s="79">
        <v>7.0</v>
      </c>
      <c r="J27" s="79">
        <v>7.0</v>
      </c>
      <c r="K27" s="79">
        <v>7.0</v>
      </c>
      <c r="L27" s="80">
        <f t="shared" si="2"/>
        <v>7</v>
      </c>
      <c r="M27" s="79">
        <v>6.0</v>
      </c>
      <c r="N27" s="79">
        <v>6.0</v>
      </c>
      <c r="O27" s="79">
        <v>6.0</v>
      </c>
      <c r="P27" s="79">
        <v>6.0</v>
      </c>
      <c r="Q27" s="80">
        <f t="shared" si="3"/>
        <v>6</v>
      </c>
      <c r="R27" s="81">
        <f t="shared" si="4"/>
        <v>6.33</v>
      </c>
      <c r="S27" s="82">
        <v>6.0</v>
      </c>
      <c r="T27" s="82">
        <v>6.0</v>
      </c>
      <c r="U27" s="83">
        <f t="shared" si="5"/>
        <v>6.16</v>
      </c>
    </row>
    <row r="28">
      <c r="A28" s="70">
        <v>21.0</v>
      </c>
      <c r="B28" s="71" t="str">
        <f>INDIRECT("Alumnos!B28")
</f>
        <v>Andrés Cruz</v>
      </c>
      <c r="C28" s="72">
        <v>6.0</v>
      </c>
      <c r="D28" s="72">
        <v>6.0</v>
      </c>
      <c r="E28" s="72">
        <v>6.0</v>
      </c>
      <c r="F28" s="72">
        <v>6.0</v>
      </c>
      <c r="G28" s="73">
        <f t="shared" si="1"/>
        <v>6</v>
      </c>
      <c r="H28" s="72">
        <v>7.0</v>
      </c>
      <c r="I28" s="72">
        <v>7.0</v>
      </c>
      <c r="J28" s="72">
        <v>7.0</v>
      </c>
      <c r="K28" s="72">
        <v>7.0</v>
      </c>
      <c r="L28" s="73">
        <f t="shared" si="2"/>
        <v>7</v>
      </c>
      <c r="M28" s="72">
        <v>6.0</v>
      </c>
      <c r="N28" s="72">
        <v>6.0</v>
      </c>
      <c r="O28" s="72">
        <v>6.0</v>
      </c>
      <c r="P28" s="72">
        <v>6.0</v>
      </c>
      <c r="Q28" s="73">
        <f t="shared" si="3"/>
        <v>6</v>
      </c>
      <c r="R28" s="74">
        <f t="shared" si="4"/>
        <v>6.33</v>
      </c>
      <c r="S28" s="75">
        <v>6.0</v>
      </c>
      <c r="T28" s="75">
        <v>6.0</v>
      </c>
      <c r="U28" s="76">
        <f t="shared" si="5"/>
        <v>6.16</v>
      </c>
    </row>
    <row r="29">
      <c r="A29" s="77">
        <v>22.0</v>
      </c>
      <c r="B29" s="78" t="str">
        <f>INDIRECT("Alumnos!B29")
</f>
        <v>Gabriela Reyes</v>
      </c>
      <c r="C29" s="79">
        <v>6.0</v>
      </c>
      <c r="D29" s="79">
        <v>6.0</v>
      </c>
      <c r="E29" s="79">
        <v>6.0</v>
      </c>
      <c r="F29" s="79">
        <v>6.0</v>
      </c>
      <c r="G29" s="80">
        <f t="shared" si="1"/>
        <v>6</v>
      </c>
      <c r="H29" s="79">
        <v>7.0</v>
      </c>
      <c r="I29" s="79">
        <v>7.0</v>
      </c>
      <c r="J29" s="79">
        <v>7.0</v>
      </c>
      <c r="K29" s="79">
        <v>7.0</v>
      </c>
      <c r="L29" s="80">
        <f t="shared" si="2"/>
        <v>7</v>
      </c>
      <c r="M29" s="79">
        <v>6.0</v>
      </c>
      <c r="N29" s="79">
        <v>6.0</v>
      </c>
      <c r="O29" s="79">
        <v>6.0</v>
      </c>
      <c r="P29" s="79">
        <v>6.0</v>
      </c>
      <c r="Q29" s="80">
        <f t="shared" si="3"/>
        <v>6</v>
      </c>
      <c r="R29" s="81">
        <f t="shared" si="4"/>
        <v>6.33</v>
      </c>
      <c r="S29" s="82">
        <v>6.0</v>
      </c>
      <c r="T29" s="82">
        <v>6.0</v>
      </c>
      <c r="U29" s="83">
        <f t="shared" si="5"/>
        <v>6.16</v>
      </c>
    </row>
    <row r="30">
      <c r="A30" s="70">
        <v>23.0</v>
      </c>
      <c r="B30" s="71" t="str">
        <f>INDIRECT("Alumnos!B30")
</f>
        <v>Daniel Núñez</v>
      </c>
      <c r="C30" s="72">
        <v>6.0</v>
      </c>
      <c r="D30" s="72">
        <v>6.0</v>
      </c>
      <c r="E30" s="72">
        <v>6.0</v>
      </c>
      <c r="F30" s="72">
        <v>6.0</v>
      </c>
      <c r="G30" s="73">
        <f t="shared" si="1"/>
        <v>6</v>
      </c>
      <c r="H30" s="72">
        <v>7.0</v>
      </c>
      <c r="I30" s="72">
        <v>7.0</v>
      </c>
      <c r="J30" s="72">
        <v>7.0</v>
      </c>
      <c r="K30" s="72">
        <v>7.0</v>
      </c>
      <c r="L30" s="73">
        <f t="shared" si="2"/>
        <v>7</v>
      </c>
      <c r="M30" s="72">
        <v>6.0</v>
      </c>
      <c r="N30" s="72">
        <v>6.0</v>
      </c>
      <c r="O30" s="72">
        <v>6.0</v>
      </c>
      <c r="P30" s="72">
        <v>6.0</v>
      </c>
      <c r="Q30" s="73">
        <f t="shared" si="3"/>
        <v>6</v>
      </c>
      <c r="R30" s="74">
        <f t="shared" si="4"/>
        <v>6.33</v>
      </c>
      <c r="S30" s="75">
        <v>6.0</v>
      </c>
      <c r="T30" s="75">
        <v>6.0</v>
      </c>
      <c r="U30" s="76">
        <f t="shared" si="5"/>
        <v>6.16</v>
      </c>
    </row>
    <row r="31">
      <c r="A31" s="77">
        <v>24.0</v>
      </c>
      <c r="B31" s="78" t="str">
        <f>INDIRECT("Alumnos!B31")
</f>
        <v>Adriana Herrera</v>
      </c>
      <c r="C31" s="79">
        <v>6.0</v>
      </c>
      <c r="D31" s="79">
        <v>6.0</v>
      </c>
      <c r="E31" s="79">
        <v>6.0</v>
      </c>
      <c r="F31" s="79">
        <v>6.0</v>
      </c>
      <c r="G31" s="80">
        <f t="shared" si="1"/>
        <v>6</v>
      </c>
      <c r="H31" s="79">
        <v>7.0</v>
      </c>
      <c r="I31" s="79">
        <v>7.0</v>
      </c>
      <c r="J31" s="79">
        <v>7.0</v>
      </c>
      <c r="K31" s="79">
        <v>7.0</v>
      </c>
      <c r="L31" s="80">
        <f t="shared" si="2"/>
        <v>7</v>
      </c>
      <c r="M31" s="79">
        <v>6.0</v>
      </c>
      <c r="N31" s="79">
        <v>6.0</v>
      </c>
      <c r="O31" s="79">
        <v>6.0</v>
      </c>
      <c r="P31" s="79">
        <v>6.0</v>
      </c>
      <c r="Q31" s="80">
        <f t="shared" si="3"/>
        <v>6</v>
      </c>
      <c r="R31" s="81">
        <f t="shared" si="4"/>
        <v>6.33</v>
      </c>
      <c r="S31" s="82">
        <v>6.0</v>
      </c>
      <c r="T31" s="82">
        <v>6.0</v>
      </c>
      <c r="U31" s="83">
        <f t="shared" si="5"/>
        <v>6.16</v>
      </c>
    </row>
    <row r="32">
      <c r="A32" s="70">
        <v>25.0</v>
      </c>
      <c r="B32" s="71" t="str">
        <f>INDIRECT("Alumnos!B32")
</f>
        <v>Guillermo Silva</v>
      </c>
      <c r="C32" s="72">
        <v>6.0</v>
      </c>
      <c r="D32" s="72">
        <v>6.0</v>
      </c>
      <c r="E32" s="72">
        <v>6.0</v>
      </c>
      <c r="F32" s="72">
        <v>6.0</v>
      </c>
      <c r="G32" s="73">
        <f t="shared" si="1"/>
        <v>6</v>
      </c>
      <c r="H32" s="72">
        <v>7.0</v>
      </c>
      <c r="I32" s="72">
        <v>7.0</v>
      </c>
      <c r="J32" s="72">
        <v>7.0</v>
      </c>
      <c r="K32" s="72">
        <v>7.0</v>
      </c>
      <c r="L32" s="73">
        <f t="shared" si="2"/>
        <v>7</v>
      </c>
      <c r="M32" s="72">
        <v>6.0</v>
      </c>
      <c r="N32" s="72">
        <v>6.0</v>
      </c>
      <c r="O32" s="72">
        <v>6.0</v>
      </c>
      <c r="P32" s="72">
        <v>6.0</v>
      </c>
      <c r="Q32" s="73">
        <f t="shared" si="3"/>
        <v>6</v>
      </c>
      <c r="R32" s="74">
        <f t="shared" si="4"/>
        <v>6.33</v>
      </c>
      <c r="S32" s="75">
        <v>6.0</v>
      </c>
      <c r="T32" s="75">
        <v>6.0</v>
      </c>
      <c r="U32" s="76">
        <f t="shared" si="5"/>
        <v>6.16</v>
      </c>
    </row>
    <row r="33">
      <c r="A33" s="77">
        <v>26.0</v>
      </c>
      <c r="B33" s="78" t="str">
        <f t="shared" ref="B33:B34" si="6">INDIRECT("Alumnos!B33")
</f>
        <v>-</v>
      </c>
      <c r="C33" s="79">
        <v>6.0</v>
      </c>
      <c r="D33" s="79">
        <v>6.0</v>
      </c>
      <c r="E33" s="79">
        <v>6.0</v>
      </c>
      <c r="F33" s="79">
        <v>6.0</v>
      </c>
      <c r="G33" s="80">
        <f t="shared" si="1"/>
        <v>6</v>
      </c>
      <c r="H33" s="79">
        <v>7.0</v>
      </c>
      <c r="I33" s="79">
        <v>7.0</v>
      </c>
      <c r="J33" s="79">
        <v>7.0</v>
      </c>
      <c r="K33" s="79">
        <v>7.0</v>
      </c>
      <c r="L33" s="80">
        <f t="shared" si="2"/>
        <v>7</v>
      </c>
      <c r="M33" s="79">
        <v>6.0</v>
      </c>
      <c r="N33" s="79">
        <v>6.0</v>
      </c>
      <c r="O33" s="79">
        <v>6.0</v>
      </c>
      <c r="P33" s="79">
        <v>6.0</v>
      </c>
      <c r="Q33" s="80">
        <f t="shared" si="3"/>
        <v>6</v>
      </c>
      <c r="R33" s="81">
        <f t="shared" si="4"/>
        <v>6.33</v>
      </c>
      <c r="S33" s="82">
        <v>6.0</v>
      </c>
      <c r="T33" s="82">
        <v>6.0</v>
      </c>
      <c r="U33" s="83">
        <f t="shared" si="5"/>
        <v>6.16</v>
      </c>
    </row>
    <row r="34">
      <c r="A34" s="70">
        <v>27.0</v>
      </c>
      <c r="B34" s="71" t="str">
        <f t="shared" si="6"/>
        <v>-</v>
      </c>
      <c r="C34" s="72">
        <v>6.0</v>
      </c>
      <c r="D34" s="72">
        <v>6.0</v>
      </c>
      <c r="E34" s="72">
        <v>6.0</v>
      </c>
      <c r="F34" s="72">
        <v>6.0</v>
      </c>
      <c r="G34" s="73">
        <f t="shared" si="1"/>
        <v>6</v>
      </c>
      <c r="H34" s="72">
        <v>7.0</v>
      </c>
      <c r="I34" s="72">
        <v>7.0</v>
      </c>
      <c r="J34" s="72">
        <v>7.0</v>
      </c>
      <c r="K34" s="72">
        <v>7.0</v>
      </c>
      <c r="L34" s="73">
        <f t="shared" si="2"/>
        <v>7</v>
      </c>
      <c r="M34" s="72">
        <v>6.0</v>
      </c>
      <c r="N34" s="72">
        <v>6.0</v>
      </c>
      <c r="O34" s="72">
        <v>6.0</v>
      </c>
      <c r="P34" s="72">
        <v>6.0</v>
      </c>
      <c r="Q34" s="73">
        <f t="shared" si="3"/>
        <v>6</v>
      </c>
      <c r="R34" s="74">
        <f t="shared" si="4"/>
        <v>6.33</v>
      </c>
      <c r="S34" s="75">
        <v>6.0</v>
      </c>
      <c r="T34" s="75">
        <v>6.0</v>
      </c>
      <c r="U34" s="76">
        <f t="shared" si="5"/>
        <v>6.16</v>
      </c>
    </row>
    <row r="35">
      <c r="A35" s="77">
        <v>28.0</v>
      </c>
      <c r="B35" s="78" t="str">
        <f>INDIRECT("Alumnos!B34")
</f>
        <v>Sebastián Ríos</v>
      </c>
      <c r="C35" s="79">
        <v>6.0</v>
      </c>
      <c r="D35" s="79">
        <v>6.0</v>
      </c>
      <c r="E35" s="79">
        <v>6.0</v>
      </c>
      <c r="F35" s="79">
        <v>6.0</v>
      </c>
      <c r="G35" s="80">
        <f t="shared" si="1"/>
        <v>6</v>
      </c>
      <c r="H35" s="79">
        <v>7.0</v>
      </c>
      <c r="I35" s="79">
        <v>7.0</v>
      </c>
      <c r="J35" s="79">
        <v>7.0</v>
      </c>
      <c r="K35" s="79">
        <v>7.0</v>
      </c>
      <c r="L35" s="80">
        <f t="shared" si="2"/>
        <v>7</v>
      </c>
      <c r="M35" s="79">
        <v>6.0</v>
      </c>
      <c r="N35" s="79">
        <v>6.0</v>
      </c>
      <c r="O35" s="79">
        <v>6.0</v>
      </c>
      <c r="P35" s="79">
        <v>6.0</v>
      </c>
      <c r="Q35" s="80">
        <f t="shared" si="3"/>
        <v>6</v>
      </c>
      <c r="R35" s="81">
        <f t="shared" si="4"/>
        <v>6.33</v>
      </c>
      <c r="S35" s="82">
        <v>6.0</v>
      </c>
      <c r="T35" s="82">
        <v>6.0</v>
      </c>
      <c r="U35" s="83">
        <f t="shared" si="5"/>
        <v>6.16</v>
      </c>
    </row>
    <row r="36">
      <c r="A36" s="70">
        <v>29.0</v>
      </c>
      <c r="B36" s="71" t="str">
        <f>INDIRECT("Alumnos!B35")
</f>
        <v>Natalia Herrera</v>
      </c>
      <c r="C36" s="72">
        <v>6.0</v>
      </c>
      <c r="D36" s="72">
        <v>6.0</v>
      </c>
      <c r="E36" s="72">
        <v>6.0</v>
      </c>
      <c r="F36" s="72">
        <v>6.0</v>
      </c>
      <c r="G36" s="73">
        <f t="shared" si="1"/>
        <v>6</v>
      </c>
      <c r="H36" s="72">
        <v>7.0</v>
      </c>
      <c r="I36" s="72">
        <v>7.0</v>
      </c>
      <c r="J36" s="72">
        <v>7.0</v>
      </c>
      <c r="K36" s="72">
        <v>7.0</v>
      </c>
      <c r="L36" s="73">
        <f t="shared" si="2"/>
        <v>7</v>
      </c>
      <c r="M36" s="72">
        <v>6.0</v>
      </c>
      <c r="N36" s="72">
        <v>6.0</v>
      </c>
      <c r="O36" s="72">
        <v>6.0</v>
      </c>
      <c r="P36" s="72">
        <v>6.0</v>
      </c>
      <c r="Q36" s="73">
        <f t="shared" si="3"/>
        <v>6</v>
      </c>
      <c r="R36" s="74">
        <f t="shared" si="4"/>
        <v>6.33</v>
      </c>
      <c r="S36" s="75">
        <v>6.0</v>
      </c>
      <c r="T36" s="75">
        <v>6.0</v>
      </c>
      <c r="U36" s="76">
        <f t="shared" si="5"/>
        <v>6.16</v>
      </c>
    </row>
    <row r="37">
      <c r="A37" s="77">
        <v>30.0</v>
      </c>
      <c r="B37" s="78" t="str">
        <f>INDIRECT("Alumnos!b36")
</f>
        <v>Martín Castillo</v>
      </c>
      <c r="C37" s="79">
        <v>6.0</v>
      </c>
      <c r="D37" s="79">
        <v>6.0</v>
      </c>
      <c r="E37" s="79">
        <v>6.0</v>
      </c>
      <c r="F37" s="79">
        <v>6.0</v>
      </c>
      <c r="G37" s="80">
        <f t="shared" si="1"/>
        <v>6</v>
      </c>
      <c r="H37" s="79">
        <v>7.0</v>
      </c>
      <c r="I37" s="79">
        <v>7.0</v>
      </c>
      <c r="J37" s="79">
        <v>7.0</v>
      </c>
      <c r="K37" s="79">
        <v>7.0</v>
      </c>
      <c r="L37" s="80">
        <f t="shared" si="2"/>
        <v>7</v>
      </c>
      <c r="M37" s="79">
        <v>6.0</v>
      </c>
      <c r="N37" s="79">
        <v>6.0</v>
      </c>
      <c r="O37" s="79">
        <v>6.0</v>
      </c>
      <c r="P37" s="79">
        <v>6.0</v>
      </c>
      <c r="Q37" s="80">
        <f t="shared" si="3"/>
        <v>6</v>
      </c>
      <c r="R37" s="81">
        <f t="shared" si="4"/>
        <v>6.33</v>
      </c>
      <c r="S37" s="82">
        <v>6.0</v>
      </c>
      <c r="T37" s="82">
        <v>6.0</v>
      </c>
      <c r="U37" s="83">
        <f t="shared" si="5"/>
        <v>6.16</v>
      </c>
    </row>
    <row r="38">
      <c r="A38" s="70">
        <v>31.0</v>
      </c>
      <c r="B38" s="71" t="str">
        <f>INDIRECT("Alumnos!B37")
</f>
        <v>Carolina Flores</v>
      </c>
      <c r="C38" s="72">
        <v>6.0</v>
      </c>
      <c r="D38" s="72">
        <v>6.0</v>
      </c>
      <c r="E38" s="72">
        <v>6.0</v>
      </c>
      <c r="F38" s="72">
        <v>6.0</v>
      </c>
      <c r="G38" s="73">
        <f t="shared" si="1"/>
        <v>6</v>
      </c>
      <c r="H38" s="72">
        <v>7.0</v>
      </c>
      <c r="I38" s="72">
        <v>7.0</v>
      </c>
      <c r="J38" s="72">
        <v>7.0</v>
      </c>
      <c r="K38" s="72">
        <v>7.0</v>
      </c>
      <c r="L38" s="73">
        <f t="shared" si="2"/>
        <v>7</v>
      </c>
      <c r="M38" s="72">
        <v>6.0</v>
      </c>
      <c r="N38" s="72">
        <v>6.0</v>
      </c>
      <c r="O38" s="72">
        <v>6.0</v>
      </c>
      <c r="P38" s="72">
        <v>6.0</v>
      </c>
      <c r="Q38" s="73">
        <f t="shared" si="3"/>
        <v>6</v>
      </c>
      <c r="R38" s="74">
        <f t="shared" si="4"/>
        <v>6.33</v>
      </c>
      <c r="S38" s="75">
        <v>6.0</v>
      </c>
      <c r="T38" s="75">
        <v>6.0</v>
      </c>
      <c r="U38" s="76">
        <f t="shared" si="5"/>
        <v>6.16</v>
      </c>
    </row>
    <row r="39">
      <c r="A39" s="77">
        <v>32.0</v>
      </c>
      <c r="B39" s="78" t="str">
        <f>INDIRECT("Alumnos!B38")
</f>
        <v>Diego Bravo</v>
      </c>
      <c r="C39" s="79">
        <v>6.0</v>
      </c>
      <c r="D39" s="79">
        <v>6.0</v>
      </c>
      <c r="E39" s="79">
        <v>6.0</v>
      </c>
      <c r="F39" s="79">
        <v>6.0</v>
      </c>
      <c r="G39" s="80">
        <f t="shared" si="1"/>
        <v>6</v>
      </c>
      <c r="H39" s="79">
        <v>7.0</v>
      </c>
      <c r="I39" s="79">
        <v>7.0</v>
      </c>
      <c r="J39" s="79">
        <v>7.0</v>
      </c>
      <c r="K39" s="79">
        <v>7.0</v>
      </c>
      <c r="L39" s="80">
        <f t="shared" si="2"/>
        <v>7</v>
      </c>
      <c r="M39" s="79">
        <v>6.0</v>
      </c>
      <c r="N39" s="79">
        <v>6.0</v>
      </c>
      <c r="O39" s="79">
        <v>6.0</v>
      </c>
      <c r="P39" s="79">
        <v>6.0</v>
      </c>
      <c r="Q39" s="80">
        <f t="shared" si="3"/>
        <v>6</v>
      </c>
      <c r="R39" s="81">
        <f t="shared" si="4"/>
        <v>6.33</v>
      </c>
      <c r="S39" s="82">
        <v>6.0</v>
      </c>
      <c r="T39" s="82">
        <v>6.0</v>
      </c>
      <c r="U39" s="83">
        <f t="shared" si="5"/>
        <v>6.16</v>
      </c>
    </row>
    <row r="40">
      <c r="A40" s="70">
        <v>33.0</v>
      </c>
      <c r="B40" s="71" t="str">
        <f>INDIRECT("Alumnos!B39")
</f>
        <v>Antonia Salazar</v>
      </c>
      <c r="C40" s="72">
        <v>10.0</v>
      </c>
      <c r="D40" s="72">
        <v>6.0</v>
      </c>
      <c r="E40" s="72">
        <v>6.0</v>
      </c>
      <c r="F40" s="72">
        <v>6.0</v>
      </c>
      <c r="G40" s="73">
        <f t="shared" si="1"/>
        <v>7</v>
      </c>
      <c r="H40" s="72">
        <v>7.0</v>
      </c>
      <c r="I40" s="72">
        <v>7.0</v>
      </c>
      <c r="J40" s="72">
        <v>7.0</v>
      </c>
      <c r="K40" s="72">
        <v>7.0</v>
      </c>
      <c r="L40" s="73">
        <f t="shared" si="2"/>
        <v>7</v>
      </c>
      <c r="M40" s="72">
        <v>6.0</v>
      </c>
      <c r="N40" s="72">
        <v>6.0</v>
      </c>
      <c r="O40" s="72">
        <v>6.0</v>
      </c>
      <c r="P40" s="72">
        <v>6.0</v>
      </c>
      <c r="Q40" s="73">
        <f t="shared" si="3"/>
        <v>6</v>
      </c>
      <c r="R40" s="74">
        <f t="shared" si="4"/>
        <v>6.66</v>
      </c>
      <c r="S40" s="75">
        <v>6.0</v>
      </c>
      <c r="T40" s="75">
        <v>6.0</v>
      </c>
      <c r="U40" s="76">
        <f t="shared" si="5"/>
        <v>6.33</v>
      </c>
    </row>
    <row r="41">
      <c r="A41" s="84">
        <v>34.0</v>
      </c>
      <c r="B41" s="78" t="str">
        <f>INDIRECT("Alumnos!B40")
</f>
        <v>Ignacio Gómez</v>
      </c>
      <c r="C41" s="79">
        <v>10.0</v>
      </c>
      <c r="D41" s="79">
        <v>6.0</v>
      </c>
      <c r="E41" s="79">
        <v>6.0</v>
      </c>
      <c r="F41" s="79">
        <v>6.0</v>
      </c>
      <c r="G41" s="80">
        <f t="shared" si="1"/>
        <v>7</v>
      </c>
      <c r="H41" s="79">
        <v>7.0</v>
      </c>
      <c r="I41" s="79">
        <v>7.0</v>
      </c>
      <c r="J41" s="79">
        <v>7.0</v>
      </c>
      <c r="K41" s="79">
        <v>6.0</v>
      </c>
      <c r="L41" s="80">
        <f t="shared" si="2"/>
        <v>6.75</v>
      </c>
      <c r="M41" s="79">
        <v>6.0</v>
      </c>
      <c r="N41" s="79">
        <v>6.0</v>
      </c>
      <c r="O41" s="79">
        <v>6.0</v>
      </c>
      <c r="P41" s="79">
        <v>6.0</v>
      </c>
      <c r="Q41" s="80">
        <f t="shared" si="3"/>
        <v>6</v>
      </c>
      <c r="R41" s="81">
        <f t="shared" si="4"/>
        <v>6.58</v>
      </c>
      <c r="S41" s="82">
        <v>6.0</v>
      </c>
      <c r="T41" s="82">
        <v>6.0</v>
      </c>
      <c r="U41" s="83">
        <f t="shared" si="5"/>
        <v>6.29</v>
      </c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</sheetData>
  <mergeCells count="17">
    <mergeCell ref="B6:B7"/>
    <mergeCell ref="C6:F7"/>
    <mergeCell ref="G6:G7"/>
    <mergeCell ref="H6:K7"/>
    <mergeCell ref="L6:L7"/>
    <mergeCell ref="M6:P7"/>
    <mergeCell ref="Q6:Q7"/>
    <mergeCell ref="S6:S7"/>
    <mergeCell ref="U6:U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G8:G41 L8:L41 Q8:Q41">
    <cfRule type="cellIs" dxfId="0" priority="1" operator="between">
      <formula>0</formula>
      <formula>3.9</formula>
    </cfRule>
  </conditionalFormatting>
  <conditionalFormatting sqref="G8:G41 L8:L41 Q8:Q41">
    <cfRule type="cellIs" dxfId="1" priority="2" operator="between">
      <formula>3.9</formula>
      <formula>5.9</formula>
    </cfRule>
  </conditionalFormatting>
  <conditionalFormatting sqref="G8:G41 L8:L41 Q8:Q41">
    <cfRule type="cellIs" dxfId="2" priority="3" operator="between">
      <formula>5.9</formula>
      <formula>10</formula>
    </cfRule>
  </conditionalFormatting>
  <conditionalFormatting sqref="R8:R41">
    <cfRule type="cellIs" dxfId="3" priority="4" operator="between">
      <formula>0</formula>
      <formula>3.99</formula>
    </cfRule>
  </conditionalFormatting>
  <conditionalFormatting sqref="R8:R41">
    <cfRule type="cellIs" dxfId="1" priority="5" operator="between">
      <formula>3.99</formula>
      <formula>5.99</formula>
    </cfRule>
  </conditionalFormatting>
  <conditionalFormatting sqref="R8:R41">
    <cfRule type="cellIs" dxfId="4" priority="6" operator="between">
      <formula>5.99</formula>
      <formula>10</formula>
    </cfRule>
  </conditionalFormatting>
  <conditionalFormatting sqref="S8:U41">
    <cfRule type="cellIs" dxfId="5" priority="7" operator="between">
      <formula>0</formula>
      <formula>3.99</formula>
    </cfRule>
  </conditionalFormatting>
  <conditionalFormatting sqref="S8:U41">
    <cfRule type="cellIs" dxfId="1" priority="8" operator="between">
      <formula>3.99</formula>
      <formula>5.99</formula>
    </cfRule>
  </conditionalFormatting>
  <conditionalFormatting sqref="S8:U41">
    <cfRule type="cellIs" dxfId="2" priority="9" operator="between">
      <formula>6</formula>
      <formula>10</formula>
    </cfRule>
  </conditionalFormatting>
  <conditionalFormatting sqref="S8:U41">
    <cfRule type="cellIs" dxfId="5" priority="10" operator="greaterThan">
      <formula>10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9"/>
      <c r="X5" s="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9"/>
      <c r="X6" s="9"/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9"/>
      <c r="X7" s="9"/>
      <c r="Y7" s="102"/>
    </row>
    <row r="8">
      <c r="A8" s="7">
        <v>1.0</v>
      </c>
      <c r="B8" s="8" t="str">
        <f>INDIRECT("Alumnos!B9")
</f>
        <v>María González</v>
      </c>
      <c r="C8" s="108">
        <v>6.0</v>
      </c>
      <c r="D8" s="108">
        <v>4.0</v>
      </c>
      <c r="E8" s="108">
        <v>6.0</v>
      </c>
      <c r="F8" s="108">
        <v>8.0</v>
      </c>
      <c r="G8" s="109">
        <f t="shared" ref="G8:G40" si="1">SUM(C8:F8)/4</f>
        <v>6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6.33</v>
      </c>
      <c r="S8" s="111">
        <v>6.0</v>
      </c>
      <c r="T8" s="112">
        <f t="shared" ref="T8:T40" si="5">TRUNC(IF(AND(R8&gt;6, ISBLANK(S8)), R8, IF(AND(R8&gt;6, S8&gt;=6), (R8+S8)/2, R8)), 2)</f>
        <v>6.16</v>
      </c>
      <c r="U8" s="86"/>
      <c r="V8" s="9"/>
      <c r="W8" s="9"/>
      <c r="X8" s="9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9"/>
      <c r="X9" s="9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9"/>
      <c r="X10" s="9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9"/>
      <c r="X11" s="9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9"/>
      <c r="X12" s="9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9"/>
      <c r="X13" s="9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9"/>
      <c r="X14" s="9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9"/>
      <c r="X15" s="9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9"/>
      <c r="X16" s="9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9"/>
      <c r="X17" s="9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9"/>
      <c r="X18" s="9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9"/>
      <c r="X19" s="9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9"/>
      <c r="X20" s="9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9"/>
      <c r="X21" s="9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9"/>
      <c r="X22" s="9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9"/>
      <c r="X23" s="9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9"/>
      <c r="X24" s="9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9"/>
      <c r="X25" s="9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9"/>
      <c r="X26" s="9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9"/>
      <c r="X27" s="9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9"/>
      <c r="X28" s="9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9"/>
      <c r="X29" s="9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9"/>
      <c r="X30" s="9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9"/>
      <c r="X31" s="9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9"/>
      <c r="X32" s="9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9"/>
      <c r="X33" s="9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9"/>
      <c r="X34" s="9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9"/>
      <c r="X35" s="9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9"/>
      <c r="X36" s="9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9"/>
      <c r="X37" s="9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9"/>
      <c r="X38" s="9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9"/>
      <c r="X39" s="9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9"/>
      <c r="X40" s="9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9"/>
      <c r="X41" s="9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9"/>
      <c r="X42" s="9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9"/>
      <c r="X43" s="9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9"/>
      <c r="X44" s="9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9"/>
      <c r="X45" s="9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9"/>
      <c r="X46" s="9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9"/>
      <c r="X47" s="9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9"/>
      <c r="X48" s="9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9"/>
      <c r="X49" s="9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9"/>
      <c r="X50" s="9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9"/>
      <c r="X51" s="9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9"/>
      <c r="X52" s="9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9"/>
      <c r="X53" s="9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9"/>
      <c r="X54" s="9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9"/>
      <c r="X55" s="9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9"/>
      <c r="X56" s="9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9"/>
      <c r="X57" s="9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9"/>
      <c r="X58" s="9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9"/>
      <c r="X59" s="9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9"/>
      <c r="X60" s="9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9"/>
      <c r="X61" s="9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9"/>
      <c r="X62" s="9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9"/>
      <c r="X63" s="9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9"/>
      <c r="X64" s="9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9"/>
      <c r="X65" s="9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9"/>
      <c r="X66" s="9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6">
    <mergeCell ref="B6:B7"/>
    <mergeCell ref="C6:F7"/>
    <mergeCell ref="G6:G7"/>
    <mergeCell ref="H6:K7"/>
    <mergeCell ref="L6:L7"/>
    <mergeCell ref="M6:P7"/>
    <mergeCell ref="Q6:Q7"/>
    <mergeCell ref="S6:S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T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</row>
    <row r="3">
      <c r="C3" s="90" t="s">
        <v>58</v>
      </c>
      <c r="U3" s="86"/>
      <c r="V3" s="9"/>
      <c r="W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O1000" s="9"/>
      <c r="P1000" s="9"/>
      <c r="Q1000" s="9"/>
      <c r="R1000" s="9"/>
      <c r="S1000" s="9"/>
      <c r="T1000" s="9"/>
      <c r="U1000" s="9"/>
      <c r="V1000" s="9"/>
    </row>
  </sheetData>
  <mergeCells count="16">
    <mergeCell ref="B6:B7"/>
    <mergeCell ref="C6:F7"/>
    <mergeCell ref="G6:G7"/>
    <mergeCell ref="H6:K7"/>
    <mergeCell ref="L6:L7"/>
    <mergeCell ref="M6:P7"/>
    <mergeCell ref="Q6:Q7"/>
    <mergeCell ref="S6:S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G8:G40 L8:L40 Q8:Q40">
    <cfRule type="cellIs" dxfId="0" priority="1" operator="between">
      <formula>0</formula>
      <formula>3.9</formula>
    </cfRule>
  </conditionalFormatting>
  <conditionalFormatting sqref="G8:G40 L8:L40 Q8:Q40">
    <cfRule type="cellIs" dxfId="1" priority="2" operator="between">
      <formula>3.9</formula>
      <formula>5.9</formula>
    </cfRule>
  </conditionalFormatting>
  <conditionalFormatting sqref="G8:G40 L8:L40 Q8:Q40">
    <cfRule type="cellIs" dxfId="2" priority="3" operator="between">
      <formula>5.9</formula>
      <formula>10</formula>
    </cfRule>
  </conditionalFormatting>
  <conditionalFormatting sqref="R8:R40">
    <cfRule type="cellIs" dxfId="4" priority="4" operator="between">
      <formula>5.99</formula>
      <formula>10</formula>
    </cfRule>
  </conditionalFormatting>
  <conditionalFormatting sqref="S8:T40">
    <cfRule type="cellIs" dxfId="5" priority="5" operator="between">
      <formula>0</formula>
      <formula>3.99</formula>
    </cfRule>
  </conditionalFormatting>
  <conditionalFormatting sqref="S8:T40">
    <cfRule type="cellIs" dxfId="5" priority="6" operator="greaterThan">
      <formula>10</formula>
    </cfRule>
  </conditionalFormatting>
  <conditionalFormatting sqref="G8:G41 L8:L41 Q8:Q41 R8:R40">
    <cfRule type="cellIs" dxfId="3" priority="7" operator="between">
      <formula>0</formula>
      <formula>3.99</formula>
    </cfRule>
  </conditionalFormatting>
  <conditionalFormatting sqref="G8:G41 L8:L41 Q8:Q41 S8:T40">
    <cfRule type="cellIs" dxfId="1" priority="8" operator="between">
      <formula>3.99</formula>
      <formula>5.99</formula>
    </cfRule>
  </conditionalFormatting>
  <conditionalFormatting sqref="G8:G41 L8:L41 Q8:Q41 S8:T40">
    <cfRule type="cellIs" dxfId="2" priority="9" operator="between">
      <formula>6</formula>
      <formula>10</formula>
    </cfRule>
  </conditionalFormatting>
  <conditionalFormatting sqref="G8:G41 L8:L41 Q8:Q41">
    <cfRule type="containsBlanks" dxfId="7" priority="10">
      <formula>LEN(TRIM(G8))=0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4" width="3.88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5"/>
      <c r="X8" s="115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5"/>
      <c r="X9" s="115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5"/>
      <c r="X11" s="115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5"/>
      <c r="X12" s="115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5"/>
      <c r="X13" s="115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5"/>
      <c r="X14" s="115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5"/>
      <c r="X15" s="115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5"/>
      <c r="X16" s="115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5"/>
      <c r="X17" s="115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5"/>
      <c r="X18" s="115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5"/>
      <c r="X19" s="115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5"/>
      <c r="X20" s="115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5"/>
      <c r="X21" s="115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5"/>
      <c r="X22" s="115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5"/>
      <c r="X23" s="115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5"/>
      <c r="X24" s="115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5"/>
      <c r="X25" s="115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5"/>
      <c r="X26" s="115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5"/>
      <c r="X27" s="115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5"/>
      <c r="X28" s="115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5"/>
      <c r="X29" s="115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5"/>
      <c r="X30" s="115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5"/>
      <c r="X31" s="115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5"/>
      <c r="X32" s="115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5"/>
      <c r="X33" s="115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5"/>
      <c r="X34" s="115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5"/>
      <c r="X35" s="115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5"/>
      <c r="X36" s="115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5"/>
      <c r="X37" s="115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5"/>
      <c r="X38" s="115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5"/>
      <c r="X39" s="115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5"/>
      <c r="X40" s="115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5"/>
      <c r="X41" s="115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4" width="3.88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5"/>
      <c r="X8" s="115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5"/>
      <c r="X9" s="115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5"/>
      <c r="X11" s="115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5"/>
      <c r="X12" s="115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5"/>
      <c r="X13" s="115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5"/>
      <c r="X14" s="115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5"/>
      <c r="X15" s="115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5"/>
      <c r="X16" s="115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5"/>
      <c r="X17" s="115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5"/>
      <c r="X18" s="115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5"/>
      <c r="X19" s="115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5"/>
      <c r="X20" s="115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5"/>
      <c r="X21" s="115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5"/>
      <c r="X22" s="115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5"/>
      <c r="X23" s="115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5"/>
      <c r="X24" s="115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5"/>
      <c r="X25" s="115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5"/>
      <c r="X26" s="115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5"/>
      <c r="X27" s="115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5"/>
      <c r="X28" s="115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5"/>
      <c r="X29" s="115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5"/>
      <c r="X30" s="115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5"/>
      <c r="X31" s="115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5"/>
      <c r="X32" s="115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5"/>
      <c r="X33" s="115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5"/>
      <c r="X34" s="115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5"/>
      <c r="X35" s="115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5"/>
      <c r="X36" s="115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5"/>
      <c r="X37" s="115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5"/>
      <c r="X38" s="115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5"/>
      <c r="X39" s="115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5"/>
      <c r="X40" s="115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5"/>
      <c r="X41" s="115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4" width="3.88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5"/>
      <c r="X8" s="115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5"/>
      <c r="X9" s="115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5"/>
      <c r="X11" s="115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5"/>
      <c r="X12" s="115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5"/>
      <c r="X13" s="115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5"/>
      <c r="X14" s="115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5"/>
      <c r="X15" s="115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5"/>
      <c r="X16" s="115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5"/>
      <c r="X17" s="115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5"/>
      <c r="X18" s="115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5"/>
      <c r="X19" s="115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5"/>
      <c r="X20" s="115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5"/>
      <c r="X21" s="115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5"/>
      <c r="X22" s="115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5"/>
      <c r="X23" s="115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5"/>
      <c r="X24" s="115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5"/>
      <c r="X25" s="115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5"/>
      <c r="X26" s="115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5"/>
      <c r="X27" s="115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5"/>
      <c r="X28" s="115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5"/>
      <c r="X29" s="115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5"/>
      <c r="X30" s="115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5"/>
      <c r="X31" s="115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5"/>
      <c r="X32" s="115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5"/>
      <c r="X33" s="115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5"/>
      <c r="X34" s="115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5"/>
      <c r="X35" s="115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5"/>
      <c r="X36" s="115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5"/>
      <c r="X37" s="115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5"/>
      <c r="X38" s="115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5"/>
      <c r="X39" s="115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5"/>
      <c r="X40" s="115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5"/>
      <c r="X41" s="115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7"/>
      <c r="X8" s="117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7"/>
      <c r="X9" s="117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7"/>
      <c r="X11" s="117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7"/>
      <c r="X12" s="117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7"/>
      <c r="X13" s="117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7"/>
      <c r="X14" s="117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7"/>
      <c r="X15" s="117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7"/>
      <c r="X16" s="117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7"/>
      <c r="X17" s="117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7"/>
      <c r="X18" s="117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7"/>
      <c r="X19" s="117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7"/>
      <c r="X20" s="117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7"/>
      <c r="X21" s="117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7"/>
      <c r="X22" s="117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7"/>
      <c r="X23" s="117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7"/>
      <c r="X24" s="117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7"/>
      <c r="X25" s="117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7"/>
      <c r="X26" s="117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7"/>
      <c r="X27" s="117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7"/>
      <c r="X28" s="117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7"/>
      <c r="X29" s="117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7"/>
      <c r="X30" s="117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7"/>
      <c r="X31" s="117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7"/>
      <c r="X32" s="117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7"/>
      <c r="X33" s="117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7"/>
      <c r="X34" s="117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7"/>
      <c r="X35" s="117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7"/>
      <c r="X36" s="117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7"/>
      <c r="X37" s="117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7"/>
      <c r="X38" s="117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7"/>
      <c r="X39" s="117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7"/>
      <c r="X40" s="117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7"/>
      <c r="X41" s="117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7"/>
      <c r="X8" s="117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7"/>
      <c r="X9" s="117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7"/>
      <c r="X11" s="117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7"/>
      <c r="X12" s="117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7"/>
      <c r="X13" s="117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7"/>
      <c r="X14" s="117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7"/>
      <c r="X15" s="117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7"/>
      <c r="X16" s="117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7"/>
      <c r="X17" s="117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7"/>
      <c r="X18" s="117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7"/>
      <c r="X19" s="117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7"/>
      <c r="X20" s="117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7"/>
      <c r="X21" s="117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7"/>
      <c r="X22" s="117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7"/>
      <c r="X23" s="117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7"/>
      <c r="X24" s="117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7"/>
      <c r="X25" s="117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7"/>
      <c r="X26" s="117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7"/>
      <c r="X27" s="117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7"/>
      <c r="X28" s="117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7"/>
      <c r="X29" s="117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7"/>
      <c r="X30" s="117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7"/>
      <c r="X31" s="117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7"/>
      <c r="X32" s="117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7"/>
      <c r="X33" s="117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7"/>
      <c r="X34" s="117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7"/>
      <c r="X35" s="117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7"/>
      <c r="X36" s="117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7"/>
      <c r="X37" s="117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7"/>
      <c r="X38" s="117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7"/>
      <c r="X39" s="117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7"/>
      <c r="X40" s="117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7"/>
      <c r="X41" s="117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7"/>
      <c r="X8" s="117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7"/>
      <c r="X9" s="117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7"/>
      <c r="X11" s="117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7"/>
      <c r="X12" s="117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7"/>
      <c r="X13" s="117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7"/>
      <c r="X14" s="117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7"/>
      <c r="X15" s="117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7"/>
      <c r="X16" s="117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7"/>
      <c r="X17" s="117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7"/>
      <c r="X18" s="117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7"/>
      <c r="X19" s="117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7"/>
      <c r="X20" s="117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7"/>
      <c r="X21" s="117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7"/>
      <c r="X22" s="117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7"/>
      <c r="X23" s="117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7"/>
      <c r="X24" s="117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7"/>
      <c r="X25" s="117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7"/>
      <c r="X26" s="117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7"/>
      <c r="X27" s="117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7"/>
      <c r="X28" s="117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7"/>
      <c r="X29" s="117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7"/>
      <c r="X30" s="117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7"/>
      <c r="X31" s="117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7"/>
      <c r="X32" s="117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7"/>
      <c r="X33" s="117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7"/>
      <c r="X34" s="117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7"/>
      <c r="X35" s="117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7"/>
      <c r="X36" s="117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7"/>
      <c r="X37" s="117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7"/>
      <c r="X38" s="117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7"/>
      <c r="X39" s="117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7"/>
      <c r="X40" s="117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7"/>
      <c r="X41" s="117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7"/>
      <c r="X8" s="117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7"/>
      <c r="X9" s="117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7"/>
      <c r="X11" s="117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7"/>
      <c r="X12" s="117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7"/>
      <c r="X13" s="117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7"/>
      <c r="X14" s="117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7"/>
      <c r="X15" s="117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7"/>
      <c r="X16" s="117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7"/>
      <c r="X17" s="117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7"/>
      <c r="X18" s="117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7"/>
      <c r="X19" s="117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7"/>
      <c r="X20" s="117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7"/>
      <c r="X21" s="117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7"/>
      <c r="X22" s="117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7"/>
      <c r="X23" s="117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7"/>
      <c r="X24" s="117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7"/>
      <c r="X25" s="117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7"/>
      <c r="X26" s="117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7"/>
      <c r="X27" s="117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7"/>
      <c r="X28" s="117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7"/>
      <c r="X29" s="117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7"/>
      <c r="X30" s="117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7"/>
      <c r="X31" s="117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7"/>
      <c r="X32" s="117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7"/>
      <c r="X33" s="117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7"/>
      <c r="X34" s="117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7"/>
      <c r="X35" s="117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7"/>
      <c r="X36" s="117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7"/>
      <c r="X37" s="117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7"/>
      <c r="X38" s="117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7"/>
      <c r="X39" s="117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7"/>
      <c r="X40" s="117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7"/>
      <c r="X41" s="117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7"/>
      <c r="X8" s="117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7"/>
      <c r="X9" s="117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7"/>
      <c r="X11" s="117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7"/>
      <c r="X12" s="117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7"/>
      <c r="X13" s="117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7"/>
      <c r="X14" s="117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7"/>
      <c r="X15" s="117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7"/>
      <c r="X16" s="117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7"/>
      <c r="X17" s="117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7"/>
      <c r="X18" s="117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7"/>
      <c r="X19" s="117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7"/>
      <c r="X20" s="117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7"/>
      <c r="X21" s="117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7"/>
      <c r="X22" s="117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7"/>
      <c r="X23" s="117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7"/>
      <c r="X24" s="117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7"/>
      <c r="X25" s="117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7"/>
      <c r="X26" s="117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7"/>
      <c r="X27" s="117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7"/>
      <c r="X28" s="117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7"/>
      <c r="X29" s="117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7"/>
      <c r="X30" s="117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7"/>
      <c r="X31" s="117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7"/>
      <c r="X32" s="117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7"/>
      <c r="X33" s="117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7"/>
      <c r="X34" s="117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7"/>
      <c r="X35" s="117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7"/>
      <c r="X36" s="117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7"/>
      <c r="X37" s="117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7"/>
      <c r="X38" s="117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7"/>
      <c r="X39" s="117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7"/>
      <c r="X40" s="117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7"/>
      <c r="X41" s="117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7"/>
      <c r="X8" s="117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7"/>
      <c r="X9" s="117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7"/>
      <c r="X11" s="117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7"/>
      <c r="X12" s="117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7"/>
      <c r="X13" s="117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7"/>
      <c r="X14" s="117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7"/>
      <c r="X15" s="117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7"/>
      <c r="X16" s="117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7"/>
      <c r="X17" s="117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7"/>
      <c r="X18" s="117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7"/>
      <c r="X19" s="117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7"/>
      <c r="X20" s="117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7"/>
      <c r="X21" s="117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7"/>
      <c r="X22" s="117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7"/>
      <c r="X23" s="117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7"/>
      <c r="X24" s="117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7"/>
      <c r="X25" s="117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7"/>
      <c r="X26" s="117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7"/>
      <c r="X27" s="117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7"/>
      <c r="X28" s="117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7"/>
      <c r="X29" s="117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7"/>
      <c r="X30" s="117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7"/>
      <c r="X31" s="117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7"/>
      <c r="X32" s="117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7"/>
      <c r="X33" s="117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7"/>
      <c r="X34" s="117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7"/>
      <c r="X35" s="117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7"/>
      <c r="X36" s="117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7"/>
      <c r="X37" s="117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7"/>
      <c r="X38" s="117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7"/>
      <c r="X39" s="117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7"/>
      <c r="X40" s="117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7"/>
      <c r="X41" s="117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7"/>
      <c r="X8" s="117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7"/>
      <c r="X9" s="117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7"/>
      <c r="X11" s="117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7"/>
      <c r="X12" s="117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7"/>
      <c r="X13" s="117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7"/>
      <c r="X14" s="117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7"/>
      <c r="X15" s="117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7"/>
      <c r="X16" s="117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7"/>
      <c r="X17" s="117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7"/>
      <c r="X18" s="117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7"/>
      <c r="X19" s="117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7"/>
      <c r="X20" s="117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7"/>
      <c r="X21" s="117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7"/>
      <c r="X22" s="117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7"/>
      <c r="X23" s="117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7"/>
      <c r="X24" s="117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7"/>
      <c r="X25" s="117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7"/>
      <c r="X26" s="117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7"/>
      <c r="X27" s="117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7"/>
      <c r="X28" s="117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7"/>
      <c r="X29" s="117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7"/>
      <c r="X30" s="117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7"/>
      <c r="X31" s="117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7"/>
      <c r="X32" s="117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7"/>
      <c r="X33" s="117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7"/>
      <c r="X34" s="117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7"/>
      <c r="X35" s="117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7"/>
      <c r="X36" s="117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7"/>
      <c r="X37" s="117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7"/>
      <c r="X38" s="117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7"/>
      <c r="X39" s="117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7"/>
      <c r="X40" s="117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7"/>
      <c r="X41" s="117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7"/>
      <c r="X8" s="117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7"/>
      <c r="X9" s="117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7"/>
      <c r="X11" s="117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7"/>
      <c r="X12" s="117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7"/>
      <c r="X13" s="117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7"/>
      <c r="X14" s="117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7"/>
      <c r="X15" s="117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7"/>
      <c r="X16" s="117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7"/>
      <c r="X17" s="117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7"/>
      <c r="X18" s="117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7"/>
      <c r="X19" s="117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7"/>
      <c r="X20" s="117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7"/>
      <c r="X21" s="117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7"/>
      <c r="X22" s="117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7"/>
      <c r="X23" s="117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7"/>
      <c r="X24" s="117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7"/>
      <c r="X25" s="117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7"/>
      <c r="X26" s="117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7"/>
      <c r="X27" s="117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7"/>
      <c r="X28" s="117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7"/>
      <c r="X29" s="117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7"/>
      <c r="X30" s="117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7"/>
      <c r="X31" s="117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7"/>
      <c r="X32" s="117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7"/>
      <c r="X33" s="117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7"/>
      <c r="X34" s="117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7"/>
      <c r="X35" s="117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7"/>
      <c r="X36" s="117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7"/>
      <c r="X37" s="117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7"/>
      <c r="X38" s="117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7"/>
      <c r="X39" s="117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7"/>
      <c r="X40" s="117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7"/>
      <c r="X41" s="117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  <c r="W1" s="89"/>
      <c r="X1" s="89"/>
      <c r="Y1" s="8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  <c r="W2" s="89"/>
      <c r="X2" s="89"/>
      <c r="Y2" s="89"/>
    </row>
    <row r="3">
      <c r="C3" s="90" t="s">
        <v>58</v>
      </c>
      <c r="U3" s="86"/>
      <c r="V3" s="9"/>
      <c r="W3" s="91"/>
      <c r="X3" s="91"/>
      <c r="Y3" s="89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94"/>
      <c r="X4" s="94"/>
      <c r="Y4" s="89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  <c r="W5" s="89"/>
      <c r="X5" s="89"/>
      <c r="Y5" s="8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4" t="s">
        <v>66</v>
      </c>
      <c r="X6" s="114" t="s">
        <v>68</v>
      </c>
      <c r="Y6" s="102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03"/>
      <c r="X7" s="103"/>
      <c r="Y7" s="102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  <c r="W8" s="117"/>
      <c r="X8" s="117"/>
      <c r="Y8" s="113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  <c r="W9" s="117"/>
      <c r="X9" s="117"/>
      <c r="Y9" s="113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  <c r="W10" s="116"/>
      <c r="X10" s="116"/>
      <c r="Y10" s="113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  <c r="W11" s="117"/>
      <c r="X11" s="117"/>
      <c r="Y11" s="113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  <c r="W12" s="117"/>
      <c r="X12" s="117"/>
      <c r="Y12" s="113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  <c r="W13" s="117"/>
      <c r="X13" s="117"/>
      <c r="Y13" s="113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  <c r="W14" s="117"/>
      <c r="X14" s="117"/>
      <c r="Y14" s="113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  <c r="W15" s="117"/>
      <c r="X15" s="117"/>
      <c r="Y15" s="113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  <c r="W16" s="117"/>
      <c r="X16" s="117"/>
      <c r="Y16" s="113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  <c r="W17" s="117"/>
      <c r="X17" s="117"/>
      <c r="Y17" s="113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  <c r="W18" s="117"/>
      <c r="X18" s="117"/>
      <c r="Y18" s="113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  <c r="W19" s="117"/>
      <c r="X19" s="117"/>
      <c r="Y19" s="113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  <c r="W20" s="117"/>
      <c r="X20" s="117"/>
      <c r="Y20" s="113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  <c r="W21" s="117"/>
      <c r="X21" s="117"/>
      <c r="Y21" s="113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  <c r="W22" s="117"/>
      <c r="X22" s="117"/>
      <c r="Y22" s="113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  <c r="W23" s="117"/>
      <c r="X23" s="117"/>
      <c r="Y23" s="113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  <c r="W24" s="117"/>
      <c r="X24" s="117"/>
      <c r="Y24" s="113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  <c r="W25" s="117"/>
      <c r="X25" s="117"/>
      <c r="Y25" s="113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  <c r="W26" s="117"/>
      <c r="X26" s="117"/>
      <c r="Y26" s="113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  <c r="W27" s="117"/>
      <c r="X27" s="117"/>
      <c r="Y27" s="113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  <c r="W28" s="117"/>
      <c r="X28" s="117"/>
      <c r="Y28" s="113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  <c r="W29" s="117"/>
      <c r="X29" s="117"/>
      <c r="Y29" s="113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  <c r="W30" s="117"/>
      <c r="X30" s="117"/>
      <c r="Y30" s="113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  <c r="W31" s="117"/>
      <c r="X31" s="117"/>
      <c r="Y31" s="113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  <c r="W32" s="117"/>
      <c r="X32" s="117"/>
      <c r="Y32" s="113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  <c r="W33" s="117"/>
      <c r="X33" s="117"/>
      <c r="Y33" s="113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  <c r="W34" s="117"/>
      <c r="X34" s="117"/>
      <c r="Y34" s="113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  <c r="W35" s="117"/>
      <c r="X35" s="117"/>
      <c r="Y35" s="113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  <c r="W36" s="117"/>
      <c r="X36" s="117"/>
      <c r="Y36" s="113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  <c r="W37" s="117"/>
      <c r="X37" s="117"/>
      <c r="Y37" s="113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  <c r="W38" s="117"/>
      <c r="X38" s="117"/>
      <c r="Y38" s="113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  <c r="W39" s="117"/>
      <c r="X39" s="117"/>
      <c r="Y39" s="113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  <c r="W40" s="117"/>
      <c r="X40" s="117"/>
      <c r="Y40" s="113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  <c r="W41" s="117"/>
      <c r="X41" s="117"/>
      <c r="Y41" s="113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  <c r="W42" s="113"/>
      <c r="X42" s="113"/>
      <c r="Y42" s="113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  <c r="W43" s="113"/>
      <c r="X43" s="113"/>
      <c r="Y43" s="113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  <c r="W44" s="113"/>
      <c r="X44" s="113"/>
      <c r="Y44" s="113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  <c r="W45" s="113"/>
      <c r="X45" s="113"/>
      <c r="Y45" s="113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  <c r="W46" s="113"/>
      <c r="X46" s="113"/>
      <c r="Y46" s="113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  <c r="W47" s="113"/>
      <c r="X47" s="113"/>
      <c r="Y47" s="113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  <c r="W48" s="113"/>
      <c r="X48" s="113"/>
      <c r="Y48" s="113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  <c r="W49" s="113"/>
      <c r="X49" s="113"/>
      <c r="Y49" s="113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  <c r="W50" s="113"/>
      <c r="X50" s="113"/>
      <c r="Y50" s="113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  <c r="W51" s="113"/>
      <c r="X51" s="113"/>
      <c r="Y51" s="113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  <c r="W52" s="113"/>
      <c r="X52" s="113"/>
      <c r="Y52" s="113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  <c r="W53" s="113"/>
      <c r="X53" s="113"/>
      <c r="Y53" s="113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  <c r="W54" s="113"/>
      <c r="X54" s="113"/>
      <c r="Y54" s="113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  <c r="W55" s="113"/>
      <c r="X55" s="113"/>
      <c r="Y55" s="113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  <c r="W56" s="113"/>
      <c r="X56" s="113"/>
      <c r="Y56" s="113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  <c r="W57" s="113"/>
      <c r="X57" s="113"/>
      <c r="Y57" s="113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  <c r="W58" s="113"/>
      <c r="X58" s="113"/>
      <c r="Y58" s="113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  <c r="W59" s="113"/>
      <c r="X59" s="113"/>
      <c r="Y59" s="113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  <c r="W60" s="113"/>
      <c r="X60" s="113"/>
      <c r="Y60" s="113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  <c r="W61" s="113"/>
      <c r="X61" s="113"/>
      <c r="Y61" s="113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  <c r="W62" s="113"/>
      <c r="X62" s="113"/>
      <c r="Y62" s="113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  <c r="W63" s="113"/>
      <c r="X63" s="113"/>
      <c r="Y63" s="113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  <c r="W64" s="113"/>
      <c r="X64" s="113"/>
      <c r="Y64" s="113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  <c r="W65" s="113"/>
      <c r="X65" s="113"/>
      <c r="Y65" s="113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  <c r="W66" s="113"/>
      <c r="X66" s="113"/>
      <c r="Y66" s="113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  <c r="W67" s="113"/>
      <c r="X67" s="113"/>
      <c r="Y67" s="113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  <c r="W68" s="113"/>
      <c r="X68" s="113"/>
      <c r="Y68" s="113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3"/>
      <c r="X69" s="113"/>
      <c r="Y69" s="113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8">
    <mergeCell ref="B6:B7"/>
    <mergeCell ref="C6:F7"/>
    <mergeCell ref="G6:G7"/>
    <mergeCell ref="H6:K7"/>
    <mergeCell ref="L6:L7"/>
    <mergeCell ref="M6:P7"/>
    <mergeCell ref="Q6:Q7"/>
    <mergeCell ref="S6:S7"/>
    <mergeCell ref="W6:W7"/>
    <mergeCell ref="X6:X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H41 L8:L41 Q8:Q41">
    <cfRule type="cellIs" dxfId="0" priority="8" operator="between">
      <formula>0</formula>
      <formula>3.9</formula>
    </cfRule>
  </conditionalFormatting>
  <conditionalFormatting sqref="G8:H41 L8:L41 Q8:Q41">
    <cfRule type="cellIs" dxfId="1" priority="9" operator="between">
      <formula>3.9</formula>
      <formula>5.9</formula>
    </cfRule>
  </conditionalFormatting>
  <conditionalFormatting sqref="G8:H41 L8:L41 Q8:Q41">
    <cfRule type="cellIs" dxfId="2" priority="10" operator="between">
      <formula>5.9</formula>
      <formula>10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60.5"/>
    <col customWidth="1" min="3" max="18" width="6.38"/>
    <col customWidth="1" min="19" max="19" width="11.5"/>
    <col customWidth="1" min="20" max="20" width="13.75"/>
    <col customWidth="1" min="21" max="22" width="25.25"/>
    <col customWidth="1" min="23" max="23" width="8.0"/>
    <col customWidth="1" min="24" max="24" width="9.5"/>
  </cols>
  <sheetData>
    <row r="1">
      <c r="A1" s="87" t="s">
        <v>56</v>
      </c>
      <c r="C1" s="88" t="s">
        <v>57</v>
      </c>
      <c r="M1" s="86"/>
      <c r="N1" s="86"/>
      <c r="O1" s="86"/>
      <c r="P1" s="86"/>
      <c r="Q1" s="86"/>
      <c r="R1" s="86"/>
      <c r="S1" s="86"/>
      <c r="T1" s="86"/>
      <c r="U1" s="86"/>
      <c r="V1" s="9"/>
    </row>
    <row r="2">
      <c r="M2" s="86"/>
      <c r="N2" s="86"/>
      <c r="O2" s="86"/>
      <c r="P2" s="86"/>
      <c r="Q2" s="86"/>
      <c r="R2" s="86"/>
      <c r="S2" s="86"/>
      <c r="T2" s="86"/>
      <c r="U2" s="86"/>
      <c r="V2" s="9"/>
    </row>
    <row r="3">
      <c r="C3" s="90" t="s">
        <v>58</v>
      </c>
      <c r="U3" s="86"/>
      <c r="V3" s="9"/>
      <c r="W3" s="118"/>
      <c r="X3" s="118"/>
    </row>
    <row r="4">
      <c r="A4" s="92" t="s">
        <v>59</v>
      </c>
      <c r="F4" s="93" t="s">
        <v>60</v>
      </c>
      <c r="N4" s="86"/>
      <c r="O4" s="86"/>
      <c r="P4" s="86"/>
      <c r="Q4" s="92"/>
      <c r="U4" s="86"/>
      <c r="V4" s="9"/>
      <c r="W4" s="118"/>
      <c r="X4" s="118"/>
    </row>
    <row r="5">
      <c r="A5" s="90" t="s">
        <v>61</v>
      </c>
      <c r="B5" s="95" t="str">
        <f>INDIRECT("Alumnos!A5")
</f>
        <v>José</v>
      </c>
      <c r="C5" s="90"/>
      <c r="D5" s="90"/>
      <c r="E5" s="90"/>
      <c r="F5" s="92"/>
      <c r="N5" s="86"/>
      <c r="O5" s="86"/>
      <c r="P5" s="86"/>
      <c r="Q5" s="86"/>
      <c r="R5" s="86"/>
      <c r="S5" s="86"/>
      <c r="T5" s="86"/>
      <c r="U5" s="86"/>
      <c r="V5" s="9"/>
    </row>
    <row r="6">
      <c r="A6" s="5" t="s">
        <v>2</v>
      </c>
      <c r="B6" s="5" t="s">
        <v>3</v>
      </c>
      <c r="C6" s="96" t="s">
        <v>62</v>
      </c>
      <c r="D6" s="97"/>
      <c r="E6" s="97"/>
      <c r="F6" s="98"/>
      <c r="G6" s="99" t="s">
        <v>63</v>
      </c>
      <c r="H6" s="96" t="s">
        <v>64</v>
      </c>
      <c r="I6" s="97"/>
      <c r="J6" s="97"/>
      <c r="K6" s="98"/>
      <c r="L6" s="99" t="s">
        <v>63</v>
      </c>
      <c r="M6" s="96" t="s">
        <v>65</v>
      </c>
      <c r="N6" s="97"/>
      <c r="O6" s="97"/>
      <c r="P6" s="98"/>
      <c r="Q6" s="99" t="s">
        <v>63</v>
      </c>
      <c r="R6" s="100" t="s">
        <v>63</v>
      </c>
      <c r="S6" s="5" t="s">
        <v>66</v>
      </c>
      <c r="T6" s="5" t="s">
        <v>68</v>
      </c>
      <c r="U6" s="101"/>
      <c r="V6" s="9"/>
      <c r="W6" s="118"/>
      <c r="X6" s="118"/>
    </row>
    <row r="7">
      <c r="A7" s="103"/>
      <c r="B7" s="103"/>
      <c r="C7" s="104"/>
      <c r="D7" s="105"/>
      <c r="E7" s="105"/>
      <c r="F7" s="106"/>
      <c r="G7" s="103"/>
      <c r="H7" s="104"/>
      <c r="I7" s="105"/>
      <c r="J7" s="105"/>
      <c r="K7" s="106"/>
      <c r="L7" s="103"/>
      <c r="M7" s="104"/>
      <c r="N7" s="105"/>
      <c r="O7" s="105"/>
      <c r="P7" s="106"/>
      <c r="Q7" s="103"/>
      <c r="R7" s="107" t="s">
        <v>69</v>
      </c>
      <c r="S7" s="103"/>
      <c r="T7" s="103"/>
      <c r="U7" s="101"/>
      <c r="V7" s="9"/>
      <c r="W7" s="118"/>
      <c r="X7" s="118"/>
    </row>
    <row r="8">
      <c r="A8" s="7">
        <v>1.0</v>
      </c>
      <c r="B8" s="8" t="str">
        <f>INDIRECT("Alumnos!B9")
</f>
        <v>María González</v>
      </c>
      <c r="C8" s="108">
        <v>5.0</v>
      </c>
      <c r="D8" s="108">
        <v>4.0</v>
      </c>
      <c r="E8" s="108">
        <v>3.0</v>
      </c>
      <c r="F8" s="108">
        <v>8.0</v>
      </c>
      <c r="G8" s="109">
        <f t="shared" ref="G8:G40" si="1">SUM(C8:F8)/4</f>
        <v>5</v>
      </c>
      <c r="H8" s="108">
        <v>7.0</v>
      </c>
      <c r="I8" s="108">
        <v>7.0</v>
      </c>
      <c r="J8" s="108">
        <v>7.0</v>
      </c>
      <c r="K8" s="108">
        <v>7.0</v>
      </c>
      <c r="L8" s="109">
        <f t="shared" ref="L8:L40" si="2">SUM(H8:K8)/4</f>
        <v>7</v>
      </c>
      <c r="M8" s="108">
        <v>6.0</v>
      </c>
      <c r="N8" s="108">
        <v>6.0</v>
      </c>
      <c r="O8" s="108">
        <v>6.0</v>
      </c>
      <c r="P8" s="108">
        <v>6.0</v>
      </c>
      <c r="Q8" s="109">
        <f t="shared" ref="Q8:Q40" si="3">TRUNC(SUM(M8:P8)/4,2)</f>
        <v>6</v>
      </c>
      <c r="R8" s="110">
        <f t="shared" ref="R8:R40" si="4">TRUNC(SUM(G8,L8,Q8)/3,2)</f>
        <v>6</v>
      </c>
      <c r="S8" s="111">
        <v>6.0</v>
      </c>
      <c r="T8" s="112">
        <f t="shared" ref="T8:T40" si="5">TRUNC(IF(AND(R8&gt;6, ISBLANK(S8)), R8, IF(AND(R8&gt;6, S8&gt;=6), (R8+S8)/2, R8)), 2)</f>
        <v>6</v>
      </c>
      <c r="U8" s="86"/>
      <c r="V8" s="9"/>
    </row>
    <row r="9">
      <c r="A9" s="7">
        <v>2.0</v>
      </c>
      <c r="B9" s="8" t="str">
        <f>INDIRECT("Alumnos!B10")
</f>
        <v>Carlos López</v>
      </c>
      <c r="C9" s="108">
        <v>6.0</v>
      </c>
      <c r="D9" s="108">
        <v>6.0</v>
      </c>
      <c r="E9" s="108">
        <v>6.0</v>
      </c>
      <c r="F9" s="108">
        <v>6.0</v>
      </c>
      <c r="G9" s="109">
        <f t="shared" si="1"/>
        <v>6</v>
      </c>
      <c r="H9" s="108">
        <v>7.0</v>
      </c>
      <c r="I9" s="108">
        <v>7.0</v>
      </c>
      <c r="J9" s="108">
        <v>7.0</v>
      </c>
      <c r="K9" s="108">
        <v>7.0</v>
      </c>
      <c r="L9" s="109">
        <f t="shared" si="2"/>
        <v>7</v>
      </c>
      <c r="M9" s="108">
        <v>6.0</v>
      </c>
      <c r="N9" s="108">
        <v>6.0</v>
      </c>
      <c r="O9" s="108">
        <v>6.0</v>
      </c>
      <c r="P9" s="108">
        <v>6.0</v>
      </c>
      <c r="Q9" s="109">
        <f t="shared" si="3"/>
        <v>6</v>
      </c>
      <c r="R9" s="110">
        <f t="shared" si="4"/>
        <v>6.33</v>
      </c>
      <c r="S9" s="111">
        <v>6.0</v>
      </c>
      <c r="T9" s="112">
        <f t="shared" si="5"/>
        <v>6.16</v>
      </c>
      <c r="U9" s="86"/>
      <c r="V9" s="9"/>
    </row>
    <row r="10">
      <c r="A10" s="7">
        <v>3.0</v>
      </c>
      <c r="B10" s="8" t="str">
        <f>INDIRECT("Alumnos!B11")
</f>
        <v>Ana Martínez</v>
      </c>
      <c r="C10" s="108">
        <v>6.0</v>
      </c>
      <c r="D10" s="108">
        <v>6.0</v>
      </c>
      <c r="E10" s="108">
        <v>6.0</v>
      </c>
      <c r="F10" s="108">
        <v>6.0</v>
      </c>
      <c r="G10" s="109">
        <f t="shared" si="1"/>
        <v>6</v>
      </c>
      <c r="H10" s="108">
        <v>7.0</v>
      </c>
      <c r="I10" s="108">
        <v>7.0</v>
      </c>
      <c r="J10" s="108">
        <v>7.0</v>
      </c>
      <c r="K10" s="108">
        <v>7.0</v>
      </c>
      <c r="L10" s="109">
        <f t="shared" si="2"/>
        <v>7</v>
      </c>
      <c r="M10" s="108">
        <v>6.0</v>
      </c>
      <c r="N10" s="108">
        <v>6.0</v>
      </c>
      <c r="O10" s="108">
        <v>6.0</v>
      </c>
      <c r="P10" s="108">
        <v>6.0</v>
      </c>
      <c r="Q10" s="109">
        <f t="shared" si="3"/>
        <v>6</v>
      </c>
      <c r="R10" s="110">
        <f t="shared" si="4"/>
        <v>6.33</v>
      </c>
      <c r="S10" s="111">
        <v>6.0</v>
      </c>
      <c r="T10" s="112">
        <f t="shared" si="5"/>
        <v>6.16</v>
      </c>
      <c r="U10" s="86"/>
      <c r="V10" s="9"/>
    </row>
    <row r="11">
      <c r="A11" s="7">
        <v>4.0</v>
      </c>
      <c r="B11" s="8" t="str">
        <f>INDIRECT("Alumnos!B12")
</f>
        <v>Javier Pérez</v>
      </c>
      <c r="C11" s="108">
        <v>6.0</v>
      </c>
      <c r="D11" s="108">
        <v>6.0</v>
      </c>
      <c r="E11" s="108">
        <v>6.0</v>
      </c>
      <c r="F11" s="108">
        <v>6.0</v>
      </c>
      <c r="G11" s="109">
        <f t="shared" si="1"/>
        <v>6</v>
      </c>
      <c r="H11" s="108">
        <v>7.0</v>
      </c>
      <c r="I11" s="108">
        <v>7.0</v>
      </c>
      <c r="J11" s="108">
        <v>7.0</v>
      </c>
      <c r="K11" s="108">
        <v>7.0</v>
      </c>
      <c r="L11" s="109">
        <f t="shared" si="2"/>
        <v>7</v>
      </c>
      <c r="M11" s="108">
        <v>6.0</v>
      </c>
      <c r="N11" s="108">
        <v>6.0</v>
      </c>
      <c r="O11" s="108">
        <v>6.0</v>
      </c>
      <c r="P11" s="108">
        <v>6.0</v>
      </c>
      <c r="Q11" s="109">
        <f t="shared" si="3"/>
        <v>6</v>
      </c>
      <c r="R11" s="110">
        <f t="shared" si="4"/>
        <v>6.33</v>
      </c>
      <c r="S11" s="111">
        <v>6.0</v>
      </c>
      <c r="T11" s="112">
        <f t="shared" si="5"/>
        <v>6.16</v>
      </c>
      <c r="U11" s="86"/>
      <c r="V11" s="9"/>
    </row>
    <row r="12">
      <c r="A12" s="7">
        <v>5.0</v>
      </c>
      <c r="B12" s="8" t="str">
        <f>INDIRECT("Alumnos!B13")
</f>
        <v>Laura Sánchez</v>
      </c>
      <c r="C12" s="108">
        <v>6.0</v>
      </c>
      <c r="D12" s="108">
        <v>6.0</v>
      </c>
      <c r="E12" s="108">
        <v>6.0</v>
      </c>
      <c r="F12" s="108">
        <v>6.0</v>
      </c>
      <c r="G12" s="109">
        <f t="shared" si="1"/>
        <v>6</v>
      </c>
      <c r="H12" s="108">
        <v>7.0</v>
      </c>
      <c r="I12" s="108">
        <v>7.0</v>
      </c>
      <c r="J12" s="108">
        <v>7.0</v>
      </c>
      <c r="K12" s="108">
        <v>7.0</v>
      </c>
      <c r="L12" s="109">
        <f t="shared" si="2"/>
        <v>7</v>
      </c>
      <c r="M12" s="108">
        <v>6.0</v>
      </c>
      <c r="N12" s="108">
        <v>6.0</v>
      </c>
      <c r="O12" s="108">
        <v>6.0</v>
      </c>
      <c r="P12" s="108">
        <v>6.0</v>
      </c>
      <c r="Q12" s="109">
        <f t="shared" si="3"/>
        <v>6</v>
      </c>
      <c r="R12" s="110">
        <f t="shared" si="4"/>
        <v>6.33</v>
      </c>
      <c r="S12" s="111">
        <v>6.0</v>
      </c>
      <c r="T12" s="112">
        <f t="shared" si="5"/>
        <v>6.16</v>
      </c>
      <c r="U12" s="86"/>
      <c r="V12" s="9"/>
    </row>
    <row r="13">
      <c r="A13" s="7">
        <v>6.0</v>
      </c>
      <c r="B13" s="8" t="str">
        <f>INDIRECT("Alumnos!B14")
</f>
        <v>Alejandro Ramírez</v>
      </c>
      <c r="C13" s="108">
        <v>6.0</v>
      </c>
      <c r="D13" s="108">
        <v>6.0</v>
      </c>
      <c r="E13" s="108">
        <v>6.0</v>
      </c>
      <c r="F13" s="108">
        <v>6.0</v>
      </c>
      <c r="G13" s="109">
        <f t="shared" si="1"/>
        <v>6</v>
      </c>
      <c r="H13" s="108">
        <v>7.0</v>
      </c>
      <c r="I13" s="108">
        <v>7.0</v>
      </c>
      <c r="J13" s="108">
        <v>7.0</v>
      </c>
      <c r="K13" s="108">
        <v>7.0</v>
      </c>
      <c r="L13" s="109">
        <f t="shared" si="2"/>
        <v>7</v>
      </c>
      <c r="M13" s="108">
        <v>6.0</v>
      </c>
      <c r="N13" s="108">
        <v>6.0</v>
      </c>
      <c r="O13" s="108">
        <v>6.0</v>
      </c>
      <c r="P13" s="108">
        <v>6.0</v>
      </c>
      <c r="Q13" s="109">
        <f t="shared" si="3"/>
        <v>6</v>
      </c>
      <c r="R13" s="110">
        <f t="shared" si="4"/>
        <v>6.33</v>
      </c>
      <c r="S13" s="111">
        <v>6.0</v>
      </c>
      <c r="T13" s="112">
        <f t="shared" si="5"/>
        <v>6.16</v>
      </c>
      <c r="U13" s="86"/>
      <c r="V13" s="9"/>
    </row>
    <row r="14">
      <c r="A14" s="7">
        <v>7.0</v>
      </c>
      <c r="B14" s="8" t="str">
        <f>INDIRECT("Alumnos!B15")
</f>
        <v>Isabel Torres</v>
      </c>
      <c r="C14" s="108">
        <v>6.0</v>
      </c>
      <c r="D14" s="108">
        <v>6.0</v>
      </c>
      <c r="E14" s="108">
        <v>6.0</v>
      </c>
      <c r="F14" s="108">
        <v>6.0</v>
      </c>
      <c r="G14" s="109">
        <f t="shared" si="1"/>
        <v>6</v>
      </c>
      <c r="H14" s="108">
        <v>7.0</v>
      </c>
      <c r="I14" s="108">
        <v>7.0</v>
      </c>
      <c r="J14" s="108">
        <v>7.0</v>
      </c>
      <c r="K14" s="108">
        <v>7.0</v>
      </c>
      <c r="L14" s="109">
        <f t="shared" si="2"/>
        <v>7</v>
      </c>
      <c r="M14" s="108">
        <v>6.0</v>
      </c>
      <c r="N14" s="108">
        <v>6.0</v>
      </c>
      <c r="O14" s="108">
        <v>6.0</v>
      </c>
      <c r="P14" s="108">
        <v>6.0</v>
      </c>
      <c r="Q14" s="109">
        <f t="shared" si="3"/>
        <v>6</v>
      </c>
      <c r="R14" s="110">
        <f t="shared" si="4"/>
        <v>6.33</v>
      </c>
      <c r="S14" s="111">
        <v>6.0</v>
      </c>
      <c r="T14" s="112">
        <f t="shared" si="5"/>
        <v>6.16</v>
      </c>
      <c r="U14" s="86"/>
      <c r="V14" s="9"/>
    </row>
    <row r="15">
      <c r="A15" s="7">
        <v>8.0</v>
      </c>
      <c r="B15" s="8" t="str">
        <f>INDIRECT("Alumnos!B16")
</f>
        <v>Miguel Díaz</v>
      </c>
      <c r="C15" s="108">
        <v>6.0</v>
      </c>
      <c r="D15" s="108">
        <v>6.0</v>
      </c>
      <c r="E15" s="108">
        <v>6.0</v>
      </c>
      <c r="F15" s="108">
        <v>6.0</v>
      </c>
      <c r="G15" s="109">
        <f t="shared" si="1"/>
        <v>6</v>
      </c>
      <c r="H15" s="108">
        <v>7.0</v>
      </c>
      <c r="I15" s="108">
        <v>7.0</v>
      </c>
      <c r="J15" s="108">
        <v>7.0</v>
      </c>
      <c r="K15" s="108">
        <v>7.0</v>
      </c>
      <c r="L15" s="109">
        <f t="shared" si="2"/>
        <v>7</v>
      </c>
      <c r="M15" s="108">
        <v>6.0</v>
      </c>
      <c r="N15" s="108">
        <v>6.0</v>
      </c>
      <c r="O15" s="108">
        <v>6.0</v>
      </c>
      <c r="P15" s="108">
        <v>6.0</v>
      </c>
      <c r="Q15" s="109">
        <f t="shared" si="3"/>
        <v>6</v>
      </c>
      <c r="R15" s="110">
        <f t="shared" si="4"/>
        <v>6.33</v>
      </c>
      <c r="S15" s="111">
        <v>6.0</v>
      </c>
      <c r="T15" s="112">
        <f t="shared" si="5"/>
        <v>6.16</v>
      </c>
      <c r="U15" s="86"/>
      <c r="V15" s="9"/>
    </row>
    <row r="16">
      <c r="A16" s="7">
        <v>9.0</v>
      </c>
      <c r="B16" s="8" t="str">
        <f>INDIRECT("Alumnos!B17")
</f>
        <v>Patricia Ruiz</v>
      </c>
      <c r="C16" s="108">
        <v>6.0</v>
      </c>
      <c r="D16" s="108">
        <v>6.0</v>
      </c>
      <c r="E16" s="108">
        <v>6.0</v>
      </c>
      <c r="F16" s="108">
        <v>6.0</v>
      </c>
      <c r="G16" s="109">
        <f t="shared" si="1"/>
        <v>6</v>
      </c>
      <c r="H16" s="108">
        <v>7.0</v>
      </c>
      <c r="I16" s="108">
        <v>7.0</v>
      </c>
      <c r="J16" s="108">
        <v>7.0</v>
      </c>
      <c r="K16" s="108">
        <v>7.0</v>
      </c>
      <c r="L16" s="109">
        <f t="shared" si="2"/>
        <v>7</v>
      </c>
      <c r="M16" s="108">
        <v>6.0</v>
      </c>
      <c r="N16" s="108">
        <v>6.0</v>
      </c>
      <c r="O16" s="108">
        <v>6.0</v>
      </c>
      <c r="P16" s="108">
        <v>6.0</v>
      </c>
      <c r="Q16" s="109">
        <f t="shared" si="3"/>
        <v>6</v>
      </c>
      <c r="R16" s="110">
        <f t="shared" si="4"/>
        <v>6.33</v>
      </c>
      <c r="S16" s="111">
        <v>6.0</v>
      </c>
      <c r="T16" s="112">
        <f t="shared" si="5"/>
        <v>6.16</v>
      </c>
      <c r="U16" s="86"/>
      <c r="V16" s="9"/>
    </row>
    <row r="17">
      <c r="A17" s="7">
        <v>10.0</v>
      </c>
      <c r="B17" s="8" t="str">
        <f>INDIRECT("Alumnos!B18")
</f>
        <v>Alberto Fernández</v>
      </c>
      <c r="C17" s="108">
        <v>6.0</v>
      </c>
      <c r="D17" s="108">
        <v>8.0</v>
      </c>
      <c r="E17" s="108">
        <v>6.0</v>
      </c>
      <c r="F17" s="108">
        <v>6.0</v>
      </c>
      <c r="G17" s="109">
        <f t="shared" si="1"/>
        <v>6.5</v>
      </c>
      <c r="H17" s="108">
        <v>7.0</v>
      </c>
      <c r="I17" s="108">
        <v>7.0</v>
      </c>
      <c r="J17" s="108">
        <v>7.0</v>
      </c>
      <c r="K17" s="108">
        <v>7.0</v>
      </c>
      <c r="L17" s="109">
        <f t="shared" si="2"/>
        <v>7</v>
      </c>
      <c r="M17" s="108">
        <v>6.0</v>
      </c>
      <c r="N17" s="108">
        <v>6.0</v>
      </c>
      <c r="O17" s="108">
        <v>6.0</v>
      </c>
      <c r="P17" s="108">
        <v>6.0</v>
      </c>
      <c r="Q17" s="109">
        <f t="shared" si="3"/>
        <v>6</v>
      </c>
      <c r="R17" s="110">
        <f t="shared" si="4"/>
        <v>6.5</v>
      </c>
      <c r="S17" s="111">
        <v>6.0</v>
      </c>
      <c r="T17" s="112">
        <f t="shared" si="5"/>
        <v>6.25</v>
      </c>
      <c r="U17" s="86"/>
      <c r="V17" s="9"/>
    </row>
    <row r="18">
      <c r="A18" s="7">
        <v>11.0</v>
      </c>
      <c r="B18" s="8" t="str">
        <f>INDIRECT("Alumnos!B19")
</f>
        <v>Paula García</v>
      </c>
      <c r="C18" s="108">
        <v>6.0</v>
      </c>
      <c r="D18" s="108">
        <v>6.0</v>
      </c>
      <c r="E18" s="108">
        <v>6.0</v>
      </c>
      <c r="F18" s="108">
        <v>6.0</v>
      </c>
      <c r="G18" s="109">
        <f t="shared" si="1"/>
        <v>6</v>
      </c>
      <c r="H18" s="108">
        <v>7.0</v>
      </c>
      <c r="I18" s="108">
        <v>7.0</v>
      </c>
      <c r="J18" s="108">
        <v>7.0</v>
      </c>
      <c r="K18" s="108">
        <v>7.0</v>
      </c>
      <c r="L18" s="109">
        <f t="shared" si="2"/>
        <v>7</v>
      </c>
      <c r="M18" s="108">
        <v>6.0</v>
      </c>
      <c r="N18" s="108">
        <v>6.0</v>
      </c>
      <c r="O18" s="108">
        <v>6.0</v>
      </c>
      <c r="P18" s="108">
        <v>6.0</v>
      </c>
      <c r="Q18" s="109">
        <f t="shared" si="3"/>
        <v>6</v>
      </c>
      <c r="R18" s="110">
        <f t="shared" si="4"/>
        <v>6.33</v>
      </c>
      <c r="S18" s="111">
        <v>6.0</v>
      </c>
      <c r="T18" s="112">
        <f t="shared" si="5"/>
        <v>6.16</v>
      </c>
      <c r="U18" s="86"/>
      <c r="V18" s="9"/>
    </row>
    <row r="19">
      <c r="A19" s="7">
        <v>12.0</v>
      </c>
      <c r="B19" s="8" t="str">
        <f>INDIRECT("Alumnos!B20")
</f>
        <v>Francisco Morales</v>
      </c>
      <c r="C19" s="108">
        <v>6.0</v>
      </c>
      <c r="D19" s="108">
        <v>6.0</v>
      </c>
      <c r="E19" s="108">
        <v>6.0</v>
      </c>
      <c r="F19" s="108">
        <v>6.0</v>
      </c>
      <c r="G19" s="109">
        <f t="shared" si="1"/>
        <v>6</v>
      </c>
      <c r="H19" s="108">
        <v>7.0</v>
      </c>
      <c r="I19" s="108">
        <v>7.0</v>
      </c>
      <c r="J19" s="108">
        <v>7.0</v>
      </c>
      <c r="K19" s="108">
        <v>7.0</v>
      </c>
      <c r="L19" s="109">
        <f t="shared" si="2"/>
        <v>7</v>
      </c>
      <c r="M19" s="108">
        <v>6.0</v>
      </c>
      <c r="N19" s="108">
        <v>6.0</v>
      </c>
      <c r="O19" s="108">
        <v>6.0</v>
      </c>
      <c r="P19" s="108">
        <v>6.0</v>
      </c>
      <c r="Q19" s="109">
        <f t="shared" si="3"/>
        <v>6</v>
      </c>
      <c r="R19" s="110">
        <f t="shared" si="4"/>
        <v>6.33</v>
      </c>
      <c r="S19" s="111">
        <v>6.0</v>
      </c>
      <c r="T19" s="112">
        <f t="shared" si="5"/>
        <v>6.16</v>
      </c>
      <c r="U19" s="86"/>
      <c r="V19" s="9"/>
    </row>
    <row r="20">
      <c r="A20" s="7">
        <v>13.0</v>
      </c>
      <c r="B20" s="8" t="str">
        <f>INDIRECT("Alumnos!B21")
</f>
        <v>Beatriz Jiménez</v>
      </c>
      <c r="C20" s="108">
        <v>6.0</v>
      </c>
      <c r="D20" s="108">
        <v>6.0</v>
      </c>
      <c r="E20" s="108">
        <v>6.0</v>
      </c>
      <c r="F20" s="108">
        <v>6.0</v>
      </c>
      <c r="G20" s="109">
        <f t="shared" si="1"/>
        <v>6</v>
      </c>
      <c r="H20" s="108">
        <v>7.0</v>
      </c>
      <c r="I20" s="108">
        <v>7.0</v>
      </c>
      <c r="J20" s="108">
        <v>7.0</v>
      </c>
      <c r="K20" s="108">
        <v>7.0</v>
      </c>
      <c r="L20" s="109">
        <f t="shared" si="2"/>
        <v>7</v>
      </c>
      <c r="M20" s="108">
        <v>6.0</v>
      </c>
      <c r="N20" s="108">
        <v>6.0</v>
      </c>
      <c r="O20" s="108">
        <v>6.0</v>
      </c>
      <c r="P20" s="108">
        <v>6.0</v>
      </c>
      <c r="Q20" s="109">
        <f t="shared" si="3"/>
        <v>6</v>
      </c>
      <c r="R20" s="110">
        <f t="shared" si="4"/>
        <v>6.33</v>
      </c>
      <c r="S20" s="111">
        <v>6.0</v>
      </c>
      <c r="T20" s="112">
        <f t="shared" si="5"/>
        <v>6.16</v>
      </c>
      <c r="U20" s="86"/>
      <c r="V20" s="9"/>
    </row>
    <row r="21">
      <c r="A21" s="7">
        <v>14.0</v>
      </c>
      <c r="B21" s="8" t="str">
        <f>INDIRECT("Alumnos!B22")
</f>
        <v>Raúl Vargas</v>
      </c>
      <c r="C21" s="108">
        <v>6.0</v>
      </c>
      <c r="D21" s="108">
        <v>6.0</v>
      </c>
      <c r="E21" s="108">
        <v>6.0</v>
      </c>
      <c r="F21" s="108">
        <v>6.0</v>
      </c>
      <c r="G21" s="109">
        <f t="shared" si="1"/>
        <v>6</v>
      </c>
      <c r="H21" s="108">
        <v>7.0</v>
      </c>
      <c r="I21" s="108">
        <v>7.0</v>
      </c>
      <c r="J21" s="108">
        <v>7.0</v>
      </c>
      <c r="K21" s="108">
        <v>7.0</v>
      </c>
      <c r="L21" s="109">
        <f t="shared" si="2"/>
        <v>7</v>
      </c>
      <c r="M21" s="108">
        <v>6.0</v>
      </c>
      <c r="N21" s="108">
        <v>6.0</v>
      </c>
      <c r="O21" s="108">
        <v>6.0</v>
      </c>
      <c r="P21" s="108">
        <v>6.0</v>
      </c>
      <c r="Q21" s="109">
        <f t="shared" si="3"/>
        <v>6</v>
      </c>
      <c r="R21" s="110">
        <f t="shared" si="4"/>
        <v>6.33</v>
      </c>
      <c r="S21" s="111">
        <v>6.0</v>
      </c>
      <c r="T21" s="112">
        <f t="shared" si="5"/>
        <v>6.16</v>
      </c>
      <c r="U21" s="86"/>
      <c r="V21" s="9"/>
    </row>
    <row r="22">
      <c r="A22" s="7">
        <v>15.0</v>
      </c>
      <c r="B22" s="8" t="str">
        <f>INDIRECT("Alumnos!B23")
</f>
        <v>Claudia Castro</v>
      </c>
      <c r="C22" s="108">
        <v>6.0</v>
      </c>
      <c r="D22" s="108">
        <v>6.0</v>
      </c>
      <c r="E22" s="108">
        <v>6.0</v>
      </c>
      <c r="F22" s="108">
        <v>6.0</v>
      </c>
      <c r="G22" s="109">
        <f t="shared" si="1"/>
        <v>6</v>
      </c>
      <c r="H22" s="108">
        <v>7.0</v>
      </c>
      <c r="I22" s="108">
        <v>7.0</v>
      </c>
      <c r="J22" s="108">
        <v>7.0</v>
      </c>
      <c r="K22" s="108">
        <v>7.0</v>
      </c>
      <c r="L22" s="109">
        <f t="shared" si="2"/>
        <v>7</v>
      </c>
      <c r="M22" s="108">
        <v>6.0</v>
      </c>
      <c r="N22" s="108">
        <v>6.0</v>
      </c>
      <c r="O22" s="108">
        <v>6.0</v>
      </c>
      <c r="P22" s="108">
        <v>6.0</v>
      </c>
      <c r="Q22" s="109">
        <f t="shared" si="3"/>
        <v>6</v>
      </c>
      <c r="R22" s="110">
        <f t="shared" si="4"/>
        <v>6.33</v>
      </c>
      <c r="S22" s="111">
        <v>6.0</v>
      </c>
      <c r="T22" s="112">
        <f t="shared" si="5"/>
        <v>6.16</v>
      </c>
      <c r="U22" s="86"/>
      <c r="V22" s="9"/>
    </row>
    <row r="23">
      <c r="A23" s="7">
        <v>16.0</v>
      </c>
      <c r="B23" s="8" t="str">
        <f>INDIRECT("Alumnos!B24")
</f>
        <v>Sergio Herrera</v>
      </c>
      <c r="C23" s="108">
        <v>6.0</v>
      </c>
      <c r="D23" s="108">
        <v>6.0</v>
      </c>
      <c r="E23" s="108">
        <v>6.0</v>
      </c>
      <c r="F23" s="108">
        <v>6.0</v>
      </c>
      <c r="G23" s="109">
        <f t="shared" si="1"/>
        <v>6</v>
      </c>
      <c r="H23" s="108">
        <v>7.0</v>
      </c>
      <c r="I23" s="108">
        <v>7.0</v>
      </c>
      <c r="J23" s="108">
        <v>7.0</v>
      </c>
      <c r="K23" s="108">
        <v>7.0</v>
      </c>
      <c r="L23" s="109">
        <f t="shared" si="2"/>
        <v>7</v>
      </c>
      <c r="M23" s="108">
        <v>6.0</v>
      </c>
      <c r="N23" s="108">
        <v>6.0</v>
      </c>
      <c r="O23" s="108">
        <v>6.0</v>
      </c>
      <c r="P23" s="108">
        <v>6.0</v>
      </c>
      <c r="Q23" s="109">
        <f t="shared" si="3"/>
        <v>6</v>
      </c>
      <c r="R23" s="110">
        <f t="shared" si="4"/>
        <v>6.33</v>
      </c>
      <c r="S23" s="111">
        <v>6.0</v>
      </c>
      <c r="T23" s="112">
        <f t="shared" si="5"/>
        <v>6.16</v>
      </c>
      <c r="U23" s="86"/>
      <c r="V23" s="9"/>
    </row>
    <row r="24">
      <c r="A24" s="7">
        <v>17.0</v>
      </c>
      <c r="B24" s="8" t="str">
        <f>INDIRECT("Alumnos!B25")
</f>
        <v>Valeria Ortega</v>
      </c>
      <c r="C24" s="108">
        <v>6.0</v>
      </c>
      <c r="D24" s="108">
        <v>6.0</v>
      </c>
      <c r="E24" s="108">
        <v>6.0</v>
      </c>
      <c r="F24" s="108">
        <v>6.0</v>
      </c>
      <c r="G24" s="109">
        <f t="shared" si="1"/>
        <v>6</v>
      </c>
      <c r="H24" s="108">
        <v>7.0</v>
      </c>
      <c r="I24" s="108">
        <v>7.0</v>
      </c>
      <c r="J24" s="108">
        <v>7.0</v>
      </c>
      <c r="K24" s="108">
        <v>7.0</v>
      </c>
      <c r="L24" s="109">
        <f t="shared" si="2"/>
        <v>7</v>
      </c>
      <c r="M24" s="108">
        <v>6.0</v>
      </c>
      <c r="N24" s="108">
        <v>6.0</v>
      </c>
      <c r="O24" s="108">
        <v>6.0</v>
      </c>
      <c r="P24" s="108">
        <v>6.0</v>
      </c>
      <c r="Q24" s="109">
        <f t="shared" si="3"/>
        <v>6</v>
      </c>
      <c r="R24" s="110">
        <f t="shared" si="4"/>
        <v>6.33</v>
      </c>
      <c r="S24" s="111">
        <v>6.0</v>
      </c>
      <c r="T24" s="112">
        <f t="shared" si="5"/>
        <v>6.16</v>
      </c>
      <c r="U24" s="86"/>
      <c r="V24" s="9"/>
    </row>
    <row r="25">
      <c r="A25" s="7">
        <v>18.0</v>
      </c>
      <c r="B25" s="8" t="str">
        <f>INDIRECT("Alumnos!B26")
</f>
        <v>Ricardo Mendoza</v>
      </c>
      <c r="C25" s="108">
        <v>6.0</v>
      </c>
      <c r="D25" s="108">
        <v>6.0</v>
      </c>
      <c r="E25" s="108">
        <v>6.0</v>
      </c>
      <c r="F25" s="108">
        <v>6.0</v>
      </c>
      <c r="G25" s="109">
        <f t="shared" si="1"/>
        <v>6</v>
      </c>
      <c r="H25" s="108">
        <v>7.0</v>
      </c>
      <c r="I25" s="108">
        <v>7.0</v>
      </c>
      <c r="J25" s="108">
        <v>7.0</v>
      </c>
      <c r="K25" s="108">
        <v>7.0</v>
      </c>
      <c r="L25" s="109">
        <f t="shared" si="2"/>
        <v>7</v>
      </c>
      <c r="M25" s="108">
        <v>6.0</v>
      </c>
      <c r="N25" s="108">
        <v>6.0</v>
      </c>
      <c r="O25" s="108">
        <v>6.0</v>
      </c>
      <c r="P25" s="108">
        <v>6.0</v>
      </c>
      <c r="Q25" s="109">
        <f t="shared" si="3"/>
        <v>6</v>
      </c>
      <c r="R25" s="110">
        <f t="shared" si="4"/>
        <v>6.33</v>
      </c>
      <c r="S25" s="111">
        <v>6.0</v>
      </c>
      <c r="T25" s="112">
        <f t="shared" si="5"/>
        <v>6.16</v>
      </c>
      <c r="U25" s="86"/>
      <c r="V25" s="9"/>
    </row>
    <row r="26">
      <c r="A26" s="7">
        <v>19.0</v>
      </c>
      <c r="B26" s="8" t="str">
        <f>INDIRECT("Alumnos!B27")
</f>
        <v>Lorena Medina</v>
      </c>
      <c r="C26" s="108">
        <v>6.0</v>
      </c>
      <c r="D26" s="108">
        <v>6.0</v>
      </c>
      <c r="E26" s="108">
        <v>6.0</v>
      </c>
      <c r="F26" s="108">
        <v>6.0</v>
      </c>
      <c r="G26" s="109">
        <f t="shared" si="1"/>
        <v>6</v>
      </c>
      <c r="H26" s="108">
        <v>7.0</v>
      </c>
      <c r="I26" s="108">
        <v>7.0</v>
      </c>
      <c r="J26" s="108">
        <v>7.0</v>
      </c>
      <c r="K26" s="108">
        <v>7.0</v>
      </c>
      <c r="L26" s="109">
        <f t="shared" si="2"/>
        <v>7</v>
      </c>
      <c r="M26" s="108">
        <v>6.0</v>
      </c>
      <c r="N26" s="108">
        <v>6.0</v>
      </c>
      <c r="O26" s="108">
        <v>6.0</v>
      </c>
      <c r="P26" s="108">
        <v>6.0</v>
      </c>
      <c r="Q26" s="109">
        <f t="shared" si="3"/>
        <v>6</v>
      </c>
      <c r="R26" s="110">
        <f t="shared" si="4"/>
        <v>6.33</v>
      </c>
      <c r="S26" s="111">
        <v>6.0</v>
      </c>
      <c r="T26" s="112">
        <f t="shared" si="5"/>
        <v>6.16</v>
      </c>
      <c r="U26" s="86"/>
      <c r="V26" s="9"/>
    </row>
    <row r="27">
      <c r="A27" s="7">
        <v>20.0</v>
      </c>
      <c r="B27" s="8" t="str">
        <f>INDIRECT("Alumnos!B28")
</f>
        <v>Andrés Cruz</v>
      </c>
      <c r="C27" s="108">
        <v>6.0</v>
      </c>
      <c r="D27" s="108">
        <v>6.0</v>
      </c>
      <c r="E27" s="108">
        <v>6.0</v>
      </c>
      <c r="F27" s="108">
        <v>6.0</v>
      </c>
      <c r="G27" s="109">
        <f t="shared" si="1"/>
        <v>6</v>
      </c>
      <c r="H27" s="108">
        <v>7.0</v>
      </c>
      <c r="I27" s="108">
        <v>7.0</v>
      </c>
      <c r="J27" s="108">
        <v>7.0</v>
      </c>
      <c r="K27" s="108">
        <v>7.0</v>
      </c>
      <c r="L27" s="109">
        <f t="shared" si="2"/>
        <v>7</v>
      </c>
      <c r="M27" s="108">
        <v>6.0</v>
      </c>
      <c r="N27" s="108">
        <v>6.0</v>
      </c>
      <c r="O27" s="108">
        <v>6.0</v>
      </c>
      <c r="P27" s="108">
        <v>6.0</v>
      </c>
      <c r="Q27" s="109">
        <f t="shared" si="3"/>
        <v>6</v>
      </c>
      <c r="R27" s="110">
        <f t="shared" si="4"/>
        <v>6.33</v>
      </c>
      <c r="S27" s="111">
        <v>6.0</v>
      </c>
      <c r="T27" s="112">
        <f t="shared" si="5"/>
        <v>6.16</v>
      </c>
      <c r="U27" s="86"/>
      <c r="V27" s="9"/>
    </row>
    <row r="28">
      <c r="A28" s="7">
        <v>21.0</v>
      </c>
      <c r="B28" s="8" t="str">
        <f>INDIRECT("Alumnos!B29")
</f>
        <v>Gabriela Reyes</v>
      </c>
      <c r="C28" s="108">
        <v>6.0</v>
      </c>
      <c r="D28" s="108">
        <v>6.0</v>
      </c>
      <c r="E28" s="108">
        <v>6.0</v>
      </c>
      <c r="F28" s="108">
        <v>6.0</v>
      </c>
      <c r="G28" s="109">
        <f t="shared" si="1"/>
        <v>6</v>
      </c>
      <c r="H28" s="108">
        <v>7.0</v>
      </c>
      <c r="I28" s="108">
        <v>7.0</v>
      </c>
      <c r="J28" s="108">
        <v>7.0</v>
      </c>
      <c r="K28" s="108">
        <v>7.0</v>
      </c>
      <c r="L28" s="109">
        <f t="shared" si="2"/>
        <v>7</v>
      </c>
      <c r="M28" s="108">
        <v>6.0</v>
      </c>
      <c r="N28" s="108">
        <v>6.0</v>
      </c>
      <c r="O28" s="108">
        <v>6.0</v>
      </c>
      <c r="P28" s="108">
        <v>6.0</v>
      </c>
      <c r="Q28" s="109">
        <f t="shared" si="3"/>
        <v>6</v>
      </c>
      <c r="R28" s="110">
        <f t="shared" si="4"/>
        <v>6.33</v>
      </c>
      <c r="S28" s="111">
        <v>6.0</v>
      </c>
      <c r="T28" s="112">
        <f t="shared" si="5"/>
        <v>6.16</v>
      </c>
      <c r="U28" s="86"/>
      <c r="V28" s="9"/>
    </row>
    <row r="29">
      <c r="A29" s="7">
        <v>22.0</v>
      </c>
      <c r="B29" s="8" t="str">
        <f>INDIRECT("Alumnos!B30")
</f>
        <v>Daniel Núñez</v>
      </c>
      <c r="C29" s="108">
        <v>6.0</v>
      </c>
      <c r="D29" s="108">
        <v>6.0</v>
      </c>
      <c r="E29" s="108">
        <v>6.0</v>
      </c>
      <c r="F29" s="108">
        <v>6.0</v>
      </c>
      <c r="G29" s="109">
        <f t="shared" si="1"/>
        <v>6</v>
      </c>
      <c r="H29" s="108">
        <v>7.0</v>
      </c>
      <c r="I29" s="108">
        <v>7.0</v>
      </c>
      <c r="J29" s="108">
        <v>7.0</v>
      </c>
      <c r="K29" s="108">
        <v>7.0</v>
      </c>
      <c r="L29" s="109">
        <f t="shared" si="2"/>
        <v>7</v>
      </c>
      <c r="M29" s="108">
        <v>6.0</v>
      </c>
      <c r="N29" s="108">
        <v>6.0</v>
      </c>
      <c r="O29" s="108">
        <v>6.0</v>
      </c>
      <c r="P29" s="108">
        <v>6.0</v>
      </c>
      <c r="Q29" s="109">
        <f t="shared" si="3"/>
        <v>6</v>
      </c>
      <c r="R29" s="110">
        <f t="shared" si="4"/>
        <v>6.33</v>
      </c>
      <c r="S29" s="111">
        <v>6.0</v>
      </c>
      <c r="T29" s="112">
        <f t="shared" si="5"/>
        <v>6.16</v>
      </c>
      <c r="U29" s="86"/>
      <c r="V29" s="9"/>
    </row>
    <row r="30">
      <c r="A30" s="7">
        <v>23.0</v>
      </c>
      <c r="B30" s="8" t="str">
        <f>INDIRECT("Alumnos!B31")
</f>
        <v>Adriana Herrera</v>
      </c>
      <c r="C30" s="108">
        <v>6.0</v>
      </c>
      <c r="D30" s="108">
        <v>6.0</v>
      </c>
      <c r="E30" s="108">
        <v>6.0</v>
      </c>
      <c r="F30" s="108">
        <v>6.0</v>
      </c>
      <c r="G30" s="109">
        <f t="shared" si="1"/>
        <v>6</v>
      </c>
      <c r="H30" s="108">
        <v>7.0</v>
      </c>
      <c r="I30" s="108">
        <v>7.0</v>
      </c>
      <c r="J30" s="108">
        <v>7.0</v>
      </c>
      <c r="K30" s="108">
        <v>7.0</v>
      </c>
      <c r="L30" s="109">
        <f t="shared" si="2"/>
        <v>7</v>
      </c>
      <c r="M30" s="108">
        <v>6.0</v>
      </c>
      <c r="N30" s="108">
        <v>6.0</v>
      </c>
      <c r="O30" s="108">
        <v>6.0</v>
      </c>
      <c r="P30" s="108">
        <v>6.0</v>
      </c>
      <c r="Q30" s="109">
        <f t="shared" si="3"/>
        <v>6</v>
      </c>
      <c r="R30" s="110">
        <f t="shared" si="4"/>
        <v>6.33</v>
      </c>
      <c r="S30" s="111">
        <v>6.0</v>
      </c>
      <c r="T30" s="112">
        <f t="shared" si="5"/>
        <v>6.16</v>
      </c>
      <c r="U30" s="86"/>
      <c r="V30" s="9"/>
    </row>
    <row r="31">
      <c r="A31" s="7">
        <v>24.0</v>
      </c>
      <c r="B31" s="8" t="str">
        <f>INDIRECT("Alumnos!B32")
</f>
        <v>Guillermo Silva</v>
      </c>
      <c r="C31" s="108">
        <v>6.0</v>
      </c>
      <c r="D31" s="108">
        <v>6.0</v>
      </c>
      <c r="E31" s="108">
        <v>6.0</v>
      </c>
      <c r="F31" s="108">
        <v>6.0</v>
      </c>
      <c r="G31" s="109">
        <f t="shared" si="1"/>
        <v>6</v>
      </c>
      <c r="H31" s="108">
        <v>7.0</v>
      </c>
      <c r="I31" s="108">
        <v>7.0</v>
      </c>
      <c r="J31" s="108">
        <v>7.0</v>
      </c>
      <c r="K31" s="108">
        <v>7.0</v>
      </c>
      <c r="L31" s="109">
        <f t="shared" si="2"/>
        <v>7</v>
      </c>
      <c r="M31" s="108">
        <v>6.0</v>
      </c>
      <c r="N31" s="108">
        <v>6.0</v>
      </c>
      <c r="O31" s="108">
        <v>6.0</v>
      </c>
      <c r="P31" s="108">
        <v>6.0</v>
      </c>
      <c r="Q31" s="109">
        <f t="shared" si="3"/>
        <v>6</v>
      </c>
      <c r="R31" s="110">
        <f t="shared" si="4"/>
        <v>6.33</v>
      </c>
      <c r="S31" s="111">
        <v>6.0</v>
      </c>
      <c r="T31" s="112">
        <f t="shared" si="5"/>
        <v>6.16</v>
      </c>
      <c r="U31" s="86"/>
      <c r="V31" s="9"/>
    </row>
    <row r="32">
      <c r="A32" s="7">
        <v>25.0</v>
      </c>
      <c r="B32" s="8" t="str">
        <f t="shared" ref="B32:B33" si="6">INDIRECT("Alumnos!B33")
</f>
        <v>-</v>
      </c>
      <c r="C32" s="108">
        <v>6.0</v>
      </c>
      <c r="D32" s="108">
        <v>6.0</v>
      </c>
      <c r="E32" s="108">
        <v>6.0</v>
      </c>
      <c r="F32" s="108">
        <v>6.0</v>
      </c>
      <c r="G32" s="109">
        <f t="shared" si="1"/>
        <v>6</v>
      </c>
      <c r="H32" s="108">
        <v>7.0</v>
      </c>
      <c r="I32" s="108">
        <v>7.0</v>
      </c>
      <c r="J32" s="108">
        <v>7.0</v>
      </c>
      <c r="K32" s="108">
        <v>7.0</v>
      </c>
      <c r="L32" s="109">
        <f t="shared" si="2"/>
        <v>7</v>
      </c>
      <c r="M32" s="108">
        <v>6.0</v>
      </c>
      <c r="N32" s="108">
        <v>6.0</v>
      </c>
      <c r="O32" s="108">
        <v>6.0</v>
      </c>
      <c r="P32" s="108">
        <v>6.0</v>
      </c>
      <c r="Q32" s="109">
        <f t="shared" si="3"/>
        <v>6</v>
      </c>
      <c r="R32" s="110">
        <f t="shared" si="4"/>
        <v>6.33</v>
      </c>
      <c r="S32" s="111">
        <v>6.0</v>
      </c>
      <c r="T32" s="112">
        <f t="shared" si="5"/>
        <v>6.16</v>
      </c>
      <c r="U32" s="86"/>
      <c r="V32" s="9"/>
    </row>
    <row r="33">
      <c r="A33" s="7">
        <v>26.0</v>
      </c>
      <c r="B33" s="8" t="str">
        <f t="shared" si="6"/>
        <v>-</v>
      </c>
      <c r="C33" s="108">
        <v>6.0</v>
      </c>
      <c r="D33" s="108">
        <v>6.0</v>
      </c>
      <c r="E33" s="108">
        <v>6.0</v>
      </c>
      <c r="F33" s="108">
        <v>6.0</v>
      </c>
      <c r="G33" s="109">
        <f t="shared" si="1"/>
        <v>6</v>
      </c>
      <c r="H33" s="108">
        <v>7.0</v>
      </c>
      <c r="I33" s="108">
        <v>7.0</v>
      </c>
      <c r="J33" s="108">
        <v>7.0</v>
      </c>
      <c r="K33" s="108">
        <v>7.0</v>
      </c>
      <c r="L33" s="109">
        <f t="shared" si="2"/>
        <v>7</v>
      </c>
      <c r="M33" s="108">
        <v>6.0</v>
      </c>
      <c r="N33" s="108">
        <v>6.0</v>
      </c>
      <c r="O33" s="108">
        <v>6.0</v>
      </c>
      <c r="P33" s="108">
        <v>6.0</v>
      </c>
      <c r="Q33" s="109">
        <f t="shared" si="3"/>
        <v>6</v>
      </c>
      <c r="R33" s="110">
        <f t="shared" si="4"/>
        <v>6.33</v>
      </c>
      <c r="S33" s="111">
        <v>6.0</v>
      </c>
      <c r="T33" s="112">
        <f t="shared" si="5"/>
        <v>6.16</v>
      </c>
      <c r="U33" s="86"/>
      <c r="V33" s="9"/>
    </row>
    <row r="34">
      <c r="A34" s="7">
        <v>27.0</v>
      </c>
      <c r="B34" s="8" t="str">
        <f>INDIRECT("Alumnos!B34")
</f>
        <v>Sebastián Ríos</v>
      </c>
      <c r="C34" s="108">
        <v>6.0</v>
      </c>
      <c r="D34" s="108">
        <v>6.0</v>
      </c>
      <c r="E34" s="108">
        <v>6.0</v>
      </c>
      <c r="F34" s="108">
        <v>6.0</v>
      </c>
      <c r="G34" s="109">
        <f t="shared" si="1"/>
        <v>6</v>
      </c>
      <c r="H34" s="108">
        <v>7.0</v>
      </c>
      <c r="I34" s="108">
        <v>7.0</v>
      </c>
      <c r="J34" s="108">
        <v>7.0</v>
      </c>
      <c r="K34" s="108">
        <v>7.0</v>
      </c>
      <c r="L34" s="109">
        <f t="shared" si="2"/>
        <v>7</v>
      </c>
      <c r="M34" s="108">
        <v>6.0</v>
      </c>
      <c r="N34" s="108">
        <v>6.0</v>
      </c>
      <c r="O34" s="108">
        <v>6.0</v>
      </c>
      <c r="P34" s="108">
        <v>6.0</v>
      </c>
      <c r="Q34" s="109">
        <f t="shared" si="3"/>
        <v>6</v>
      </c>
      <c r="R34" s="110">
        <f t="shared" si="4"/>
        <v>6.33</v>
      </c>
      <c r="S34" s="111">
        <v>6.0</v>
      </c>
      <c r="T34" s="112">
        <f t="shared" si="5"/>
        <v>6.16</v>
      </c>
      <c r="U34" s="86"/>
      <c r="V34" s="9"/>
    </row>
    <row r="35">
      <c r="A35" s="7">
        <v>28.0</v>
      </c>
      <c r="B35" s="8" t="str">
        <f>INDIRECT("Alumnos!B35")
</f>
        <v>Natalia Herrera</v>
      </c>
      <c r="C35" s="108">
        <v>6.0</v>
      </c>
      <c r="D35" s="108">
        <v>6.0</v>
      </c>
      <c r="E35" s="108">
        <v>6.0</v>
      </c>
      <c r="F35" s="108">
        <v>6.0</v>
      </c>
      <c r="G35" s="109">
        <f t="shared" si="1"/>
        <v>6</v>
      </c>
      <c r="H35" s="108">
        <v>7.0</v>
      </c>
      <c r="I35" s="108">
        <v>7.0</v>
      </c>
      <c r="J35" s="108">
        <v>7.0</v>
      </c>
      <c r="K35" s="108">
        <v>7.0</v>
      </c>
      <c r="L35" s="109">
        <f t="shared" si="2"/>
        <v>7</v>
      </c>
      <c r="M35" s="108">
        <v>6.0</v>
      </c>
      <c r="N35" s="108">
        <v>6.0</v>
      </c>
      <c r="O35" s="108">
        <v>6.0</v>
      </c>
      <c r="P35" s="108">
        <v>6.0</v>
      </c>
      <c r="Q35" s="109">
        <f t="shared" si="3"/>
        <v>6</v>
      </c>
      <c r="R35" s="110">
        <f t="shared" si="4"/>
        <v>6.33</v>
      </c>
      <c r="S35" s="111">
        <v>6.0</v>
      </c>
      <c r="T35" s="112">
        <f t="shared" si="5"/>
        <v>6.16</v>
      </c>
      <c r="U35" s="86"/>
      <c r="V35" s="9"/>
    </row>
    <row r="36">
      <c r="A36" s="7">
        <v>29.0</v>
      </c>
      <c r="B36" s="8" t="str">
        <f>INDIRECT("Alumnos!b36")
</f>
        <v>Martín Castillo</v>
      </c>
      <c r="C36" s="108">
        <v>6.0</v>
      </c>
      <c r="D36" s="108">
        <v>6.0</v>
      </c>
      <c r="E36" s="108">
        <v>6.0</v>
      </c>
      <c r="F36" s="108">
        <v>6.0</v>
      </c>
      <c r="G36" s="109">
        <f t="shared" si="1"/>
        <v>6</v>
      </c>
      <c r="H36" s="108">
        <v>7.0</v>
      </c>
      <c r="I36" s="108">
        <v>7.0</v>
      </c>
      <c r="J36" s="108">
        <v>7.0</v>
      </c>
      <c r="K36" s="108">
        <v>7.0</v>
      </c>
      <c r="L36" s="109">
        <f t="shared" si="2"/>
        <v>7</v>
      </c>
      <c r="M36" s="108">
        <v>6.0</v>
      </c>
      <c r="N36" s="108">
        <v>6.0</v>
      </c>
      <c r="O36" s="108">
        <v>6.0</v>
      </c>
      <c r="P36" s="108">
        <v>6.0</v>
      </c>
      <c r="Q36" s="109">
        <f t="shared" si="3"/>
        <v>6</v>
      </c>
      <c r="R36" s="110">
        <f t="shared" si="4"/>
        <v>6.33</v>
      </c>
      <c r="S36" s="111">
        <v>6.0</v>
      </c>
      <c r="T36" s="112">
        <f t="shared" si="5"/>
        <v>6.16</v>
      </c>
      <c r="U36" s="86"/>
      <c r="V36" s="9"/>
    </row>
    <row r="37">
      <c r="A37" s="7">
        <v>30.0</v>
      </c>
      <c r="B37" s="8" t="str">
        <f>INDIRECT("Alumnos!B37")
</f>
        <v>Carolina Flores</v>
      </c>
      <c r="C37" s="108">
        <v>6.0</v>
      </c>
      <c r="D37" s="108">
        <v>6.0</v>
      </c>
      <c r="E37" s="108">
        <v>6.0</v>
      </c>
      <c r="F37" s="108">
        <v>6.0</v>
      </c>
      <c r="G37" s="109">
        <f t="shared" si="1"/>
        <v>6</v>
      </c>
      <c r="H37" s="108">
        <v>7.0</v>
      </c>
      <c r="I37" s="108">
        <v>7.0</v>
      </c>
      <c r="J37" s="108">
        <v>7.0</v>
      </c>
      <c r="K37" s="108">
        <v>7.0</v>
      </c>
      <c r="L37" s="109">
        <f t="shared" si="2"/>
        <v>7</v>
      </c>
      <c r="M37" s="108">
        <v>6.0</v>
      </c>
      <c r="N37" s="108">
        <v>6.0</v>
      </c>
      <c r="O37" s="108">
        <v>6.0</v>
      </c>
      <c r="P37" s="108">
        <v>6.0</v>
      </c>
      <c r="Q37" s="109">
        <f t="shared" si="3"/>
        <v>6</v>
      </c>
      <c r="R37" s="110">
        <f t="shared" si="4"/>
        <v>6.33</v>
      </c>
      <c r="S37" s="111">
        <v>6.0</v>
      </c>
      <c r="T37" s="112">
        <f t="shared" si="5"/>
        <v>6.16</v>
      </c>
      <c r="U37" s="86"/>
      <c r="V37" s="9"/>
    </row>
    <row r="38">
      <c r="A38" s="7">
        <v>31.0</v>
      </c>
      <c r="B38" s="8" t="str">
        <f>INDIRECT("Alumnos!B38")
</f>
        <v>Diego Bravo</v>
      </c>
      <c r="C38" s="108">
        <v>6.0</v>
      </c>
      <c r="D38" s="108">
        <v>6.0</v>
      </c>
      <c r="E38" s="108">
        <v>6.0</v>
      </c>
      <c r="F38" s="108">
        <v>6.0</v>
      </c>
      <c r="G38" s="109">
        <f t="shared" si="1"/>
        <v>6</v>
      </c>
      <c r="H38" s="108">
        <v>7.0</v>
      </c>
      <c r="I38" s="108">
        <v>7.0</v>
      </c>
      <c r="J38" s="108">
        <v>7.0</v>
      </c>
      <c r="K38" s="108">
        <v>7.0</v>
      </c>
      <c r="L38" s="109">
        <f t="shared" si="2"/>
        <v>7</v>
      </c>
      <c r="M38" s="108">
        <v>6.0</v>
      </c>
      <c r="N38" s="108">
        <v>6.0</v>
      </c>
      <c r="O38" s="108">
        <v>6.0</v>
      </c>
      <c r="P38" s="108">
        <v>6.0</v>
      </c>
      <c r="Q38" s="109">
        <f t="shared" si="3"/>
        <v>6</v>
      </c>
      <c r="R38" s="110">
        <f t="shared" si="4"/>
        <v>6.33</v>
      </c>
      <c r="S38" s="111">
        <v>6.0</v>
      </c>
      <c r="T38" s="112">
        <f t="shared" si="5"/>
        <v>6.16</v>
      </c>
      <c r="U38" s="86"/>
      <c r="V38" s="9"/>
    </row>
    <row r="39">
      <c r="A39" s="7">
        <v>32.0</v>
      </c>
      <c r="B39" s="8" t="str">
        <f>INDIRECT("Alumnos!B39")
</f>
        <v>Antonia Salazar</v>
      </c>
      <c r="C39" s="108">
        <v>6.0</v>
      </c>
      <c r="D39" s="108">
        <v>6.0</v>
      </c>
      <c r="E39" s="108">
        <v>6.0</v>
      </c>
      <c r="F39" s="108">
        <v>6.0</v>
      </c>
      <c r="G39" s="109">
        <f t="shared" si="1"/>
        <v>6</v>
      </c>
      <c r="H39" s="108">
        <v>7.0</v>
      </c>
      <c r="I39" s="108">
        <v>7.0</v>
      </c>
      <c r="J39" s="108">
        <v>7.0</v>
      </c>
      <c r="K39" s="108">
        <v>7.0</v>
      </c>
      <c r="L39" s="109">
        <f t="shared" si="2"/>
        <v>7</v>
      </c>
      <c r="M39" s="108">
        <v>6.0</v>
      </c>
      <c r="N39" s="108">
        <v>6.0</v>
      </c>
      <c r="O39" s="108">
        <v>6.0</v>
      </c>
      <c r="P39" s="108">
        <v>6.0</v>
      </c>
      <c r="Q39" s="109">
        <f t="shared" si="3"/>
        <v>6</v>
      </c>
      <c r="R39" s="110">
        <f t="shared" si="4"/>
        <v>6.33</v>
      </c>
      <c r="S39" s="111">
        <v>6.0</v>
      </c>
      <c r="T39" s="112">
        <f t="shared" si="5"/>
        <v>6.16</v>
      </c>
      <c r="U39" s="86"/>
      <c r="V39" s="9"/>
    </row>
    <row r="40">
      <c r="A40" s="7">
        <v>33.0</v>
      </c>
      <c r="B40" s="8" t="str">
        <f>INDIRECT("Alumnos!B40")
</f>
        <v>Ignacio Gómez</v>
      </c>
      <c r="C40" s="108">
        <v>10.0</v>
      </c>
      <c r="D40" s="108">
        <v>6.0</v>
      </c>
      <c r="E40" s="108">
        <v>6.0</v>
      </c>
      <c r="F40" s="108">
        <v>6.0</v>
      </c>
      <c r="G40" s="109">
        <f t="shared" si="1"/>
        <v>7</v>
      </c>
      <c r="H40" s="108">
        <v>7.0</v>
      </c>
      <c r="I40" s="108">
        <v>7.0</v>
      </c>
      <c r="J40" s="108">
        <v>7.0</v>
      </c>
      <c r="K40" s="108">
        <v>7.0</v>
      </c>
      <c r="L40" s="109">
        <f t="shared" si="2"/>
        <v>7</v>
      </c>
      <c r="M40" s="108">
        <v>6.0</v>
      </c>
      <c r="N40" s="108">
        <v>6.0</v>
      </c>
      <c r="O40" s="108">
        <v>6.0</v>
      </c>
      <c r="P40" s="108">
        <v>6.0</v>
      </c>
      <c r="Q40" s="109">
        <f t="shared" si="3"/>
        <v>6</v>
      </c>
      <c r="R40" s="110">
        <f t="shared" si="4"/>
        <v>6.66</v>
      </c>
      <c r="S40" s="111">
        <v>6.0</v>
      </c>
      <c r="T40" s="112">
        <f t="shared" si="5"/>
        <v>6.33</v>
      </c>
      <c r="U40" s="86"/>
      <c r="V40" s="9"/>
    </row>
    <row r="4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9"/>
    </row>
    <row r="42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9"/>
    </row>
    <row r="43">
      <c r="A43" s="85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5"/>
      <c r="Q43" s="86"/>
      <c r="R43" s="86"/>
      <c r="S43" s="86"/>
      <c r="T43" s="86"/>
      <c r="U43" s="86"/>
      <c r="V43" s="9"/>
    </row>
    <row r="44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9"/>
    </row>
    <row r="45">
      <c r="A45" s="85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5"/>
      <c r="P45" s="86"/>
      <c r="Q45" s="86"/>
      <c r="R45" s="86"/>
      <c r="S45" s="86"/>
      <c r="T45" s="86"/>
      <c r="U45" s="86"/>
      <c r="V45" s="9"/>
    </row>
    <row r="46">
      <c r="A46" s="85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5"/>
      <c r="P46" s="86"/>
      <c r="Q46" s="86"/>
      <c r="R46" s="86"/>
      <c r="S46" s="86"/>
      <c r="T46" s="86"/>
      <c r="U46" s="86"/>
      <c r="V46" s="9"/>
    </row>
    <row r="47">
      <c r="A47" s="85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5"/>
      <c r="P47" s="86"/>
      <c r="Q47" s="86"/>
      <c r="R47" s="86"/>
      <c r="S47" s="86"/>
      <c r="T47" s="86"/>
      <c r="U47" s="86"/>
      <c r="V47" s="9"/>
    </row>
    <row r="48">
      <c r="A48" s="85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5"/>
      <c r="P48" s="86"/>
      <c r="Q48" s="86"/>
      <c r="R48" s="86"/>
      <c r="S48" s="86"/>
      <c r="T48" s="86"/>
      <c r="U48" s="86"/>
      <c r="V48" s="9"/>
    </row>
    <row r="49">
      <c r="A49" s="85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5"/>
      <c r="P49" s="86"/>
      <c r="Q49" s="86"/>
      <c r="R49" s="86"/>
      <c r="S49" s="86"/>
      <c r="T49" s="86"/>
      <c r="U49" s="86"/>
      <c r="V49" s="9"/>
    </row>
    <row r="50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5"/>
      <c r="Q50" s="86"/>
      <c r="R50" s="86"/>
      <c r="S50" s="86"/>
      <c r="T50" s="86"/>
      <c r="U50" s="86"/>
      <c r="V50" s="9"/>
    </row>
    <row r="51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9"/>
    </row>
    <row r="52">
      <c r="A52" s="85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5"/>
      <c r="P52" s="86"/>
      <c r="Q52" s="86"/>
      <c r="R52" s="86"/>
      <c r="S52" s="86"/>
      <c r="T52" s="86"/>
      <c r="U52" s="86"/>
      <c r="V52" s="9"/>
    </row>
    <row r="53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9"/>
    </row>
    <row r="54">
      <c r="A54" s="85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9"/>
    </row>
    <row r="55">
      <c r="A55" s="85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9"/>
    </row>
    <row r="56">
      <c r="A56" s="85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9"/>
    </row>
    <row r="57">
      <c r="A57" s="85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9"/>
    </row>
    <row r="58">
      <c r="A58" s="85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9"/>
    </row>
    <row r="59">
      <c r="A59" s="85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9"/>
    </row>
    <row r="60">
      <c r="A60" s="85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5"/>
      <c r="P60" s="86"/>
      <c r="Q60" s="86"/>
      <c r="R60" s="86"/>
      <c r="S60" s="86"/>
      <c r="T60" s="86"/>
      <c r="U60" s="86"/>
      <c r="V60" s="9"/>
    </row>
    <row r="61">
      <c r="A61" s="85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9"/>
    </row>
    <row r="62">
      <c r="A62" s="85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9"/>
    </row>
    <row r="63">
      <c r="A63" s="85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9"/>
    </row>
    <row r="64">
      <c r="A64" s="85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9"/>
    </row>
    <row r="65">
      <c r="A65" s="85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9"/>
    </row>
    <row r="66">
      <c r="A66" s="85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9"/>
    </row>
    <row r="67">
      <c r="A67" s="85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5"/>
      <c r="P67" s="86"/>
      <c r="Q67" s="86"/>
      <c r="R67" s="86"/>
      <c r="S67" s="86"/>
      <c r="T67" s="86"/>
      <c r="U67" s="86"/>
      <c r="V67" s="9"/>
    </row>
    <row r="68">
      <c r="A68" s="85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9"/>
    </row>
    <row r="69">
      <c r="A69" s="10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10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10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10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10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10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10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1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10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10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10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1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10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10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10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10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10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10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10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10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10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10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10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1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1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1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10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10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10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1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10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10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10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10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10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10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10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1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1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10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10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10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10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10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10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10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1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1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1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1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1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1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1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1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1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1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1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1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1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1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1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1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1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1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1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1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1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1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1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1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1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1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1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1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10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10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10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10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10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10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10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10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10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10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1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1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1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1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1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1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1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1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1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1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1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1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1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1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1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1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1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1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1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1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1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1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1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1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1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1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1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1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10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10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10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10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10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10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10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10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10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10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1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1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10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10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10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10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10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10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10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10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10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10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10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10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10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10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10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10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10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10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10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1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10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10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10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10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1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1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1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1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1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1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1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1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1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1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1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1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1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1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1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1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1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1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1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1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1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1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1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1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1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1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1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1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1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1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1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1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1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1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1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1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1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1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1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1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1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1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1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1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1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1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1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1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1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1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1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1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1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1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1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1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1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1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1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1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1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1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1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1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1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1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1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1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1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1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1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1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1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1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1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1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1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1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1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1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1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1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1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1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1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1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1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1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1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1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1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1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1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1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1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1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1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1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1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1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1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1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1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1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1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1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1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1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1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1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1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1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1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1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1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1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1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1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1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1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1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1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1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1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1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1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1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1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1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1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1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1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1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1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1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1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1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1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1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1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1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1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1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1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1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1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1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1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1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1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1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1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1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1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1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1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1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1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1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1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1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1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1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1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1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1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1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1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1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1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1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1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1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1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1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1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1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1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1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1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1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1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1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1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1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1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1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1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1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1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1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1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1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1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1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1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1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1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1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1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1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1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1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1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1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1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1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1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1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1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6">
    <mergeCell ref="B6:B7"/>
    <mergeCell ref="C6:F7"/>
    <mergeCell ref="G6:G7"/>
    <mergeCell ref="H6:K7"/>
    <mergeCell ref="L6:L7"/>
    <mergeCell ref="M6:P7"/>
    <mergeCell ref="Q6:Q7"/>
    <mergeCell ref="S6:S7"/>
    <mergeCell ref="A1:B3"/>
    <mergeCell ref="C1:J2"/>
    <mergeCell ref="C3:T3"/>
    <mergeCell ref="A4:E4"/>
    <mergeCell ref="F4:M4"/>
    <mergeCell ref="Q4:T4"/>
    <mergeCell ref="A6:A7"/>
    <mergeCell ref="T6:T7"/>
  </mergeCells>
  <conditionalFormatting sqref="R8:R40">
    <cfRule type="cellIs" dxfId="3" priority="1" operator="between">
      <formula>0</formula>
      <formula>3.99</formula>
    </cfRule>
  </conditionalFormatting>
  <conditionalFormatting sqref="R8:R40">
    <cfRule type="cellIs" dxfId="1" priority="2" operator="between">
      <formula>3.99</formula>
      <formula>5.99</formula>
    </cfRule>
  </conditionalFormatting>
  <conditionalFormatting sqref="R8:R40">
    <cfRule type="cellIs" dxfId="4" priority="3" operator="between">
      <formula>5.99</formula>
      <formula>10</formula>
    </cfRule>
  </conditionalFormatting>
  <conditionalFormatting sqref="S8:T40">
    <cfRule type="cellIs" dxfId="5" priority="4" operator="between">
      <formula>0</formula>
      <formula>3.99</formula>
    </cfRule>
  </conditionalFormatting>
  <conditionalFormatting sqref="S8:T40">
    <cfRule type="cellIs" dxfId="1" priority="5" operator="between">
      <formula>3.99</formula>
      <formula>5.99</formula>
    </cfRule>
  </conditionalFormatting>
  <conditionalFormatting sqref="S8:T40">
    <cfRule type="cellIs" dxfId="2" priority="6" operator="between">
      <formula>6</formula>
      <formula>10</formula>
    </cfRule>
  </conditionalFormatting>
  <conditionalFormatting sqref="S8:T40">
    <cfRule type="cellIs" dxfId="5" priority="7" operator="greaterThan">
      <formula>10</formula>
    </cfRule>
  </conditionalFormatting>
  <conditionalFormatting sqref="G8:G41 L8:L41 Q8:Q41">
    <cfRule type="cellIs" dxfId="0" priority="8" operator="between">
      <formula>0</formula>
      <formula>3.9</formula>
    </cfRule>
  </conditionalFormatting>
  <conditionalFormatting sqref="G8:G41 L8:L41 Q8:Q41">
    <cfRule type="cellIs" dxfId="1" priority="9" operator="between">
      <formula>3.9</formula>
      <formula>5.9</formula>
    </cfRule>
  </conditionalFormatting>
  <conditionalFormatting sqref="G8:G41 L8:L41 Q8:Q41">
    <cfRule type="cellIs" dxfId="2" priority="10" operator="between">
      <formula>5.9</formula>
      <formula>10</formula>
    </cfRule>
  </conditionalFormatting>
  <drawing r:id="rId1"/>
</worksheet>
</file>