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claracfocom-my.sharepoint.com/personal/hannah_claracfo_com/Documents/Business/03 Marketing &amp; Sales/Webinars &amp; Events/Profit Workshop - Dec 1 '21/"/>
    </mc:Choice>
  </mc:AlternateContent>
  <xr:revisionPtr revIDLastSave="42" documentId="13_ncr:1_{732608FC-C19D-4FDA-AAFF-88A27FB16451}" xr6:coauthVersionLast="47" xr6:coauthVersionMax="47" xr10:uidLastSave="{61C01CA1-DC2F-4027-BC45-B58EBE798DAD}"/>
  <bookViews>
    <workbookView xWindow="38290" yWindow="-110" windowWidth="38620" windowHeight="21220" xr2:uid="{3A057AA1-C87E-4C24-B644-33E8EA42FC0B}"/>
  </bookViews>
  <sheets>
    <sheet name="Goals " sheetId="2" r:id="rId1"/>
    <sheet name="Profit Needs" sheetId="1" r:id="rId2"/>
    <sheet name="Example Profit Plan" sheetId="4"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4" l="1"/>
  <c r="T18" i="4"/>
  <c r="Q1" i="4"/>
  <c r="R1" i="4" s="1"/>
  <c r="M13" i="4"/>
  <c r="T10" i="4"/>
  <c r="M12" i="4"/>
  <c r="U30" i="4"/>
  <c r="V30" i="4"/>
  <c r="V32" i="4" s="1"/>
  <c r="W30" i="4"/>
  <c r="X30" i="4"/>
  <c r="Y30" i="4"/>
  <c r="Y32" i="4" s="1"/>
  <c r="Z30" i="4"/>
  <c r="AA30" i="4"/>
  <c r="AB30" i="4"/>
  <c r="AB32" i="4" s="1"/>
  <c r="AC30" i="4"/>
  <c r="AD30" i="4"/>
  <c r="AD32" i="4" s="1"/>
  <c r="AE30" i="4"/>
  <c r="AE32" i="4" s="1"/>
  <c r="U31" i="4"/>
  <c r="V31" i="4"/>
  <c r="W31" i="4"/>
  <c r="W32" i="4" s="1"/>
  <c r="X31" i="4"/>
  <c r="Y31" i="4"/>
  <c r="Z31" i="4"/>
  <c r="Z32" i="4" s="1"/>
  <c r="AA31" i="4"/>
  <c r="AB31" i="4"/>
  <c r="AC31" i="4"/>
  <c r="AD31" i="4"/>
  <c r="AE31" i="4"/>
  <c r="U32" i="4"/>
  <c r="X32" i="4"/>
  <c r="AA32" i="4"/>
  <c r="AC32" i="4"/>
  <c r="T32" i="4"/>
  <c r="T30" i="4"/>
  <c r="AF30" i="4" s="1"/>
  <c r="T31" i="4"/>
  <c r="AE49" i="4"/>
  <c r="Z49" i="4"/>
  <c r="U49" i="4"/>
  <c r="R49" i="4"/>
  <c r="AE48" i="4"/>
  <c r="AD48" i="4"/>
  <c r="AC48" i="4"/>
  <c r="AB48" i="4"/>
  <c r="AB49" i="4" s="1"/>
  <c r="AA48" i="4"/>
  <c r="Z48" i="4"/>
  <c r="Y48" i="4"/>
  <c r="X48" i="4"/>
  <c r="W48" i="4"/>
  <c r="V48" i="4"/>
  <c r="U48" i="4"/>
  <c r="T48" i="4"/>
  <c r="T49" i="4" s="1"/>
  <c r="R48" i="4"/>
  <c r="Q48" i="4"/>
  <c r="K48" i="4"/>
  <c r="K49" i="4" s="1"/>
  <c r="J48" i="4"/>
  <c r="I48" i="4"/>
  <c r="H48" i="4"/>
  <c r="G48" i="4"/>
  <c r="F48" i="4"/>
  <c r="E48" i="4"/>
  <c r="D48" i="4"/>
  <c r="C48" i="4"/>
  <c r="AF47" i="4"/>
  <c r="B47" i="4"/>
  <c r="B48" i="4" s="1"/>
  <c r="L48" i="4" s="1"/>
  <c r="AF46" i="4"/>
  <c r="AE45" i="4"/>
  <c r="AD45" i="4"/>
  <c r="AD49" i="4" s="1"/>
  <c r="AC45" i="4"/>
  <c r="AC49" i="4" s="1"/>
  <c r="AB45" i="4"/>
  <c r="AA45" i="4"/>
  <c r="AA49" i="4" s="1"/>
  <c r="Z45" i="4"/>
  <c r="Y45" i="4"/>
  <c r="Y49" i="4" s="1"/>
  <c r="X45" i="4"/>
  <c r="X49" i="4" s="1"/>
  <c r="W45" i="4"/>
  <c r="W49" i="4" s="1"/>
  <c r="V45" i="4"/>
  <c r="V49" i="4" s="1"/>
  <c r="U45" i="4"/>
  <c r="T45" i="4"/>
  <c r="AF45" i="4" s="1"/>
  <c r="R45" i="4"/>
  <c r="Q45" i="4"/>
  <c r="Q49" i="4" s="1"/>
  <c r="K45" i="4"/>
  <c r="G45" i="4"/>
  <c r="G49" i="4" s="1"/>
  <c r="F45" i="4"/>
  <c r="F49" i="4" s="1"/>
  <c r="E45" i="4"/>
  <c r="E49" i="4" s="1"/>
  <c r="AF44" i="4"/>
  <c r="L44" i="4"/>
  <c r="F44" i="4"/>
  <c r="AF43" i="4"/>
  <c r="K43" i="4"/>
  <c r="J43" i="4"/>
  <c r="J45" i="4" s="1"/>
  <c r="J49" i="4" s="1"/>
  <c r="I43" i="4"/>
  <c r="I45" i="4" s="1"/>
  <c r="I49" i="4" s="1"/>
  <c r="H43" i="4"/>
  <c r="H45" i="4" s="1"/>
  <c r="H49" i="4" s="1"/>
  <c r="G43" i="4"/>
  <c r="F43" i="4"/>
  <c r="E43" i="4"/>
  <c r="D43" i="4"/>
  <c r="D45" i="4" s="1"/>
  <c r="D49" i="4" s="1"/>
  <c r="C43" i="4"/>
  <c r="C45" i="4" s="1"/>
  <c r="C49" i="4" s="1"/>
  <c r="B43" i="4"/>
  <c r="B45" i="4" s="1"/>
  <c r="AF42" i="4"/>
  <c r="AF39" i="4"/>
  <c r="K39" i="4"/>
  <c r="J39" i="4"/>
  <c r="I39" i="4"/>
  <c r="G39" i="4"/>
  <c r="B39" i="4"/>
  <c r="L39" i="4" s="1"/>
  <c r="AF38" i="4"/>
  <c r="K38" i="4"/>
  <c r="J38" i="4"/>
  <c r="I38" i="4"/>
  <c r="H38" i="4"/>
  <c r="G38" i="4"/>
  <c r="F38" i="4"/>
  <c r="E38" i="4"/>
  <c r="D38" i="4"/>
  <c r="C38" i="4"/>
  <c r="B38" i="4"/>
  <c r="L38" i="4" s="1"/>
  <c r="AB37" i="4"/>
  <c r="Y37" i="4"/>
  <c r="X37" i="4"/>
  <c r="T37" i="4"/>
  <c r="AF37" i="4" s="1"/>
  <c r="L37" i="4"/>
  <c r="J37" i="4"/>
  <c r="G37" i="4"/>
  <c r="F37" i="4"/>
  <c r="B37" i="4"/>
  <c r="AF36" i="4"/>
  <c r="K36" i="4"/>
  <c r="J36" i="4"/>
  <c r="I36" i="4"/>
  <c r="H36" i="4"/>
  <c r="G36" i="4"/>
  <c r="F36" i="4"/>
  <c r="E36" i="4"/>
  <c r="D36" i="4"/>
  <c r="C36" i="4"/>
  <c r="B36" i="4"/>
  <c r="L36" i="4" s="1"/>
  <c r="AF35" i="4"/>
  <c r="H35" i="4"/>
  <c r="L35" i="4" s="1"/>
  <c r="G35" i="4"/>
  <c r="AF34" i="4"/>
  <c r="K34" i="4"/>
  <c r="J34" i="4"/>
  <c r="L34" i="4" s="1"/>
  <c r="I34" i="4"/>
  <c r="H34" i="4"/>
  <c r="G34" i="4"/>
  <c r="F34" i="4"/>
  <c r="E34" i="4"/>
  <c r="D34" i="4"/>
  <c r="B34" i="4"/>
  <c r="AA33" i="4"/>
  <c r="X33" i="4"/>
  <c r="W33" i="4"/>
  <c r="V33" i="4"/>
  <c r="AF33" i="4" s="1"/>
  <c r="I33" i="4"/>
  <c r="F33" i="4"/>
  <c r="E33" i="4"/>
  <c r="D33" i="4"/>
  <c r="L33" i="4" s="1"/>
  <c r="I32" i="4"/>
  <c r="R31" i="4"/>
  <c r="Q31" i="4"/>
  <c r="K31" i="4"/>
  <c r="K32" i="4" s="1"/>
  <c r="J31" i="4"/>
  <c r="I31" i="4"/>
  <c r="H31" i="4"/>
  <c r="G31" i="4"/>
  <c r="F31" i="4"/>
  <c r="L31" i="4" s="1"/>
  <c r="E31" i="4"/>
  <c r="D31" i="4"/>
  <c r="C31" i="4"/>
  <c r="B31" i="4"/>
  <c r="R30" i="4"/>
  <c r="Q30" i="4"/>
  <c r="K30" i="4"/>
  <c r="J30" i="4"/>
  <c r="I30" i="4"/>
  <c r="H30" i="4"/>
  <c r="G30" i="4"/>
  <c r="F30" i="4"/>
  <c r="E30" i="4"/>
  <c r="D30" i="4"/>
  <c r="C30" i="4"/>
  <c r="B30" i="4"/>
  <c r="L30" i="4" s="1"/>
  <c r="M30" i="4" s="1"/>
  <c r="AC29" i="4"/>
  <c r="AB29" i="4"/>
  <c r="AA29" i="4"/>
  <c r="Z29" i="4"/>
  <c r="V29" i="4"/>
  <c r="U29" i="4"/>
  <c r="K29" i="4"/>
  <c r="J29" i="4"/>
  <c r="I29" i="4"/>
  <c r="E29" i="4"/>
  <c r="E32" i="4" s="1"/>
  <c r="D29" i="4"/>
  <c r="D32" i="4" s="1"/>
  <c r="AE28" i="4"/>
  <c r="AE29" i="4" s="1"/>
  <c r="AD28" i="4"/>
  <c r="AD29" i="4" s="1"/>
  <c r="AC28" i="4"/>
  <c r="AB28" i="4"/>
  <c r="AA28" i="4"/>
  <c r="Z28" i="4"/>
  <c r="Y28" i="4"/>
  <c r="Y29" i="4" s="1"/>
  <c r="X28" i="4"/>
  <c r="X29" i="4" s="1"/>
  <c r="W28" i="4"/>
  <c r="W29" i="4" s="1"/>
  <c r="V28" i="4"/>
  <c r="U28" i="4"/>
  <c r="T28" i="4"/>
  <c r="T29" i="4" s="1"/>
  <c r="R28" i="4"/>
  <c r="R29" i="4" s="1"/>
  <c r="R32" i="4" s="1"/>
  <c r="Q28" i="4"/>
  <c r="Q29" i="4" s="1"/>
  <c r="Q32" i="4" s="1"/>
  <c r="K28" i="4"/>
  <c r="J28" i="4"/>
  <c r="I28" i="4"/>
  <c r="H28" i="4"/>
  <c r="H29" i="4" s="1"/>
  <c r="G28" i="4"/>
  <c r="G29" i="4" s="1"/>
  <c r="F28" i="4"/>
  <c r="F29" i="4" s="1"/>
  <c r="F32" i="4" s="1"/>
  <c r="E28" i="4"/>
  <c r="D28" i="4"/>
  <c r="C28" i="4"/>
  <c r="C29" i="4" s="1"/>
  <c r="B28" i="4"/>
  <c r="B29" i="4" s="1"/>
  <c r="AF27" i="4"/>
  <c r="L27" i="4"/>
  <c r="AF26" i="4"/>
  <c r="K26" i="4"/>
  <c r="J26" i="4"/>
  <c r="J32" i="4" s="1"/>
  <c r="I26" i="4"/>
  <c r="H26" i="4"/>
  <c r="G26" i="4"/>
  <c r="G32" i="4" s="1"/>
  <c r="F26" i="4"/>
  <c r="E26" i="4"/>
  <c r="D26" i="4"/>
  <c r="C26" i="4"/>
  <c r="C32" i="4" s="1"/>
  <c r="C40" i="4" s="1"/>
  <c r="B26" i="4"/>
  <c r="B32" i="4" s="1"/>
  <c r="AF25" i="4"/>
  <c r="J25" i="4"/>
  <c r="G25" i="4"/>
  <c r="L25" i="4" s="1"/>
  <c r="AF24" i="4"/>
  <c r="L24" i="4"/>
  <c r="K24" i="4"/>
  <c r="I24" i="4"/>
  <c r="H24" i="4"/>
  <c r="G24" i="4"/>
  <c r="F24" i="4"/>
  <c r="B24" i="4"/>
  <c r="AF23" i="4"/>
  <c r="J23" i="4"/>
  <c r="H23" i="4"/>
  <c r="F23" i="4"/>
  <c r="L23" i="4" s="1"/>
  <c r="AF22" i="4"/>
  <c r="X22" i="4"/>
  <c r="K22" i="4"/>
  <c r="J22" i="4"/>
  <c r="I22" i="4"/>
  <c r="H22" i="4"/>
  <c r="G22" i="4"/>
  <c r="F22" i="4"/>
  <c r="E22" i="4"/>
  <c r="D22" i="4"/>
  <c r="C22" i="4"/>
  <c r="B22" i="4"/>
  <c r="L22" i="4" s="1"/>
  <c r="AF21" i="4"/>
  <c r="G21" i="4"/>
  <c r="L21" i="4" s="1"/>
  <c r="D20" i="4"/>
  <c r="L20" i="4" s="1"/>
  <c r="V20" i="4" s="1"/>
  <c r="AF20" i="4" s="1"/>
  <c r="C20" i="4"/>
  <c r="AF19" i="4"/>
  <c r="L19" i="4"/>
  <c r="K19" i="4"/>
  <c r="Z18" i="4"/>
  <c r="Y18" i="4"/>
  <c r="X18" i="4"/>
  <c r="V18" i="4"/>
  <c r="K18" i="4"/>
  <c r="K40" i="4" s="1"/>
  <c r="J18" i="4"/>
  <c r="J40" i="4" s="1"/>
  <c r="I18" i="4"/>
  <c r="I40" i="4" s="1"/>
  <c r="H18" i="4"/>
  <c r="G18" i="4"/>
  <c r="F18" i="4"/>
  <c r="E18" i="4"/>
  <c r="E40" i="4" s="1"/>
  <c r="D18" i="4"/>
  <c r="L18" i="4" s="1"/>
  <c r="B18" i="4"/>
  <c r="AF17" i="4"/>
  <c r="H17" i="4"/>
  <c r="F17" i="4"/>
  <c r="L17" i="4" s="1"/>
  <c r="H14" i="4"/>
  <c r="G14" i="4"/>
  <c r="AE13" i="4"/>
  <c r="Z13" i="4"/>
  <c r="Y13" i="4"/>
  <c r="X13" i="4"/>
  <c r="U13" i="4"/>
  <c r="T13" i="4"/>
  <c r="R13" i="4"/>
  <c r="K13" i="4"/>
  <c r="J13" i="4"/>
  <c r="H13" i="4"/>
  <c r="F13" i="4"/>
  <c r="F14" i="4" s="1"/>
  <c r="E13" i="4"/>
  <c r="D13" i="4"/>
  <c r="B13" i="4"/>
  <c r="L13" i="4" s="1"/>
  <c r="L12" i="4"/>
  <c r="B12" i="4"/>
  <c r="K11" i="4"/>
  <c r="K14" i="4" s="1"/>
  <c r="J11" i="4"/>
  <c r="J14" i="4" s="1"/>
  <c r="I11" i="4"/>
  <c r="I14" i="4" s="1"/>
  <c r="H11" i="4"/>
  <c r="G11" i="4"/>
  <c r="F11" i="4"/>
  <c r="E11" i="4"/>
  <c r="D11" i="4"/>
  <c r="C11" i="4"/>
  <c r="C14" i="4" s="1"/>
  <c r="B11" i="4"/>
  <c r="L11" i="4" s="1"/>
  <c r="AD10" i="4"/>
  <c r="AB10" i="4"/>
  <c r="Z10" i="4"/>
  <c r="Z14" i="4" s="1"/>
  <c r="Z15" i="4" s="1"/>
  <c r="Y10" i="4"/>
  <c r="Y14" i="4" s="1"/>
  <c r="W10" i="4"/>
  <c r="U10" i="4"/>
  <c r="U14" i="4" s="1"/>
  <c r="U15" i="4" s="1"/>
  <c r="Q10" i="4"/>
  <c r="E10" i="4"/>
  <c r="L10" i="4" s="1"/>
  <c r="D10" i="4"/>
  <c r="D14" i="4" s="1"/>
  <c r="AE8" i="4"/>
  <c r="AE18" i="4" s="1"/>
  <c r="AD8" i="4"/>
  <c r="AD13" i="4" s="1"/>
  <c r="AD14" i="4" s="1"/>
  <c r="AD15" i="4" s="1"/>
  <c r="AC8" i="4"/>
  <c r="AC13" i="4" s="1"/>
  <c r="AB8" i="4"/>
  <c r="AB18" i="4" s="1"/>
  <c r="AA8" i="4"/>
  <c r="Z8" i="4"/>
  <c r="Y8" i="4"/>
  <c r="X8" i="4"/>
  <c r="W8" i="4"/>
  <c r="V8" i="4"/>
  <c r="U8" i="4"/>
  <c r="U18" i="4" s="1"/>
  <c r="T8" i="4"/>
  <c r="R8" i="4"/>
  <c r="R18" i="4" s="1"/>
  <c r="R40" i="4" s="1"/>
  <c r="Q8" i="4"/>
  <c r="Q13" i="4" s="1"/>
  <c r="Q14" i="4" s="1"/>
  <c r="Q15" i="4" s="1"/>
  <c r="F8" i="4"/>
  <c r="F15" i="4" s="1"/>
  <c r="E8" i="4"/>
  <c r="AF7" i="4"/>
  <c r="K7" i="4"/>
  <c r="K8" i="4" s="1"/>
  <c r="K15" i="4" s="1"/>
  <c r="J7" i="4"/>
  <c r="J8" i="4" s="1"/>
  <c r="J15" i="4" s="1"/>
  <c r="I7" i="4"/>
  <c r="I8" i="4" s="1"/>
  <c r="I15" i="4" s="1"/>
  <c r="I41" i="4" s="1"/>
  <c r="I50" i="4" s="1"/>
  <c r="H7" i="4"/>
  <c r="H8" i="4" s="1"/>
  <c r="H15" i="4" s="1"/>
  <c r="G7" i="4"/>
  <c r="G8" i="4" s="1"/>
  <c r="G15" i="4" s="1"/>
  <c r="F7" i="4"/>
  <c r="E7" i="4"/>
  <c r="D7" i="4"/>
  <c r="D8" i="4" s="1"/>
  <c r="D15" i="4" s="1"/>
  <c r="C7" i="4"/>
  <c r="C8" i="4" s="1"/>
  <c r="C15" i="4" s="1"/>
  <c r="C41" i="4" s="1"/>
  <c r="C50" i="4" s="1"/>
  <c r="B7" i="4"/>
  <c r="B8" i="4" s="1"/>
  <c r="D20" i="1"/>
  <c r="E20" i="1" s="1"/>
  <c r="D18" i="1"/>
  <c r="E18" i="1" s="1"/>
  <c r="E12" i="1"/>
  <c r="D12" i="1"/>
  <c r="D6" i="1"/>
  <c r="E6" i="1" s="1"/>
  <c r="Q3" i="4" l="1"/>
  <c r="Q4" i="4" s="1"/>
  <c r="D25" i="1"/>
  <c r="D29" i="1" s="1"/>
  <c r="D27" i="1" s="1"/>
  <c r="E27" i="1" s="1"/>
  <c r="Z40" i="4"/>
  <c r="Z2" i="4" s="1"/>
  <c r="AF31" i="4"/>
  <c r="AE40" i="4"/>
  <c r="V40" i="4"/>
  <c r="Z41" i="4"/>
  <c r="Z50" i="4" s="1"/>
  <c r="Y40" i="4"/>
  <c r="Y2" i="4" s="1"/>
  <c r="Q41" i="4"/>
  <c r="Q50" i="4" s="1"/>
  <c r="AD41" i="4"/>
  <c r="AD50" i="4" s="1"/>
  <c r="H32" i="4"/>
  <c r="U40" i="4"/>
  <c r="U2" i="4" s="1"/>
  <c r="AE2" i="4"/>
  <c r="H41" i="4"/>
  <c r="H50" i="4" s="1"/>
  <c r="X40" i="4"/>
  <c r="X2" i="4" s="1"/>
  <c r="F41" i="4"/>
  <c r="F50" i="4" s="1"/>
  <c r="D41" i="4"/>
  <c r="D50" i="4" s="1"/>
  <c r="L32" i="4"/>
  <c r="J41" i="4"/>
  <c r="J50" i="4" s="1"/>
  <c r="Y15" i="4"/>
  <c r="Y41" i="4" s="1"/>
  <c r="Y50" i="4" s="1"/>
  <c r="AF13" i="4"/>
  <c r="L29" i="4"/>
  <c r="AF29" i="4"/>
  <c r="AF32" i="4"/>
  <c r="AF49" i="4"/>
  <c r="H40" i="4"/>
  <c r="K41" i="4"/>
  <c r="K50" i="4" s="1"/>
  <c r="G40" i="4"/>
  <c r="G41" i="4" s="1"/>
  <c r="G50" i="4" s="1"/>
  <c r="L8" i="4"/>
  <c r="AF10" i="4"/>
  <c r="T14" i="4"/>
  <c r="L45" i="4"/>
  <c r="B49" i="4"/>
  <c r="L49" i="4" s="1"/>
  <c r="T1" i="4"/>
  <c r="E15" i="4"/>
  <c r="E41" i="4" s="1"/>
  <c r="E50" i="4" s="1"/>
  <c r="AB40" i="4"/>
  <c r="V10" i="4"/>
  <c r="V14" i="4" s="1"/>
  <c r="V2" i="4" s="1"/>
  <c r="AA15" i="4"/>
  <c r="B40" i="4"/>
  <c r="L47" i="4"/>
  <c r="L7" i="4"/>
  <c r="X10" i="4"/>
  <c r="X14" i="4" s="1"/>
  <c r="X15" i="4" s="1"/>
  <c r="V13" i="4"/>
  <c r="W18" i="4"/>
  <c r="W40" i="4" s="1"/>
  <c r="D40" i="4"/>
  <c r="B14" i="4"/>
  <c r="L14" i="4" s="1"/>
  <c r="M14" i="4" s="1"/>
  <c r="W13" i="4"/>
  <c r="W14" i="4" s="1"/>
  <c r="W15" i="4" s="1"/>
  <c r="L26" i="4"/>
  <c r="L43" i="4"/>
  <c r="AF48" i="4"/>
  <c r="AF8" i="4"/>
  <c r="E14" i="4"/>
  <c r="F40" i="4"/>
  <c r="AA10" i="4"/>
  <c r="AA14" i="4" s="1"/>
  <c r="T15" i="4"/>
  <c r="L28" i="4"/>
  <c r="AA18" i="4"/>
  <c r="AA40" i="4" s="1"/>
  <c r="AA2" i="4" s="1"/>
  <c r="AC10" i="4"/>
  <c r="AC14" i="4" s="1"/>
  <c r="AC15" i="4" s="1"/>
  <c r="AB13" i="4"/>
  <c r="AB14" i="4" s="1"/>
  <c r="AB15" i="4" s="1"/>
  <c r="AC18" i="4"/>
  <c r="AC40" i="4" s="1"/>
  <c r="AC2" i="4" s="1"/>
  <c r="AF28" i="4"/>
  <c r="AA13" i="4"/>
  <c r="R10" i="4"/>
  <c r="R14" i="4" s="1"/>
  <c r="R15" i="4" s="1"/>
  <c r="R41" i="4" s="1"/>
  <c r="R50" i="4" s="1"/>
  <c r="AE10" i="4"/>
  <c r="AE14" i="4" s="1"/>
  <c r="AE15" i="4" s="1"/>
  <c r="AE41" i="4" s="1"/>
  <c r="AE50" i="4" s="1"/>
  <c r="Q18" i="4"/>
  <c r="Q40" i="4" s="1"/>
  <c r="AD18" i="4"/>
  <c r="AD40" i="4" s="1"/>
  <c r="AD2" i="4" s="1"/>
  <c r="E29" i="1" l="1"/>
  <c r="E25" i="1"/>
  <c r="AC41" i="4"/>
  <c r="AC50" i="4" s="1"/>
  <c r="X41" i="4"/>
  <c r="X50" i="4" s="1"/>
  <c r="U41" i="4"/>
  <c r="U50" i="4" s="1"/>
  <c r="AB41" i="4"/>
  <c r="AB50" i="4" s="1"/>
  <c r="W41" i="4"/>
  <c r="W50" i="4" s="1"/>
  <c r="V15" i="4"/>
  <c r="V41" i="4" s="1"/>
  <c r="V50" i="4" s="1"/>
  <c r="L40" i="4"/>
  <c r="AF14" i="4"/>
  <c r="M18" i="4"/>
  <c r="AA41" i="4"/>
  <c r="AA50" i="4" s="1"/>
  <c r="W2" i="4"/>
  <c r="T40" i="4"/>
  <c r="T41" i="4" s="1"/>
  <c r="U1" i="4"/>
  <c r="R2" i="4"/>
  <c r="R3" i="4" s="1"/>
  <c r="R4" i="4" s="1"/>
  <c r="AF18" i="4"/>
  <c r="B15" i="4"/>
  <c r="AB2" i="4"/>
  <c r="T50" i="4" l="1"/>
  <c r="AF50" i="4" s="1"/>
  <c r="AF41" i="4"/>
  <c r="U3" i="4"/>
  <c r="U4" i="4" s="1"/>
  <c r="V1" i="4"/>
  <c r="AF15" i="4"/>
  <c r="T2" i="4"/>
  <c r="T3" i="4" s="1"/>
  <c r="T4" i="4" s="1"/>
  <c r="AF40" i="4"/>
  <c r="B41" i="4"/>
  <c r="L15" i="4"/>
  <c r="B50" i="4" l="1"/>
  <c r="L50" i="4" s="1"/>
  <c r="L41" i="4"/>
  <c r="V3" i="4"/>
  <c r="V4" i="4" s="1"/>
  <c r="W1" i="4"/>
  <c r="W3" i="4" l="1"/>
  <c r="W4" i="4" s="1"/>
  <c r="X1" i="4"/>
  <c r="X3" i="4" l="1"/>
  <c r="X4" i="4" s="1"/>
  <c r="Y1" i="4"/>
  <c r="Y3" i="4" l="1"/>
  <c r="Y4" i="4" s="1"/>
  <c r="Z1" i="4"/>
  <c r="Z3" i="4" l="1"/>
  <c r="Z4" i="4" s="1"/>
  <c r="AA1" i="4"/>
  <c r="AA3" i="4" l="1"/>
  <c r="AA4" i="4" s="1"/>
  <c r="AB1" i="4"/>
  <c r="AC1" i="4" l="1"/>
  <c r="AB3" i="4"/>
  <c r="AB4" i="4" s="1"/>
  <c r="AC3" i="4" l="1"/>
  <c r="AC4" i="4" s="1"/>
  <c r="AD1" i="4"/>
  <c r="AE1" i="4" l="1"/>
  <c r="AE3" i="4" s="1"/>
  <c r="AE4" i="4" s="1"/>
  <c r="AD3" i="4"/>
  <c r="AD4" i="4" s="1"/>
</calcChain>
</file>

<file path=xl/sharedStrings.xml><?xml version="1.0" encoding="utf-8"?>
<sst xmlns="http://schemas.openxmlformats.org/spreadsheetml/2006/main" count="145" uniqueCount="123">
  <si>
    <t>Profit needs to cover:</t>
  </si>
  <si>
    <t>Before tax Profit Needs to be:</t>
  </si>
  <si>
    <t>Debt Repayments</t>
  </si>
  <si>
    <t>Debt 1</t>
  </si>
  <si>
    <t>Debt 2</t>
  </si>
  <si>
    <t>Debt 3</t>
  </si>
  <si>
    <t>Debt 4</t>
  </si>
  <si>
    <t xml:space="preserve">Asset purchase 1 </t>
  </si>
  <si>
    <t>Asset purchase 2</t>
  </si>
  <si>
    <t>Asset purchase 3</t>
  </si>
  <si>
    <t>Asset purchase 4</t>
  </si>
  <si>
    <t>Savings Goal</t>
  </si>
  <si>
    <t>Annual</t>
  </si>
  <si>
    <t>Monthly</t>
  </si>
  <si>
    <t>Owner's Distributions/Pay</t>
  </si>
  <si>
    <t>Owner 1</t>
  </si>
  <si>
    <t>Owner 2</t>
  </si>
  <si>
    <t>Owner 3</t>
  </si>
  <si>
    <t>Owner 4</t>
  </si>
  <si>
    <t>Tax Savings</t>
  </si>
  <si>
    <t>Estimated
 Tax Rate</t>
  </si>
  <si>
    <t>i.	How you would like to grow over prior year (if at all)? 
ii.	What investments would you like to make? 
iii.	What position would you like to hire? 
iv.	What debt would you like to pay off?
v.	What savings would you like to have in the bank? 
vi.	Would you like to increase take home pay? 
vii.	Would you like to add a new line of business or service offering?</t>
  </si>
  <si>
    <t>GOALS:</t>
  </si>
  <si>
    <t xml:space="preserve">Specific </t>
  </si>
  <si>
    <t>Measureable</t>
  </si>
  <si>
    <t>Attainable</t>
  </si>
  <si>
    <t xml:space="preserve">Realistic </t>
  </si>
  <si>
    <t>Time-Bound</t>
  </si>
  <si>
    <t xml:space="preserve">Profit Needs: </t>
  </si>
  <si>
    <t xml:space="preserve">Setting Goals for the year: </t>
  </si>
  <si>
    <t>Profit Needs:</t>
  </si>
  <si>
    <t>Profit and Loss</t>
  </si>
  <si>
    <t xml:space="preserve">Expenses: </t>
  </si>
  <si>
    <t>January - October, 2021</t>
  </si>
  <si>
    <t>Revenue Needed:</t>
  </si>
  <si>
    <t xml:space="preserve">Diffference: </t>
  </si>
  <si>
    <t>Jan 2021</t>
  </si>
  <si>
    <t>Feb 2021</t>
  </si>
  <si>
    <t>Mar 2021</t>
  </si>
  <si>
    <t>Apr 2021</t>
  </si>
  <si>
    <t>May 2021</t>
  </si>
  <si>
    <t>Jun 2021</t>
  </si>
  <si>
    <t>Jul 2021</t>
  </si>
  <si>
    <t>Aug 2021</t>
  </si>
  <si>
    <t>Sep 2021</t>
  </si>
  <si>
    <t>Oct 2021</t>
  </si>
  <si>
    <t>Total</t>
  </si>
  <si>
    <t>Type of expense</t>
  </si>
  <si>
    <t xml:space="preserve">Notes (dependent or growth/decrease) </t>
  </si>
  <si>
    <t>Income</t>
  </si>
  <si>
    <t xml:space="preserve">   Sales</t>
  </si>
  <si>
    <t>Total Income</t>
  </si>
  <si>
    <t>Cost of Goods Sold</t>
  </si>
  <si>
    <t xml:space="preserve">   Cost of Goods Sold</t>
  </si>
  <si>
    <t>Variable</t>
  </si>
  <si>
    <t>3% of revenue</t>
  </si>
  <si>
    <t xml:space="preserve">   Other Costs - COS</t>
  </si>
  <si>
    <t xml:space="preserve">   Purchases - COS</t>
  </si>
  <si>
    <t xml:space="preserve">   Subcontractors - COS</t>
  </si>
  <si>
    <t>increases with revenue - 5% revenue</t>
  </si>
  <si>
    <t>Total Cost of Goods Sold</t>
  </si>
  <si>
    <t>Gross Profit</t>
  </si>
  <si>
    <t>Expenses</t>
  </si>
  <si>
    <t xml:space="preserve">   Advertising and Marketing</t>
  </si>
  <si>
    <t>plan for steady enpense in 2022</t>
  </si>
  <si>
    <t xml:space="preserve">   Merchant Services </t>
  </si>
  <si>
    <t>fixed</t>
  </si>
  <si>
    <t>Dependent on revenue</t>
  </si>
  <si>
    <t xml:space="preserve">   Events</t>
  </si>
  <si>
    <t>One time</t>
  </si>
  <si>
    <t>SALY</t>
  </si>
  <si>
    <t xml:space="preserve">   Insurance - Liability</t>
  </si>
  <si>
    <t xml:space="preserve">fixed </t>
  </si>
  <si>
    <t xml:space="preserve">growth 10% </t>
  </si>
  <si>
    <t xml:space="preserve">   Interest Expense</t>
  </si>
  <si>
    <t>none</t>
  </si>
  <si>
    <t xml:space="preserve">   Legal &amp; Professional Fees</t>
  </si>
  <si>
    <t xml:space="preserve">Hr ongoing support </t>
  </si>
  <si>
    <t xml:space="preserve">   Meals and Entertainment</t>
  </si>
  <si>
    <t>variable</t>
  </si>
  <si>
    <t>increase in 2022 - $100 per month</t>
  </si>
  <si>
    <t xml:space="preserve">   Other General and Admin Expenses</t>
  </si>
  <si>
    <t>average 2021</t>
  </si>
  <si>
    <t xml:space="preserve">   Parking</t>
  </si>
  <si>
    <t xml:space="preserve">   Payroll Expenses</t>
  </si>
  <si>
    <t>October</t>
  </si>
  <si>
    <t xml:space="preserve">      Company Contributions</t>
  </si>
  <si>
    <t xml:space="preserve">         Retirement</t>
  </si>
  <si>
    <t xml:space="preserve">      Total Company Contributions</t>
  </si>
  <si>
    <t xml:space="preserve">      Taxes</t>
  </si>
  <si>
    <t>Step variable</t>
  </si>
  <si>
    <t xml:space="preserve">      Wages</t>
  </si>
  <si>
    <t xml:space="preserve">   Total Payroll Expenses</t>
  </si>
  <si>
    <t xml:space="preserve">October indicative of current - hiring in Jan </t>
  </si>
  <si>
    <t xml:space="preserve">   Professional Development</t>
  </si>
  <si>
    <t>same associations</t>
  </si>
  <si>
    <t xml:space="preserve">   Reimbursements</t>
  </si>
  <si>
    <t>most recent</t>
  </si>
  <si>
    <t xml:space="preserve">   Rent or Lease</t>
  </si>
  <si>
    <t>one time</t>
  </si>
  <si>
    <t>none in 2022</t>
  </si>
  <si>
    <t xml:space="preserve">   Stationery &amp; Printing</t>
  </si>
  <si>
    <t xml:space="preserve">   Taxes &amp; Licenses</t>
  </si>
  <si>
    <t xml:space="preserve">   Technology Expense</t>
  </si>
  <si>
    <t>assess more closely</t>
  </si>
  <si>
    <t xml:space="preserve">   Travel</t>
  </si>
  <si>
    <t>more than last year</t>
  </si>
  <si>
    <t>Total Expenses</t>
  </si>
  <si>
    <t>Net Operating Income</t>
  </si>
  <si>
    <t>Other Income</t>
  </si>
  <si>
    <t xml:space="preserve">   Interest Earned</t>
  </si>
  <si>
    <t xml:space="preserve">   Other Income - Non-Taxable (PPP Forgiveness)</t>
  </si>
  <si>
    <t>never again</t>
  </si>
  <si>
    <t>Total Other Income</t>
  </si>
  <si>
    <t>Other Expenses</t>
  </si>
  <si>
    <t xml:space="preserve">   Miscellaneous</t>
  </si>
  <si>
    <t>Total Other Expenses</t>
  </si>
  <si>
    <t>Net Other Income</t>
  </si>
  <si>
    <t>Net Income</t>
  </si>
  <si>
    <t>A Company LLC</t>
  </si>
  <si>
    <t>Note: This is a rough draft of a profit plan - showing the process of how it comes together</t>
  </si>
  <si>
    <t>SALY + HR support</t>
  </si>
  <si>
    <t>Asset Purchases/reinvestments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</si>
</sst>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3" formatCode="_(* #,##0.00_);_(* \(#,##0.00\);_(* &quot;-&quot;??_);_(@_)"/>
    <numFmt numFmtId="164" formatCode="#,##0.00\ _€"/>
    <numFmt numFmtId="165" formatCode="&quot;$&quot;* #,##0.00\ _€"/>
    <numFmt numFmtId="166" formatCode="_(&quot;$&quot;* #,##0.0000_);_(&quot;$&quot;* \(#,##0.0000\);_(&quot;$&quot;* &quot;-&quot;??_);_(@_)"/>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6"/>
      <color indexed="8"/>
      <name val="Calibri"/>
      <family val="2"/>
      <scheme val="minor"/>
    </font>
    <font>
      <b/>
      <sz val="16"/>
      <color theme="1"/>
      <name val="Calibri"/>
      <family val="2"/>
      <scheme val="minor"/>
    </font>
    <font>
      <sz val="11"/>
      <color indexed="8"/>
      <name val="Calibri"/>
      <family val="2"/>
      <scheme val="minor"/>
    </font>
    <font>
      <b/>
      <sz val="14"/>
      <color indexed="8"/>
      <name val="Arial"/>
      <family val="2"/>
    </font>
    <font>
      <sz val="8"/>
      <color indexed="8"/>
      <name val="Arial"/>
      <family val="2"/>
    </font>
    <font>
      <b/>
      <sz val="10"/>
      <color indexed="8"/>
      <name val="Arial"/>
      <family val="2"/>
    </font>
    <font>
      <b/>
      <sz val="9"/>
      <color indexed="8"/>
      <name val="Arial"/>
      <family val="2"/>
    </font>
    <font>
      <b/>
      <sz val="8"/>
      <color indexed="8"/>
      <name val="Arial"/>
      <family val="2"/>
    </font>
    <font>
      <b/>
      <sz val="8"/>
      <color rgb="FFFF0000"/>
      <name val="Calibri"/>
      <family val="2"/>
      <scheme val="minor"/>
    </font>
    <font>
      <b/>
      <sz val="11"/>
      <color indexed="8"/>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7"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right/>
      <top style="thin">
        <color auto="1"/>
      </top>
      <bottom/>
      <diagonal/>
    </border>
  </borders>
  <cellStyleXfs count="5">
    <xf numFmtId="0" fontId="0" fillId="0" borderId="0"/>
    <xf numFmtId="43" fontId="1"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cellStyleXfs>
  <cellXfs count="35">
    <xf numFmtId="0" fontId="0" fillId="0" borderId="0" xfId="0"/>
    <xf numFmtId="0" fontId="0" fillId="0" borderId="0" xfId="0" applyAlignment="1">
      <alignment horizontal="right"/>
    </xf>
    <xf numFmtId="43" fontId="0" fillId="0" borderId="0" xfId="1" applyFont="1"/>
    <xf numFmtId="43" fontId="0" fillId="0" borderId="0" xfId="0" applyNumberFormat="1"/>
    <xf numFmtId="0" fontId="0" fillId="0" borderId="0" xfId="0" applyAlignment="1">
      <alignment wrapText="1"/>
    </xf>
    <xf numFmtId="0" fontId="0" fillId="0" borderId="1" xfId="0" applyBorder="1"/>
    <xf numFmtId="0" fontId="0" fillId="0" borderId="0" xfId="0" applyFill="1"/>
    <xf numFmtId="0" fontId="0" fillId="0" borderId="0" xfId="0" applyAlignment="1">
      <alignment horizontal="center"/>
    </xf>
    <xf numFmtId="0" fontId="4" fillId="0" borderId="0" xfId="0" applyFont="1"/>
    <xf numFmtId="0" fontId="5" fillId="0" borderId="0" xfId="0" applyFont="1"/>
    <xf numFmtId="0" fontId="2" fillId="0" borderId="2" xfId="0" applyFont="1" applyBorder="1"/>
    <xf numFmtId="43" fontId="0" fillId="2" borderId="1" xfId="1" applyFont="1" applyFill="1" applyBorder="1"/>
    <xf numFmtId="43" fontId="0" fillId="0" borderId="3" xfId="0" applyNumberFormat="1" applyBorder="1"/>
    <xf numFmtId="43" fontId="0" fillId="3" borderId="0" xfId="1" applyFont="1" applyFill="1"/>
    <xf numFmtId="9" fontId="0" fillId="3" borderId="0" xfId="0" applyNumberFormat="1" applyFill="1"/>
    <xf numFmtId="0" fontId="6" fillId="0" borderId="0" xfId="2"/>
    <xf numFmtId="0" fontId="6" fillId="0" borderId="0" xfId="2" applyAlignment="1">
      <alignment wrapText="1"/>
    </xf>
    <xf numFmtId="0" fontId="10" fillId="0" borderId="2" xfId="2" applyFont="1" applyBorder="1" applyAlignment="1">
      <alignment horizontal="center" wrapText="1"/>
    </xf>
    <xf numFmtId="0" fontId="10" fillId="0" borderId="0" xfId="2" applyFont="1" applyAlignment="1">
      <alignment horizontal="center" wrapText="1"/>
    </xf>
    <xf numFmtId="0" fontId="11" fillId="0" borderId="0" xfId="2" applyFont="1" applyAlignment="1">
      <alignment horizontal="left" wrapText="1"/>
    </xf>
    <xf numFmtId="164" fontId="8" fillId="0" borderId="0" xfId="2" applyNumberFormat="1" applyFont="1" applyAlignment="1">
      <alignment wrapText="1"/>
    </xf>
    <xf numFmtId="164" fontId="8" fillId="0" borderId="0" xfId="2" applyNumberFormat="1" applyFont="1" applyAlignment="1">
      <alignment horizontal="right" wrapText="1"/>
    </xf>
    <xf numFmtId="165" fontId="11" fillId="0" borderId="4" xfId="2" applyNumberFormat="1" applyFont="1" applyBorder="1" applyAlignment="1">
      <alignment horizontal="right" wrapText="1"/>
    </xf>
    <xf numFmtId="10" fontId="0" fillId="0" borderId="0" xfId="4" applyNumberFormat="1" applyFont="1"/>
    <xf numFmtId="165" fontId="11" fillId="0" borderId="0" xfId="2" applyNumberFormat="1" applyFont="1" applyAlignment="1">
      <alignment horizontal="right" wrapText="1"/>
    </xf>
    <xf numFmtId="166" fontId="6" fillId="0" borderId="0" xfId="2" applyNumberFormat="1"/>
    <xf numFmtId="6" fontId="6" fillId="0" borderId="0" xfId="2" applyNumberFormat="1"/>
    <xf numFmtId="0" fontId="12" fillId="0" borderId="0" xfId="2" applyFont="1"/>
    <xf numFmtId="0" fontId="6" fillId="0" borderId="0" xfId="2"/>
    <xf numFmtId="164" fontId="8" fillId="4" borderId="0" xfId="2" applyNumberFormat="1" applyFont="1" applyFill="1" applyAlignment="1">
      <alignment horizontal="right" wrapText="1"/>
    </xf>
    <xf numFmtId="17" fontId="13" fillId="0" borderId="0" xfId="2" applyNumberFormat="1" applyFont="1"/>
    <xf numFmtId="0" fontId="7" fillId="0" borderId="0" xfId="2" applyFont="1" applyAlignment="1">
      <alignment horizontal="center"/>
    </xf>
    <xf numFmtId="0" fontId="6" fillId="0" borderId="0" xfId="2"/>
    <xf numFmtId="0" fontId="9" fillId="0" borderId="0" xfId="2" applyFont="1" applyAlignment="1">
      <alignment horizontal="center"/>
    </xf>
    <xf numFmtId="0" fontId="8" fillId="0" borderId="0" xfId="2" applyFont="1" applyAlignment="1">
      <alignment horizontal="center"/>
    </xf>
  </cellXfs>
  <cellStyles count="5">
    <cellStyle name="Comma" xfId="1" builtinId="3"/>
    <cellStyle name="Comma 2" xfId="3" xr:uid="{0C0A7EEF-5FCC-4093-9557-16F36D6B5C44}"/>
    <cellStyle name="Normal" xfId="0" builtinId="0"/>
    <cellStyle name="Normal 2" xfId="2" xr:uid="{784E38B7-F1D8-46C3-9213-CE4570CC3D99}"/>
    <cellStyle name="Percent 2" xfId="4" xr:uid="{097EB003-B63C-48C7-9739-D30792345F2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365760</xdr:colOff>
          <xdr:row>5</xdr:row>
          <xdr:rowOff>167640</xdr:rowOff>
        </xdr:from>
        <xdr:to>
          <xdr:col>2</xdr:col>
          <xdr:colOff>544830</xdr:colOff>
          <xdr:row>7</xdr:row>
          <xdr:rowOff>15240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365760</xdr:colOff>
          <xdr:row>6</xdr:row>
          <xdr:rowOff>167640</xdr:rowOff>
        </xdr:from>
        <xdr:to>
          <xdr:col>2</xdr:col>
          <xdr:colOff>544830</xdr:colOff>
          <xdr:row>8</xdr:row>
          <xdr:rowOff>15240</xdr:rowOff>
        </xdr:to>
        <xdr:sp macro="" textlink="">
          <xdr:nvSpPr>
            <xdr:cNvPr id="2079" name="Check Box 31" hidden="1">
              <a:extLst>
                <a:ext uri="{63B3BB69-23CF-44E3-9099-C40C66FF867C}">
                  <a14:compatExt spid="_x0000_s2079"/>
                </a:ext>
                <a:ext uri="{FF2B5EF4-FFF2-40B4-BE49-F238E27FC236}">
                  <a16:creationId xmlns:a16="http://schemas.microsoft.com/office/drawing/2014/main" id="{00000000-0008-0000-0000-00001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365760</xdr:colOff>
          <xdr:row>7</xdr:row>
          <xdr:rowOff>167640</xdr:rowOff>
        </xdr:from>
        <xdr:to>
          <xdr:col>2</xdr:col>
          <xdr:colOff>544830</xdr:colOff>
          <xdr:row>9</xdr:row>
          <xdr:rowOff>15240</xdr:rowOff>
        </xdr:to>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000-00002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365760</xdr:colOff>
          <xdr:row>8</xdr:row>
          <xdr:rowOff>167640</xdr:rowOff>
        </xdr:from>
        <xdr:to>
          <xdr:col>2</xdr:col>
          <xdr:colOff>544830</xdr:colOff>
          <xdr:row>10</xdr:row>
          <xdr:rowOff>15240</xdr:rowOff>
        </xdr:to>
        <xdr:sp macro="" textlink="">
          <xdr:nvSpPr>
            <xdr:cNvPr id="2081" name="Check Box 33" hidden="1">
              <a:extLst>
                <a:ext uri="{63B3BB69-23CF-44E3-9099-C40C66FF867C}">
                  <a14:compatExt spid="_x0000_s2081"/>
                </a:ext>
                <a:ext uri="{FF2B5EF4-FFF2-40B4-BE49-F238E27FC236}">
                  <a16:creationId xmlns:a16="http://schemas.microsoft.com/office/drawing/2014/main" id="{00000000-0008-0000-0000-00002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365760</xdr:colOff>
          <xdr:row>9</xdr:row>
          <xdr:rowOff>167640</xdr:rowOff>
        </xdr:from>
        <xdr:to>
          <xdr:col>2</xdr:col>
          <xdr:colOff>544830</xdr:colOff>
          <xdr:row>11</xdr:row>
          <xdr:rowOff>15240</xdr:rowOff>
        </xdr:to>
        <xdr:sp macro="" textlink="">
          <xdr:nvSpPr>
            <xdr:cNvPr id="2082" name="Check Box 34" hidden="1">
              <a:extLst>
                <a:ext uri="{63B3BB69-23CF-44E3-9099-C40C66FF867C}">
                  <a14:compatExt spid="_x0000_s2082"/>
                </a:ext>
                <a:ext uri="{FF2B5EF4-FFF2-40B4-BE49-F238E27FC236}">
                  <a16:creationId xmlns:a16="http://schemas.microsoft.com/office/drawing/2014/main" id="{00000000-0008-0000-0000-00002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365760</xdr:colOff>
          <xdr:row>10</xdr:row>
          <xdr:rowOff>167640</xdr:rowOff>
        </xdr:from>
        <xdr:to>
          <xdr:col>2</xdr:col>
          <xdr:colOff>544830</xdr:colOff>
          <xdr:row>12</xdr:row>
          <xdr:rowOff>15240</xdr:rowOff>
        </xdr:to>
        <xdr:sp macro="" textlink="">
          <xdr:nvSpPr>
            <xdr:cNvPr id="2083" name="Check Box 35" hidden="1">
              <a:extLst>
                <a:ext uri="{63B3BB69-23CF-44E3-9099-C40C66FF867C}">
                  <a14:compatExt spid="_x0000_s2083"/>
                </a:ext>
                <a:ext uri="{FF2B5EF4-FFF2-40B4-BE49-F238E27FC236}">
                  <a16:creationId xmlns:a16="http://schemas.microsoft.com/office/drawing/2014/main" id="{00000000-0008-0000-0000-00002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5</xdr:row>
          <xdr:rowOff>167640</xdr:rowOff>
        </xdr:from>
        <xdr:to>
          <xdr:col>3</xdr:col>
          <xdr:colOff>544830</xdr:colOff>
          <xdr:row>7</xdr:row>
          <xdr:rowOff>15240</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6</xdr:row>
          <xdr:rowOff>167640</xdr:rowOff>
        </xdr:from>
        <xdr:to>
          <xdr:col>3</xdr:col>
          <xdr:colOff>544830</xdr:colOff>
          <xdr:row>8</xdr:row>
          <xdr:rowOff>15240</xdr:rowOff>
        </xdr:to>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7</xdr:row>
          <xdr:rowOff>167640</xdr:rowOff>
        </xdr:from>
        <xdr:to>
          <xdr:col>3</xdr:col>
          <xdr:colOff>544830</xdr:colOff>
          <xdr:row>9</xdr:row>
          <xdr:rowOff>15240</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8</xdr:row>
          <xdr:rowOff>167640</xdr:rowOff>
        </xdr:from>
        <xdr:to>
          <xdr:col>3</xdr:col>
          <xdr:colOff>544830</xdr:colOff>
          <xdr:row>10</xdr:row>
          <xdr:rowOff>15240</xdr:rowOff>
        </xdr:to>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000-00002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9</xdr:row>
          <xdr:rowOff>167640</xdr:rowOff>
        </xdr:from>
        <xdr:to>
          <xdr:col>3</xdr:col>
          <xdr:colOff>544830</xdr:colOff>
          <xdr:row>11</xdr:row>
          <xdr:rowOff>15240</xdr:rowOff>
        </xdr:to>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000-00002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10</xdr:row>
          <xdr:rowOff>167640</xdr:rowOff>
        </xdr:from>
        <xdr:to>
          <xdr:col>3</xdr:col>
          <xdr:colOff>544830</xdr:colOff>
          <xdr:row>12</xdr:row>
          <xdr:rowOff>15240</xdr:rowOff>
        </xdr:to>
        <xdr:sp macro="" textlink="">
          <xdr:nvSpPr>
            <xdr:cNvPr id="2089" name="Check Box 41" hidden="1">
              <a:extLst>
                <a:ext uri="{63B3BB69-23CF-44E3-9099-C40C66FF867C}">
                  <a14:compatExt spid="_x0000_s2089"/>
                </a:ext>
                <a:ext uri="{FF2B5EF4-FFF2-40B4-BE49-F238E27FC236}">
                  <a16:creationId xmlns:a16="http://schemas.microsoft.com/office/drawing/2014/main" id="{00000000-0008-0000-0000-00002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5</xdr:row>
          <xdr:rowOff>167640</xdr:rowOff>
        </xdr:from>
        <xdr:to>
          <xdr:col>4</xdr:col>
          <xdr:colOff>544830</xdr:colOff>
          <xdr:row>7</xdr:row>
          <xdr:rowOff>15240</xdr:rowOff>
        </xdr:to>
        <xdr:sp macro="" textlink="">
          <xdr:nvSpPr>
            <xdr:cNvPr id="2090" name="Check Box 42" hidden="1">
              <a:extLst>
                <a:ext uri="{63B3BB69-23CF-44E3-9099-C40C66FF867C}">
                  <a14:compatExt spid="_x0000_s2090"/>
                </a:ext>
                <a:ext uri="{FF2B5EF4-FFF2-40B4-BE49-F238E27FC236}">
                  <a16:creationId xmlns:a16="http://schemas.microsoft.com/office/drawing/2014/main" id="{00000000-0008-0000-0000-00002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6</xdr:row>
          <xdr:rowOff>167640</xdr:rowOff>
        </xdr:from>
        <xdr:to>
          <xdr:col>4</xdr:col>
          <xdr:colOff>544830</xdr:colOff>
          <xdr:row>8</xdr:row>
          <xdr:rowOff>15240</xdr:rowOff>
        </xdr:to>
        <xdr:sp macro="" textlink="">
          <xdr:nvSpPr>
            <xdr:cNvPr id="2091" name="Check Box 43" hidden="1">
              <a:extLst>
                <a:ext uri="{63B3BB69-23CF-44E3-9099-C40C66FF867C}">
                  <a14:compatExt spid="_x0000_s2091"/>
                </a:ext>
                <a:ext uri="{FF2B5EF4-FFF2-40B4-BE49-F238E27FC236}">
                  <a16:creationId xmlns:a16="http://schemas.microsoft.com/office/drawing/2014/main" id="{00000000-0008-0000-0000-00002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7</xdr:row>
          <xdr:rowOff>167640</xdr:rowOff>
        </xdr:from>
        <xdr:to>
          <xdr:col>4</xdr:col>
          <xdr:colOff>544830</xdr:colOff>
          <xdr:row>9</xdr:row>
          <xdr:rowOff>15240</xdr:rowOff>
        </xdr:to>
        <xdr:sp macro="" textlink="">
          <xdr:nvSpPr>
            <xdr:cNvPr id="2092" name="Check Box 44" hidden="1">
              <a:extLst>
                <a:ext uri="{63B3BB69-23CF-44E3-9099-C40C66FF867C}">
                  <a14:compatExt spid="_x0000_s2092"/>
                </a:ext>
                <a:ext uri="{FF2B5EF4-FFF2-40B4-BE49-F238E27FC236}">
                  <a16:creationId xmlns:a16="http://schemas.microsoft.com/office/drawing/2014/main" id="{00000000-0008-0000-0000-00002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8</xdr:row>
          <xdr:rowOff>167640</xdr:rowOff>
        </xdr:from>
        <xdr:to>
          <xdr:col>4</xdr:col>
          <xdr:colOff>544830</xdr:colOff>
          <xdr:row>10</xdr:row>
          <xdr:rowOff>15240</xdr:rowOff>
        </xdr:to>
        <xdr:sp macro="" textlink="">
          <xdr:nvSpPr>
            <xdr:cNvPr id="2093" name="Check Box 45" hidden="1">
              <a:extLst>
                <a:ext uri="{63B3BB69-23CF-44E3-9099-C40C66FF867C}">
                  <a14:compatExt spid="_x0000_s2093"/>
                </a:ext>
                <a:ext uri="{FF2B5EF4-FFF2-40B4-BE49-F238E27FC236}">
                  <a16:creationId xmlns:a16="http://schemas.microsoft.com/office/drawing/2014/main" id="{00000000-0008-0000-0000-00002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9</xdr:row>
          <xdr:rowOff>167640</xdr:rowOff>
        </xdr:from>
        <xdr:to>
          <xdr:col>4</xdr:col>
          <xdr:colOff>544830</xdr:colOff>
          <xdr:row>11</xdr:row>
          <xdr:rowOff>15240</xdr:rowOff>
        </xdr:to>
        <xdr:sp macro="" textlink="">
          <xdr:nvSpPr>
            <xdr:cNvPr id="2094" name="Check Box 46" hidden="1">
              <a:extLst>
                <a:ext uri="{63B3BB69-23CF-44E3-9099-C40C66FF867C}">
                  <a14:compatExt spid="_x0000_s2094"/>
                </a:ext>
                <a:ext uri="{FF2B5EF4-FFF2-40B4-BE49-F238E27FC236}">
                  <a16:creationId xmlns:a16="http://schemas.microsoft.com/office/drawing/2014/main" id="{00000000-0008-0000-0000-00002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10</xdr:row>
          <xdr:rowOff>167640</xdr:rowOff>
        </xdr:from>
        <xdr:to>
          <xdr:col>4</xdr:col>
          <xdr:colOff>544830</xdr:colOff>
          <xdr:row>12</xdr:row>
          <xdr:rowOff>15240</xdr:rowOff>
        </xdr:to>
        <xdr:sp macro="" textlink="">
          <xdr:nvSpPr>
            <xdr:cNvPr id="2095" name="Check Box 47" hidden="1">
              <a:extLst>
                <a:ext uri="{63B3BB69-23CF-44E3-9099-C40C66FF867C}">
                  <a14:compatExt spid="_x0000_s2095"/>
                </a:ext>
                <a:ext uri="{FF2B5EF4-FFF2-40B4-BE49-F238E27FC236}">
                  <a16:creationId xmlns:a16="http://schemas.microsoft.com/office/drawing/2014/main" id="{00000000-0008-0000-0000-00002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365760</xdr:colOff>
          <xdr:row>5</xdr:row>
          <xdr:rowOff>167640</xdr:rowOff>
        </xdr:from>
        <xdr:to>
          <xdr:col>5</xdr:col>
          <xdr:colOff>544830</xdr:colOff>
          <xdr:row>7</xdr:row>
          <xdr:rowOff>15240</xdr:rowOff>
        </xdr:to>
        <xdr:sp macro="" textlink="">
          <xdr:nvSpPr>
            <xdr:cNvPr id="2096" name="Check Box 48" hidden="1">
              <a:extLst>
                <a:ext uri="{63B3BB69-23CF-44E3-9099-C40C66FF867C}">
                  <a14:compatExt spid="_x0000_s2096"/>
                </a:ext>
                <a:ext uri="{FF2B5EF4-FFF2-40B4-BE49-F238E27FC236}">
                  <a16:creationId xmlns:a16="http://schemas.microsoft.com/office/drawing/2014/main" id="{00000000-0008-0000-0000-00003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365760</xdr:colOff>
          <xdr:row>6</xdr:row>
          <xdr:rowOff>167640</xdr:rowOff>
        </xdr:from>
        <xdr:to>
          <xdr:col>5</xdr:col>
          <xdr:colOff>544830</xdr:colOff>
          <xdr:row>8</xdr:row>
          <xdr:rowOff>15240</xdr:rowOff>
        </xdr:to>
        <xdr:sp macro="" textlink="">
          <xdr:nvSpPr>
            <xdr:cNvPr id="2097" name="Check Box 49" hidden="1">
              <a:extLst>
                <a:ext uri="{63B3BB69-23CF-44E3-9099-C40C66FF867C}">
                  <a14:compatExt spid="_x0000_s2097"/>
                </a:ext>
                <a:ext uri="{FF2B5EF4-FFF2-40B4-BE49-F238E27FC236}">
                  <a16:creationId xmlns:a16="http://schemas.microsoft.com/office/drawing/2014/main" id="{00000000-0008-0000-0000-00003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365760</xdr:colOff>
          <xdr:row>7</xdr:row>
          <xdr:rowOff>167640</xdr:rowOff>
        </xdr:from>
        <xdr:to>
          <xdr:col>5</xdr:col>
          <xdr:colOff>544830</xdr:colOff>
          <xdr:row>9</xdr:row>
          <xdr:rowOff>15240</xdr:rowOff>
        </xdr:to>
        <xdr:sp macro="" textlink="">
          <xdr:nvSpPr>
            <xdr:cNvPr id="2098" name="Check Box 50" hidden="1">
              <a:extLst>
                <a:ext uri="{63B3BB69-23CF-44E3-9099-C40C66FF867C}">
                  <a14:compatExt spid="_x0000_s2098"/>
                </a:ext>
                <a:ext uri="{FF2B5EF4-FFF2-40B4-BE49-F238E27FC236}">
                  <a16:creationId xmlns:a16="http://schemas.microsoft.com/office/drawing/2014/main" id="{00000000-0008-0000-0000-00003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365760</xdr:colOff>
          <xdr:row>8</xdr:row>
          <xdr:rowOff>167640</xdr:rowOff>
        </xdr:from>
        <xdr:to>
          <xdr:col>5</xdr:col>
          <xdr:colOff>544830</xdr:colOff>
          <xdr:row>10</xdr:row>
          <xdr:rowOff>15240</xdr:rowOff>
        </xdr:to>
        <xdr:sp macro="" textlink="">
          <xdr:nvSpPr>
            <xdr:cNvPr id="2099" name="Check Box 51" hidden="1">
              <a:extLst>
                <a:ext uri="{63B3BB69-23CF-44E3-9099-C40C66FF867C}">
                  <a14:compatExt spid="_x0000_s2099"/>
                </a:ext>
                <a:ext uri="{FF2B5EF4-FFF2-40B4-BE49-F238E27FC236}">
                  <a16:creationId xmlns:a16="http://schemas.microsoft.com/office/drawing/2014/main" id="{00000000-0008-0000-0000-00003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365760</xdr:colOff>
          <xdr:row>9</xdr:row>
          <xdr:rowOff>167640</xdr:rowOff>
        </xdr:from>
        <xdr:to>
          <xdr:col>5</xdr:col>
          <xdr:colOff>544830</xdr:colOff>
          <xdr:row>11</xdr:row>
          <xdr:rowOff>15240</xdr:rowOff>
        </xdr:to>
        <xdr:sp macro="" textlink="">
          <xdr:nvSpPr>
            <xdr:cNvPr id="2100" name="Check Box 52" hidden="1">
              <a:extLst>
                <a:ext uri="{63B3BB69-23CF-44E3-9099-C40C66FF867C}">
                  <a14:compatExt spid="_x0000_s2100"/>
                </a:ext>
                <a:ext uri="{FF2B5EF4-FFF2-40B4-BE49-F238E27FC236}">
                  <a16:creationId xmlns:a16="http://schemas.microsoft.com/office/drawing/2014/main" id="{00000000-0008-0000-0000-00003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365760</xdr:colOff>
          <xdr:row>10</xdr:row>
          <xdr:rowOff>167640</xdr:rowOff>
        </xdr:from>
        <xdr:to>
          <xdr:col>5</xdr:col>
          <xdr:colOff>544830</xdr:colOff>
          <xdr:row>12</xdr:row>
          <xdr:rowOff>15240</xdr:rowOff>
        </xdr:to>
        <xdr:sp macro="" textlink="">
          <xdr:nvSpPr>
            <xdr:cNvPr id="2101" name="Check Box 53" hidden="1">
              <a:extLst>
                <a:ext uri="{63B3BB69-23CF-44E3-9099-C40C66FF867C}">
                  <a14:compatExt spid="_x0000_s2101"/>
                </a:ext>
                <a:ext uri="{FF2B5EF4-FFF2-40B4-BE49-F238E27FC236}">
                  <a16:creationId xmlns:a16="http://schemas.microsoft.com/office/drawing/2014/main" id="{00000000-0008-0000-0000-00003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365760</xdr:colOff>
          <xdr:row>5</xdr:row>
          <xdr:rowOff>167640</xdr:rowOff>
        </xdr:from>
        <xdr:to>
          <xdr:col>6</xdr:col>
          <xdr:colOff>544830</xdr:colOff>
          <xdr:row>7</xdr:row>
          <xdr:rowOff>15240</xdr:rowOff>
        </xdr:to>
        <xdr:sp macro="" textlink="">
          <xdr:nvSpPr>
            <xdr:cNvPr id="2102" name="Check Box 54" hidden="1">
              <a:extLst>
                <a:ext uri="{63B3BB69-23CF-44E3-9099-C40C66FF867C}">
                  <a14:compatExt spid="_x0000_s2102"/>
                </a:ext>
                <a:ext uri="{FF2B5EF4-FFF2-40B4-BE49-F238E27FC236}">
                  <a16:creationId xmlns:a16="http://schemas.microsoft.com/office/drawing/2014/main" id="{00000000-0008-0000-0000-00003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365760</xdr:colOff>
          <xdr:row>6</xdr:row>
          <xdr:rowOff>167640</xdr:rowOff>
        </xdr:from>
        <xdr:to>
          <xdr:col>6</xdr:col>
          <xdr:colOff>544830</xdr:colOff>
          <xdr:row>8</xdr:row>
          <xdr:rowOff>15240</xdr:rowOff>
        </xdr:to>
        <xdr:sp macro="" textlink="">
          <xdr:nvSpPr>
            <xdr:cNvPr id="2103" name="Check Box 55" hidden="1">
              <a:extLst>
                <a:ext uri="{63B3BB69-23CF-44E3-9099-C40C66FF867C}">
                  <a14:compatExt spid="_x0000_s2103"/>
                </a:ext>
                <a:ext uri="{FF2B5EF4-FFF2-40B4-BE49-F238E27FC236}">
                  <a16:creationId xmlns:a16="http://schemas.microsoft.com/office/drawing/2014/main" id="{00000000-0008-0000-0000-00003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365760</xdr:colOff>
          <xdr:row>7</xdr:row>
          <xdr:rowOff>167640</xdr:rowOff>
        </xdr:from>
        <xdr:to>
          <xdr:col>6</xdr:col>
          <xdr:colOff>544830</xdr:colOff>
          <xdr:row>9</xdr:row>
          <xdr:rowOff>15240</xdr:rowOff>
        </xdr:to>
        <xdr:sp macro="" textlink="">
          <xdr:nvSpPr>
            <xdr:cNvPr id="2104" name="Check Box 56" hidden="1">
              <a:extLst>
                <a:ext uri="{63B3BB69-23CF-44E3-9099-C40C66FF867C}">
                  <a14:compatExt spid="_x0000_s2104"/>
                </a:ext>
                <a:ext uri="{FF2B5EF4-FFF2-40B4-BE49-F238E27FC236}">
                  <a16:creationId xmlns:a16="http://schemas.microsoft.com/office/drawing/2014/main" id="{00000000-0008-0000-0000-00003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365760</xdr:colOff>
          <xdr:row>8</xdr:row>
          <xdr:rowOff>167640</xdr:rowOff>
        </xdr:from>
        <xdr:to>
          <xdr:col>6</xdr:col>
          <xdr:colOff>544830</xdr:colOff>
          <xdr:row>10</xdr:row>
          <xdr:rowOff>15240</xdr:rowOff>
        </xdr:to>
        <xdr:sp macro="" textlink="">
          <xdr:nvSpPr>
            <xdr:cNvPr id="2105" name="Check Box 57" hidden="1">
              <a:extLst>
                <a:ext uri="{63B3BB69-23CF-44E3-9099-C40C66FF867C}">
                  <a14:compatExt spid="_x0000_s2105"/>
                </a:ext>
                <a:ext uri="{FF2B5EF4-FFF2-40B4-BE49-F238E27FC236}">
                  <a16:creationId xmlns:a16="http://schemas.microsoft.com/office/drawing/2014/main" id="{00000000-0008-0000-0000-00003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365760</xdr:colOff>
          <xdr:row>9</xdr:row>
          <xdr:rowOff>167640</xdr:rowOff>
        </xdr:from>
        <xdr:to>
          <xdr:col>6</xdr:col>
          <xdr:colOff>544830</xdr:colOff>
          <xdr:row>11</xdr:row>
          <xdr:rowOff>15240</xdr:rowOff>
        </xdr:to>
        <xdr:sp macro="" textlink="">
          <xdr:nvSpPr>
            <xdr:cNvPr id="2106" name="Check Box 58" hidden="1">
              <a:extLst>
                <a:ext uri="{63B3BB69-23CF-44E3-9099-C40C66FF867C}">
                  <a14:compatExt spid="_x0000_s2106"/>
                </a:ext>
                <a:ext uri="{FF2B5EF4-FFF2-40B4-BE49-F238E27FC236}">
                  <a16:creationId xmlns:a16="http://schemas.microsoft.com/office/drawing/2014/main" id="{00000000-0008-0000-0000-00003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365760</xdr:colOff>
          <xdr:row>10</xdr:row>
          <xdr:rowOff>167640</xdr:rowOff>
        </xdr:from>
        <xdr:to>
          <xdr:col>6</xdr:col>
          <xdr:colOff>544830</xdr:colOff>
          <xdr:row>12</xdr:row>
          <xdr:rowOff>15240</xdr:rowOff>
        </xdr:to>
        <xdr:sp macro="" textlink="">
          <xdr:nvSpPr>
            <xdr:cNvPr id="2107" name="Check Box 59" hidden="1">
              <a:extLst>
                <a:ext uri="{63B3BB69-23CF-44E3-9099-C40C66FF867C}">
                  <a14:compatExt spid="_x0000_s2107"/>
                </a:ext>
                <a:ext uri="{FF2B5EF4-FFF2-40B4-BE49-F238E27FC236}">
                  <a16:creationId xmlns:a16="http://schemas.microsoft.com/office/drawing/2014/main" id="{00000000-0008-0000-0000-00003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365760</xdr:colOff>
          <xdr:row>11</xdr:row>
          <xdr:rowOff>167640</xdr:rowOff>
        </xdr:from>
        <xdr:to>
          <xdr:col>2</xdr:col>
          <xdr:colOff>544830</xdr:colOff>
          <xdr:row>13</xdr:row>
          <xdr:rowOff>15240</xdr:rowOff>
        </xdr:to>
        <xdr:sp macro="" textlink="">
          <xdr:nvSpPr>
            <xdr:cNvPr id="2108" name="Check Box 60" hidden="1">
              <a:extLst>
                <a:ext uri="{63B3BB69-23CF-44E3-9099-C40C66FF867C}">
                  <a14:compatExt spid="_x0000_s2108"/>
                </a:ext>
                <a:ext uri="{FF2B5EF4-FFF2-40B4-BE49-F238E27FC236}">
                  <a16:creationId xmlns:a16="http://schemas.microsoft.com/office/drawing/2014/main" id="{00000000-0008-0000-0000-00003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11</xdr:row>
          <xdr:rowOff>167640</xdr:rowOff>
        </xdr:from>
        <xdr:to>
          <xdr:col>3</xdr:col>
          <xdr:colOff>544830</xdr:colOff>
          <xdr:row>13</xdr:row>
          <xdr:rowOff>15240</xdr:rowOff>
        </xdr:to>
        <xdr:sp macro="" textlink="">
          <xdr:nvSpPr>
            <xdr:cNvPr id="2109" name="Check Box 61" hidden="1">
              <a:extLst>
                <a:ext uri="{63B3BB69-23CF-44E3-9099-C40C66FF867C}">
                  <a14:compatExt spid="_x0000_s2109"/>
                </a:ext>
                <a:ext uri="{FF2B5EF4-FFF2-40B4-BE49-F238E27FC236}">
                  <a16:creationId xmlns:a16="http://schemas.microsoft.com/office/drawing/2014/main" id="{00000000-0008-0000-0000-00003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11</xdr:row>
          <xdr:rowOff>167640</xdr:rowOff>
        </xdr:from>
        <xdr:to>
          <xdr:col>4</xdr:col>
          <xdr:colOff>544830</xdr:colOff>
          <xdr:row>13</xdr:row>
          <xdr:rowOff>15240</xdr:rowOff>
        </xdr:to>
        <xdr:sp macro="" textlink="">
          <xdr:nvSpPr>
            <xdr:cNvPr id="2110" name="Check Box 62" hidden="1">
              <a:extLst>
                <a:ext uri="{63B3BB69-23CF-44E3-9099-C40C66FF867C}">
                  <a14:compatExt spid="_x0000_s2110"/>
                </a:ext>
                <a:ext uri="{FF2B5EF4-FFF2-40B4-BE49-F238E27FC236}">
                  <a16:creationId xmlns:a16="http://schemas.microsoft.com/office/drawing/2014/main" id="{00000000-0008-0000-0000-00003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365760</xdr:colOff>
          <xdr:row>11</xdr:row>
          <xdr:rowOff>167640</xdr:rowOff>
        </xdr:from>
        <xdr:to>
          <xdr:col>5</xdr:col>
          <xdr:colOff>544830</xdr:colOff>
          <xdr:row>13</xdr:row>
          <xdr:rowOff>15240</xdr:rowOff>
        </xdr:to>
        <xdr:sp macro="" textlink="">
          <xdr:nvSpPr>
            <xdr:cNvPr id="2111" name="Check Box 63" hidden="1">
              <a:extLst>
                <a:ext uri="{63B3BB69-23CF-44E3-9099-C40C66FF867C}">
                  <a14:compatExt spid="_x0000_s2111"/>
                </a:ext>
                <a:ext uri="{FF2B5EF4-FFF2-40B4-BE49-F238E27FC236}">
                  <a16:creationId xmlns:a16="http://schemas.microsoft.com/office/drawing/2014/main" id="{00000000-0008-0000-0000-00003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365760</xdr:colOff>
          <xdr:row>11</xdr:row>
          <xdr:rowOff>167640</xdr:rowOff>
        </xdr:from>
        <xdr:to>
          <xdr:col>6</xdr:col>
          <xdr:colOff>544830</xdr:colOff>
          <xdr:row>13</xdr:row>
          <xdr:rowOff>15240</xdr:rowOff>
        </xdr:to>
        <xdr:sp macro="" textlink="">
          <xdr:nvSpPr>
            <xdr:cNvPr id="2112" name="Check Box 64" hidden="1">
              <a:extLst>
                <a:ext uri="{63B3BB69-23CF-44E3-9099-C40C66FF867C}">
                  <a14:compatExt spid="_x0000_s2112"/>
                </a:ext>
                <a:ext uri="{FF2B5EF4-FFF2-40B4-BE49-F238E27FC236}">
                  <a16:creationId xmlns:a16="http://schemas.microsoft.com/office/drawing/2014/main" id="{00000000-0008-0000-0000-00004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365760</xdr:colOff>
          <xdr:row>12</xdr:row>
          <xdr:rowOff>167640</xdr:rowOff>
        </xdr:from>
        <xdr:to>
          <xdr:col>2</xdr:col>
          <xdr:colOff>544830</xdr:colOff>
          <xdr:row>14</xdr:row>
          <xdr:rowOff>15240</xdr:rowOff>
        </xdr:to>
        <xdr:sp macro="" textlink="">
          <xdr:nvSpPr>
            <xdr:cNvPr id="2113" name="Check Box 65" hidden="1">
              <a:extLst>
                <a:ext uri="{63B3BB69-23CF-44E3-9099-C40C66FF867C}">
                  <a14:compatExt spid="_x0000_s2113"/>
                </a:ext>
                <a:ext uri="{FF2B5EF4-FFF2-40B4-BE49-F238E27FC236}">
                  <a16:creationId xmlns:a16="http://schemas.microsoft.com/office/drawing/2014/main" id="{00000000-0008-0000-0000-00004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12</xdr:row>
          <xdr:rowOff>167640</xdr:rowOff>
        </xdr:from>
        <xdr:to>
          <xdr:col>3</xdr:col>
          <xdr:colOff>544830</xdr:colOff>
          <xdr:row>14</xdr:row>
          <xdr:rowOff>15240</xdr:rowOff>
        </xdr:to>
        <xdr:sp macro="" textlink="">
          <xdr:nvSpPr>
            <xdr:cNvPr id="2114" name="Check Box 66" hidden="1">
              <a:extLst>
                <a:ext uri="{63B3BB69-23CF-44E3-9099-C40C66FF867C}">
                  <a14:compatExt spid="_x0000_s2114"/>
                </a:ext>
                <a:ext uri="{FF2B5EF4-FFF2-40B4-BE49-F238E27FC236}">
                  <a16:creationId xmlns:a16="http://schemas.microsoft.com/office/drawing/2014/main" id="{00000000-0008-0000-0000-00004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12</xdr:row>
          <xdr:rowOff>167640</xdr:rowOff>
        </xdr:from>
        <xdr:to>
          <xdr:col>4</xdr:col>
          <xdr:colOff>544830</xdr:colOff>
          <xdr:row>14</xdr:row>
          <xdr:rowOff>15240</xdr:rowOff>
        </xdr:to>
        <xdr:sp macro="" textlink="">
          <xdr:nvSpPr>
            <xdr:cNvPr id="2115" name="Check Box 67" hidden="1">
              <a:extLst>
                <a:ext uri="{63B3BB69-23CF-44E3-9099-C40C66FF867C}">
                  <a14:compatExt spid="_x0000_s2115"/>
                </a:ext>
                <a:ext uri="{FF2B5EF4-FFF2-40B4-BE49-F238E27FC236}">
                  <a16:creationId xmlns:a16="http://schemas.microsoft.com/office/drawing/2014/main" id="{00000000-0008-0000-0000-00004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365760</xdr:colOff>
          <xdr:row>12</xdr:row>
          <xdr:rowOff>167640</xdr:rowOff>
        </xdr:from>
        <xdr:to>
          <xdr:col>5</xdr:col>
          <xdr:colOff>544830</xdr:colOff>
          <xdr:row>14</xdr:row>
          <xdr:rowOff>15240</xdr:rowOff>
        </xdr:to>
        <xdr:sp macro="" textlink="">
          <xdr:nvSpPr>
            <xdr:cNvPr id="2116" name="Check Box 68" hidden="1">
              <a:extLst>
                <a:ext uri="{63B3BB69-23CF-44E3-9099-C40C66FF867C}">
                  <a14:compatExt spid="_x0000_s2116"/>
                </a:ext>
                <a:ext uri="{FF2B5EF4-FFF2-40B4-BE49-F238E27FC236}">
                  <a16:creationId xmlns:a16="http://schemas.microsoft.com/office/drawing/2014/main" id="{00000000-0008-0000-0000-00004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365760</xdr:colOff>
          <xdr:row>12</xdr:row>
          <xdr:rowOff>167640</xdr:rowOff>
        </xdr:from>
        <xdr:to>
          <xdr:col>6</xdr:col>
          <xdr:colOff>544830</xdr:colOff>
          <xdr:row>14</xdr:row>
          <xdr:rowOff>15240</xdr:rowOff>
        </xdr:to>
        <xdr:sp macro="" textlink="">
          <xdr:nvSpPr>
            <xdr:cNvPr id="2117" name="Check Box 69" hidden="1">
              <a:extLst>
                <a:ext uri="{63B3BB69-23CF-44E3-9099-C40C66FF867C}">
                  <a14:compatExt spid="_x0000_s2117"/>
                </a:ext>
                <a:ext uri="{FF2B5EF4-FFF2-40B4-BE49-F238E27FC236}">
                  <a16:creationId xmlns:a16="http://schemas.microsoft.com/office/drawing/2014/main" id="{00000000-0008-0000-0000-00004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365760</xdr:colOff>
          <xdr:row>13</xdr:row>
          <xdr:rowOff>167640</xdr:rowOff>
        </xdr:from>
        <xdr:to>
          <xdr:col>2</xdr:col>
          <xdr:colOff>544830</xdr:colOff>
          <xdr:row>15</xdr:row>
          <xdr:rowOff>15240</xdr:rowOff>
        </xdr:to>
        <xdr:sp macro="" textlink="">
          <xdr:nvSpPr>
            <xdr:cNvPr id="2118" name="Check Box 70" hidden="1">
              <a:extLst>
                <a:ext uri="{63B3BB69-23CF-44E3-9099-C40C66FF867C}">
                  <a14:compatExt spid="_x0000_s2118"/>
                </a:ext>
                <a:ext uri="{FF2B5EF4-FFF2-40B4-BE49-F238E27FC236}">
                  <a16:creationId xmlns:a16="http://schemas.microsoft.com/office/drawing/2014/main" id="{00000000-0008-0000-0000-00004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13</xdr:row>
          <xdr:rowOff>167640</xdr:rowOff>
        </xdr:from>
        <xdr:to>
          <xdr:col>3</xdr:col>
          <xdr:colOff>544830</xdr:colOff>
          <xdr:row>15</xdr:row>
          <xdr:rowOff>15240</xdr:rowOff>
        </xdr:to>
        <xdr:sp macro="" textlink="">
          <xdr:nvSpPr>
            <xdr:cNvPr id="2119" name="Check Box 71" hidden="1">
              <a:extLst>
                <a:ext uri="{63B3BB69-23CF-44E3-9099-C40C66FF867C}">
                  <a14:compatExt spid="_x0000_s2119"/>
                </a:ext>
                <a:ext uri="{FF2B5EF4-FFF2-40B4-BE49-F238E27FC236}">
                  <a16:creationId xmlns:a16="http://schemas.microsoft.com/office/drawing/2014/main" id="{00000000-0008-0000-0000-00004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13</xdr:row>
          <xdr:rowOff>167640</xdr:rowOff>
        </xdr:from>
        <xdr:to>
          <xdr:col>4</xdr:col>
          <xdr:colOff>544830</xdr:colOff>
          <xdr:row>15</xdr:row>
          <xdr:rowOff>15240</xdr:rowOff>
        </xdr:to>
        <xdr:sp macro="" textlink="">
          <xdr:nvSpPr>
            <xdr:cNvPr id="2120" name="Check Box 72" hidden="1">
              <a:extLst>
                <a:ext uri="{63B3BB69-23CF-44E3-9099-C40C66FF867C}">
                  <a14:compatExt spid="_x0000_s2120"/>
                </a:ext>
                <a:ext uri="{FF2B5EF4-FFF2-40B4-BE49-F238E27FC236}">
                  <a16:creationId xmlns:a16="http://schemas.microsoft.com/office/drawing/2014/main" id="{00000000-0008-0000-0000-00004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365760</xdr:colOff>
          <xdr:row>13</xdr:row>
          <xdr:rowOff>167640</xdr:rowOff>
        </xdr:from>
        <xdr:to>
          <xdr:col>5</xdr:col>
          <xdr:colOff>544830</xdr:colOff>
          <xdr:row>15</xdr:row>
          <xdr:rowOff>15240</xdr:rowOff>
        </xdr:to>
        <xdr:sp macro="" textlink="">
          <xdr:nvSpPr>
            <xdr:cNvPr id="2121" name="Check Box 73" hidden="1">
              <a:extLst>
                <a:ext uri="{63B3BB69-23CF-44E3-9099-C40C66FF867C}">
                  <a14:compatExt spid="_x0000_s2121"/>
                </a:ext>
                <a:ext uri="{FF2B5EF4-FFF2-40B4-BE49-F238E27FC236}">
                  <a16:creationId xmlns:a16="http://schemas.microsoft.com/office/drawing/2014/main" id="{00000000-0008-0000-0000-00004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365760</xdr:colOff>
          <xdr:row>13</xdr:row>
          <xdr:rowOff>167640</xdr:rowOff>
        </xdr:from>
        <xdr:to>
          <xdr:col>6</xdr:col>
          <xdr:colOff>544830</xdr:colOff>
          <xdr:row>15</xdr:row>
          <xdr:rowOff>15240</xdr:rowOff>
        </xdr:to>
        <xdr:sp macro="" textlink="">
          <xdr:nvSpPr>
            <xdr:cNvPr id="2122" name="Check Box 74" hidden="1">
              <a:extLst>
                <a:ext uri="{63B3BB69-23CF-44E3-9099-C40C66FF867C}">
                  <a14:compatExt spid="_x0000_s2122"/>
                </a:ext>
                <a:ext uri="{FF2B5EF4-FFF2-40B4-BE49-F238E27FC236}">
                  <a16:creationId xmlns:a16="http://schemas.microsoft.com/office/drawing/2014/main" id="{00000000-0008-0000-0000-00004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365760</xdr:colOff>
          <xdr:row>14</xdr:row>
          <xdr:rowOff>167640</xdr:rowOff>
        </xdr:from>
        <xdr:to>
          <xdr:col>2</xdr:col>
          <xdr:colOff>544830</xdr:colOff>
          <xdr:row>16</xdr:row>
          <xdr:rowOff>15240</xdr:rowOff>
        </xdr:to>
        <xdr:sp macro="" textlink="">
          <xdr:nvSpPr>
            <xdr:cNvPr id="2123" name="Check Box 75" hidden="1">
              <a:extLst>
                <a:ext uri="{63B3BB69-23CF-44E3-9099-C40C66FF867C}">
                  <a14:compatExt spid="_x0000_s2123"/>
                </a:ext>
                <a:ext uri="{FF2B5EF4-FFF2-40B4-BE49-F238E27FC236}">
                  <a16:creationId xmlns:a16="http://schemas.microsoft.com/office/drawing/2014/main" id="{00000000-0008-0000-0000-00004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14</xdr:row>
          <xdr:rowOff>167640</xdr:rowOff>
        </xdr:from>
        <xdr:to>
          <xdr:col>3</xdr:col>
          <xdr:colOff>544830</xdr:colOff>
          <xdr:row>16</xdr:row>
          <xdr:rowOff>15240</xdr:rowOff>
        </xdr:to>
        <xdr:sp macro="" textlink="">
          <xdr:nvSpPr>
            <xdr:cNvPr id="2124" name="Check Box 76" hidden="1">
              <a:extLst>
                <a:ext uri="{63B3BB69-23CF-44E3-9099-C40C66FF867C}">
                  <a14:compatExt spid="_x0000_s2124"/>
                </a:ext>
                <a:ext uri="{FF2B5EF4-FFF2-40B4-BE49-F238E27FC236}">
                  <a16:creationId xmlns:a16="http://schemas.microsoft.com/office/drawing/2014/main" id="{00000000-0008-0000-0000-00004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365760</xdr:colOff>
          <xdr:row>14</xdr:row>
          <xdr:rowOff>167640</xdr:rowOff>
        </xdr:from>
        <xdr:to>
          <xdr:col>4</xdr:col>
          <xdr:colOff>544830</xdr:colOff>
          <xdr:row>16</xdr:row>
          <xdr:rowOff>15240</xdr:rowOff>
        </xdr:to>
        <xdr:sp macro="" textlink="">
          <xdr:nvSpPr>
            <xdr:cNvPr id="2125" name="Check Box 77" hidden="1">
              <a:extLst>
                <a:ext uri="{63B3BB69-23CF-44E3-9099-C40C66FF867C}">
                  <a14:compatExt spid="_x0000_s2125"/>
                </a:ext>
                <a:ext uri="{FF2B5EF4-FFF2-40B4-BE49-F238E27FC236}">
                  <a16:creationId xmlns:a16="http://schemas.microsoft.com/office/drawing/2014/main" id="{00000000-0008-0000-0000-00004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365760</xdr:colOff>
          <xdr:row>14</xdr:row>
          <xdr:rowOff>167640</xdr:rowOff>
        </xdr:from>
        <xdr:to>
          <xdr:col>5</xdr:col>
          <xdr:colOff>544830</xdr:colOff>
          <xdr:row>16</xdr:row>
          <xdr:rowOff>15240</xdr:rowOff>
        </xdr:to>
        <xdr:sp macro="" textlink="">
          <xdr:nvSpPr>
            <xdr:cNvPr id="2126" name="Check Box 78" hidden="1">
              <a:extLst>
                <a:ext uri="{63B3BB69-23CF-44E3-9099-C40C66FF867C}">
                  <a14:compatExt spid="_x0000_s2126"/>
                </a:ext>
                <a:ext uri="{FF2B5EF4-FFF2-40B4-BE49-F238E27FC236}">
                  <a16:creationId xmlns:a16="http://schemas.microsoft.com/office/drawing/2014/main" id="{00000000-0008-0000-0000-00004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365760</xdr:colOff>
          <xdr:row>14</xdr:row>
          <xdr:rowOff>167640</xdr:rowOff>
        </xdr:from>
        <xdr:to>
          <xdr:col>6</xdr:col>
          <xdr:colOff>544830</xdr:colOff>
          <xdr:row>16</xdr:row>
          <xdr:rowOff>15240</xdr:rowOff>
        </xdr:to>
        <xdr:sp macro="" textlink="">
          <xdr:nvSpPr>
            <xdr:cNvPr id="2127" name="Check Box 79" hidden="1">
              <a:extLst>
                <a:ext uri="{63B3BB69-23CF-44E3-9099-C40C66FF867C}">
                  <a14:compatExt spid="_x0000_s2127"/>
                </a:ext>
                <a:ext uri="{FF2B5EF4-FFF2-40B4-BE49-F238E27FC236}">
                  <a16:creationId xmlns:a16="http://schemas.microsoft.com/office/drawing/2014/main" id="{00000000-0008-0000-0000-00004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hannah_claracfo_com/Documents/Business/01%20Client%20Files/!%20Current%20Clients/EduDream/Financial%20Plan%202022%20-%20Edudrea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t Goals"/>
      <sheetName val="Goals "/>
      <sheetName val="Budget"/>
      <sheetName val="Balance Sheet"/>
    </sheetNames>
    <sheetDataSet>
      <sheetData sheetId="0">
        <row r="26">
          <cell r="E26">
            <v>4000</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9" Type="http://schemas.openxmlformats.org/officeDocument/2006/relationships/ctrlProp" Target="../ctrlProps/ctrlProp37.xml"/><Relationship Id="rId21" Type="http://schemas.openxmlformats.org/officeDocument/2006/relationships/ctrlProp" Target="../ctrlProps/ctrlProp19.xml"/><Relationship Id="rId34" Type="http://schemas.openxmlformats.org/officeDocument/2006/relationships/ctrlProp" Target="../ctrlProps/ctrlProp32.xml"/><Relationship Id="rId42" Type="http://schemas.openxmlformats.org/officeDocument/2006/relationships/ctrlProp" Target="../ctrlProps/ctrlProp40.xml"/><Relationship Id="rId47" Type="http://schemas.openxmlformats.org/officeDocument/2006/relationships/ctrlProp" Target="../ctrlProps/ctrlProp45.xml"/><Relationship Id="rId50" Type="http://schemas.openxmlformats.org/officeDocument/2006/relationships/ctrlProp" Target="../ctrlProps/ctrlProp48.xml"/><Relationship Id="rId7" Type="http://schemas.openxmlformats.org/officeDocument/2006/relationships/ctrlProp" Target="../ctrlProps/ctrlProp5.xml"/><Relationship Id="rId2" Type="http://schemas.openxmlformats.org/officeDocument/2006/relationships/vmlDrawing" Target="../drawings/vmlDrawing1.vml"/><Relationship Id="rId16" Type="http://schemas.openxmlformats.org/officeDocument/2006/relationships/ctrlProp" Target="../ctrlProps/ctrlProp14.xml"/><Relationship Id="rId29" Type="http://schemas.openxmlformats.org/officeDocument/2006/relationships/ctrlProp" Target="../ctrlProps/ctrlProp27.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37" Type="http://schemas.openxmlformats.org/officeDocument/2006/relationships/ctrlProp" Target="../ctrlProps/ctrlProp35.xml"/><Relationship Id="rId40" Type="http://schemas.openxmlformats.org/officeDocument/2006/relationships/ctrlProp" Target="../ctrlProps/ctrlProp38.xml"/><Relationship Id="rId45" Type="http://schemas.openxmlformats.org/officeDocument/2006/relationships/ctrlProp" Target="../ctrlProps/ctrlProp43.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36" Type="http://schemas.openxmlformats.org/officeDocument/2006/relationships/ctrlProp" Target="../ctrlProps/ctrlProp34.xml"/><Relationship Id="rId49" Type="http://schemas.openxmlformats.org/officeDocument/2006/relationships/ctrlProp" Target="../ctrlProps/ctrlProp47.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4" Type="http://schemas.openxmlformats.org/officeDocument/2006/relationships/ctrlProp" Target="../ctrlProps/ctrlProp42.xml"/><Relationship Id="rId52" Type="http://schemas.openxmlformats.org/officeDocument/2006/relationships/ctrlProp" Target="../ctrlProps/ctrlProp50.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 Id="rId35" Type="http://schemas.openxmlformats.org/officeDocument/2006/relationships/ctrlProp" Target="../ctrlProps/ctrlProp33.xml"/><Relationship Id="rId43" Type="http://schemas.openxmlformats.org/officeDocument/2006/relationships/ctrlProp" Target="../ctrlProps/ctrlProp41.xml"/><Relationship Id="rId48" Type="http://schemas.openxmlformats.org/officeDocument/2006/relationships/ctrlProp" Target="../ctrlProps/ctrlProp46.xml"/><Relationship Id="rId8" Type="http://schemas.openxmlformats.org/officeDocument/2006/relationships/ctrlProp" Target="../ctrlProps/ctrlProp6.xml"/><Relationship Id="rId51" Type="http://schemas.openxmlformats.org/officeDocument/2006/relationships/ctrlProp" Target="../ctrlProps/ctrlProp49.xml"/><Relationship Id="rId3" Type="http://schemas.openxmlformats.org/officeDocument/2006/relationships/ctrlProp" Target="../ctrlProps/ctrlProp1.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38" Type="http://schemas.openxmlformats.org/officeDocument/2006/relationships/ctrlProp" Target="../ctrlProps/ctrlProp36.xml"/><Relationship Id="rId46" Type="http://schemas.openxmlformats.org/officeDocument/2006/relationships/ctrlProp" Target="../ctrlProps/ctrlProp44.xml"/><Relationship Id="rId20" Type="http://schemas.openxmlformats.org/officeDocument/2006/relationships/ctrlProp" Target="../ctrlProps/ctrlProp18.xml"/><Relationship Id="rId41" Type="http://schemas.openxmlformats.org/officeDocument/2006/relationships/ctrlProp" Target="../ctrlProps/ctrlProp39.xml"/><Relationship Id="rId1" Type="http://schemas.openxmlformats.org/officeDocument/2006/relationships/drawing" Target="../drawings/drawing1.xml"/><Relationship Id="rId6" Type="http://schemas.openxmlformats.org/officeDocument/2006/relationships/ctrlProp" Target="../ctrlProps/ctrlProp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E67A8-A227-4056-AC99-FE313B4F06FC}">
  <dimension ref="A1:K41"/>
  <sheetViews>
    <sheetView tabSelected="1" zoomScale="120" zoomScaleNormal="120" workbookViewId="0">
      <selection activeCell="D3" sqref="D3"/>
    </sheetView>
  </sheetViews>
  <sheetFormatPr defaultRowHeight="14.4" x14ac:dyDescent="0.55000000000000004"/>
  <cols>
    <col min="2" max="2" width="61.89453125" customWidth="1"/>
    <col min="3" max="7" width="12.3671875" customWidth="1"/>
  </cols>
  <sheetData>
    <row r="1" spans="1:11" ht="20.399999999999999" x14ac:dyDescent="0.75">
      <c r="A1" s="8" t="s">
        <v>29</v>
      </c>
    </row>
    <row r="3" spans="1:11" ht="100.8" x14ac:dyDescent="0.55000000000000004">
      <c r="B3" s="4" t="s">
        <v>21</v>
      </c>
    </row>
    <row r="6" spans="1:11" x14ac:dyDescent="0.55000000000000004">
      <c r="B6" t="s">
        <v>22</v>
      </c>
      <c r="C6" s="7" t="s">
        <v>23</v>
      </c>
      <c r="D6" s="7" t="s">
        <v>24</v>
      </c>
      <c r="E6" s="7" t="s">
        <v>25</v>
      </c>
      <c r="F6" s="7" t="s">
        <v>26</v>
      </c>
      <c r="G6" s="7" t="s">
        <v>27</v>
      </c>
    </row>
    <row r="7" spans="1:11" x14ac:dyDescent="0.55000000000000004">
      <c r="A7">
        <v>1</v>
      </c>
      <c r="B7" s="5"/>
      <c r="C7" s="5"/>
      <c r="D7" s="5"/>
      <c r="E7" s="5"/>
      <c r="F7" s="5"/>
      <c r="G7" s="5"/>
    </row>
    <row r="8" spans="1:11" x14ac:dyDescent="0.55000000000000004">
      <c r="A8">
        <v>2</v>
      </c>
      <c r="B8" s="5"/>
      <c r="C8" s="5"/>
      <c r="D8" s="5"/>
      <c r="E8" s="5"/>
      <c r="F8" s="5"/>
      <c r="G8" s="5"/>
    </row>
    <row r="9" spans="1:11" x14ac:dyDescent="0.55000000000000004">
      <c r="A9">
        <v>3</v>
      </c>
      <c r="B9" s="5"/>
      <c r="C9" s="5"/>
      <c r="D9" s="5"/>
      <c r="E9" s="5"/>
      <c r="F9" s="5"/>
      <c r="G9" s="5"/>
    </row>
    <row r="10" spans="1:11" x14ac:dyDescent="0.55000000000000004">
      <c r="A10">
        <v>4</v>
      </c>
      <c r="B10" s="5"/>
      <c r="C10" s="5"/>
      <c r="D10" s="5"/>
      <c r="E10" s="5"/>
      <c r="F10" s="5"/>
      <c r="G10" s="5"/>
    </row>
    <row r="11" spans="1:11" x14ac:dyDescent="0.55000000000000004">
      <c r="A11">
        <v>5</v>
      </c>
      <c r="B11" s="5"/>
      <c r="C11" s="5"/>
      <c r="D11" s="5"/>
      <c r="E11" s="5"/>
      <c r="F11" s="5"/>
      <c r="G11" s="5"/>
    </row>
    <row r="12" spans="1:11" x14ac:dyDescent="0.55000000000000004">
      <c r="A12">
        <v>6</v>
      </c>
      <c r="B12" s="5"/>
      <c r="C12" s="5"/>
      <c r="D12" s="5"/>
      <c r="E12" s="5"/>
      <c r="F12" s="5"/>
      <c r="G12" s="5"/>
    </row>
    <row r="13" spans="1:11" x14ac:dyDescent="0.55000000000000004">
      <c r="A13">
        <v>7</v>
      </c>
      <c r="B13" s="5"/>
      <c r="C13" s="5"/>
      <c r="D13" s="5"/>
      <c r="E13" s="5"/>
      <c r="F13" s="5"/>
      <c r="G13" s="5"/>
    </row>
    <row r="14" spans="1:11" x14ac:dyDescent="0.55000000000000004">
      <c r="A14">
        <v>8</v>
      </c>
      <c r="B14" s="5"/>
      <c r="C14" s="5"/>
      <c r="D14" s="5"/>
      <c r="E14" s="5"/>
      <c r="F14" s="5"/>
      <c r="G14" s="5"/>
    </row>
    <row r="15" spans="1:11" x14ac:dyDescent="0.55000000000000004">
      <c r="A15">
        <v>9</v>
      </c>
      <c r="B15" s="5"/>
      <c r="C15" s="5"/>
      <c r="D15" s="5"/>
      <c r="E15" s="5"/>
      <c r="F15" s="5"/>
      <c r="G15" s="5"/>
    </row>
    <row r="16" spans="1:11" x14ac:dyDescent="0.55000000000000004">
      <c r="A16">
        <v>10</v>
      </c>
      <c r="B16" s="5"/>
      <c r="C16" s="5"/>
      <c r="D16" s="5"/>
      <c r="E16" s="5"/>
      <c r="F16" s="5"/>
      <c r="G16" s="5"/>
      <c r="H16" s="6"/>
      <c r="I16" s="6"/>
      <c r="J16" s="6"/>
      <c r="K16" s="6"/>
    </row>
    <row r="17" spans="2:11" x14ac:dyDescent="0.55000000000000004">
      <c r="B17" s="6"/>
      <c r="C17" s="6"/>
      <c r="D17" s="6"/>
      <c r="E17" s="6"/>
      <c r="F17" s="6"/>
      <c r="G17" s="6"/>
      <c r="H17" s="6"/>
      <c r="I17" s="6"/>
      <c r="J17" s="6"/>
      <c r="K17" s="6"/>
    </row>
    <row r="18" spans="2:11" x14ac:dyDescent="0.55000000000000004">
      <c r="B18" s="6"/>
      <c r="C18" s="6"/>
      <c r="D18" s="6"/>
      <c r="E18" s="6"/>
      <c r="F18" s="6"/>
      <c r="G18" s="6"/>
      <c r="H18" s="6"/>
      <c r="I18" s="6"/>
      <c r="J18" s="6"/>
      <c r="K18" s="6"/>
    </row>
    <row r="19" spans="2:11" x14ac:dyDescent="0.55000000000000004">
      <c r="B19" s="6"/>
      <c r="C19" s="6"/>
      <c r="D19" s="6"/>
      <c r="E19" s="6"/>
      <c r="F19" s="6"/>
      <c r="G19" s="6"/>
      <c r="H19" s="6"/>
      <c r="I19" s="6"/>
      <c r="J19" s="6"/>
      <c r="K19" s="6"/>
    </row>
    <row r="20" spans="2:11" x14ac:dyDescent="0.55000000000000004">
      <c r="B20" s="6"/>
      <c r="C20" s="6"/>
      <c r="D20" s="6"/>
      <c r="E20" s="6"/>
      <c r="F20" s="6"/>
      <c r="G20" s="6"/>
      <c r="H20" s="6"/>
      <c r="I20" s="6"/>
      <c r="J20" s="6"/>
      <c r="K20" s="6"/>
    </row>
    <row r="21" spans="2:11" x14ac:dyDescent="0.55000000000000004">
      <c r="B21" s="6"/>
      <c r="C21" s="6"/>
      <c r="D21" s="6"/>
      <c r="E21" s="6"/>
      <c r="F21" s="6"/>
      <c r="G21" s="6"/>
      <c r="H21" s="6"/>
      <c r="I21" s="6"/>
      <c r="J21" s="6"/>
      <c r="K21" s="6"/>
    </row>
    <row r="22" spans="2:11" x14ac:dyDescent="0.55000000000000004">
      <c r="B22" s="6"/>
      <c r="C22" s="6"/>
      <c r="D22" s="6"/>
      <c r="E22" s="6"/>
      <c r="F22" s="6"/>
      <c r="G22" s="6"/>
      <c r="H22" s="6"/>
      <c r="I22" s="6"/>
      <c r="J22" s="6"/>
      <c r="K22" s="6"/>
    </row>
    <row r="23" spans="2:11" x14ac:dyDescent="0.55000000000000004">
      <c r="B23" s="6"/>
      <c r="C23" s="6"/>
      <c r="D23" s="6"/>
      <c r="E23" s="6"/>
      <c r="F23" s="6"/>
      <c r="G23" s="6"/>
      <c r="H23" s="6"/>
      <c r="I23" s="6"/>
      <c r="J23" s="6"/>
      <c r="K23" s="6"/>
    </row>
    <row r="24" spans="2:11" x14ac:dyDescent="0.55000000000000004">
      <c r="B24" s="6"/>
      <c r="C24" s="6"/>
      <c r="D24" s="6"/>
      <c r="E24" s="6"/>
      <c r="F24" s="6"/>
      <c r="G24" s="6"/>
      <c r="H24" s="6"/>
      <c r="I24" s="6"/>
      <c r="J24" s="6"/>
      <c r="K24" s="6"/>
    </row>
    <row r="25" spans="2:11" x14ac:dyDescent="0.55000000000000004">
      <c r="B25" s="6"/>
      <c r="C25" s="6"/>
      <c r="D25" s="6"/>
      <c r="E25" s="6"/>
      <c r="F25" s="6"/>
      <c r="G25" s="6"/>
      <c r="H25" s="6"/>
      <c r="I25" s="6"/>
      <c r="J25" s="6"/>
      <c r="K25" s="6"/>
    </row>
    <row r="26" spans="2:11" x14ac:dyDescent="0.55000000000000004">
      <c r="B26" s="6"/>
      <c r="C26" s="6"/>
      <c r="D26" s="6"/>
      <c r="E26" s="6"/>
      <c r="F26" s="6"/>
      <c r="G26" s="6"/>
      <c r="H26" s="6"/>
      <c r="I26" s="6"/>
      <c r="J26" s="6"/>
      <c r="K26" s="6"/>
    </row>
    <row r="27" spans="2:11" x14ac:dyDescent="0.55000000000000004">
      <c r="B27" s="6"/>
      <c r="C27" s="6"/>
      <c r="D27" s="6"/>
      <c r="E27" s="6"/>
      <c r="F27" s="6"/>
      <c r="G27" s="6"/>
      <c r="H27" s="6"/>
      <c r="I27" s="6"/>
      <c r="J27" s="6"/>
      <c r="K27" s="6"/>
    </row>
    <row r="28" spans="2:11" x14ac:dyDescent="0.55000000000000004">
      <c r="B28" s="6"/>
      <c r="C28" s="6"/>
      <c r="D28" s="6"/>
      <c r="E28" s="6"/>
      <c r="F28" s="6"/>
      <c r="G28" s="6"/>
      <c r="H28" s="6"/>
      <c r="I28" s="6"/>
      <c r="J28" s="6"/>
      <c r="K28" s="6"/>
    </row>
    <row r="29" spans="2:11" x14ac:dyDescent="0.55000000000000004">
      <c r="B29" s="6"/>
      <c r="C29" s="6"/>
      <c r="D29" s="6"/>
      <c r="E29" s="6"/>
      <c r="F29" s="6"/>
      <c r="G29" s="6"/>
      <c r="H29" s="6"/>
      <c r="I29" s="6"/>
      <c r="J29" s="6"/>
      <c r="K29" s="6"/>
    </row>
    <row r="30" spans="2:11" x14ac:dyDescent="0.55000000000000004">
      <c r="B30" s="6"/>
      <c r="C30" s="6"/>
      <c r="D30" s="6"/>
      <c r="E30" s="6"/>
      <c r="F30" s="6"/>
      <c r="G30" s="6"/>
      <c r="H30" s="6"/>
      <c r="I30" s="6"/>
      <c r="J30" s="6"/>
      <c r="K30" s="6"/>
    </row>
    <row r="31" spans="2:11" x14ac:dyDescent="0.55000000000000004">
      <c r="B31" s="6"/>
      <c r="C31" s="6"/>
      <c r="D31" s="6"/>
      <c r="E31" s="6"/>
      <c r="F31" s="6"/>
      <c r="G31" s="6"/>
      <c r="H31" s="6"/>
      <c r="I31" s="6"/>
      <c r="J31" s="6"/>
      <c r="K31" s="6"/>
    </row>
    <row r="32" spans="2:11" x14ac:dyDescent="0.55000000000000004">
      <c r="B32" s="6"/>
      <c r="C32" s="6"/>
      <c r="D32" s="6"/>
      <c r="E32" s="6"/>
      <c r="F32" s="6"/>
      <c r="G32" s="6"/>
      <c r="H32" s="6"/>
      <c r="I32" s="6"/>
      <c r="J32" s="6"/>
      <c r="K32" s="6"/>
    </row>
    <row r="33" spans="2:11" x14ac:dyDescent="0.55000000000000004">
      <c r="B33" s="6"/>
      <c r="C33" s="6"/>
      <c r="D33" s="6"/>
      <c r="E33" s="6"/>
      <c r="F33" s="6"/>
      <c r="G33" s="6"/>
      <c r="H33" s="6"/>
      <c r="I33" s="6"/>
      <c r="J33" s="6"/>
      <c r="K33" s="6"/>
    </row>
    <row r="34" spans="2:11" x14ac:dyDescent="0.55000000000000004">
      <c r="B34" s="6"/>
      <c r="C34" s="6"/>
      <c r="D34" s="6"/>
      <c r="E34" s="6"/>
      <c r="F34" s="6"/>
      <c r="G34" s="6"/>
      <c r="H34" s="6"/>
      <c r="I34" s="6"/>
      <c r="J34" s="6"/>
      <c r="K34" s="6"/>
    </row>
    <row r="35" spans="2:11" x14ac:dyDescent="0.55000000000000004">
      <c r="B35" s="6"/>
      <c r="C35" s="6"/>
      <c r="D35" s="6"/>
      <c r="E35" s="6"/>
      <c r="F35" s="6"/>
      <c r="G35" s="6"/>
      <c r="H35" s="6"/>
      <c r="I35" s="6"/>
      <c r="J35" s="6"/>
      <c r="K35" s="6"/>
    </row>
    <row r="36" spans="2:11" x14ac:dyDescent="0.55000000000000004">
      <c r="B36" s="6"/>
      <c r="C36" s="6"/>
      <c r="D36" s="6"/>
      <c r="E36" s="6"/>
      <c r="F36" s="6"/>
      <c r="G36" s="6"/>
      <c r="H36" s="6"/>
      <c r="I36" s="6"/>
      <c r="J36" s="6"/>
      <c r="K36" s="6"/>
    </row>
    <row r="37" spans="2:11" x14ac:dyDescent="0.55000000000000004">
      <c r="B37" s="6"/>
      <c r="C37" s="6"/>
      <c r="D37" s="6"/>
      <c r="E37" s="6"/>
      <c r="F37" s="6"/>
      <c r="G37" s="6"/>
      <c r="H37" s="6"/>
      <c r="I37" s="6"/>
      <c r="J37" s="6"/>
      <c r="K37" s="6"/>
    </row>
    <row r="38" spans="2:11" x14ac:dyDescent="0.55000000000000004">
      <c r="B38" s="6"/>
      <c r="C38" s="6"/>
      <c r="D38" s="6"/>
      <c r="E38" s="6"/>
      <c r="F38" s="6"/>
      <c r="G38" s="6"/>
      <c r="H38" s="6"/>
      <c r="I38" s="6"/>
      <c r="J38" s="6"/>
      <c r="K38" s="6"/>
    </row>
    <row r="39" spans="2:11" x14ac:dyDescent="0.55000000000000004">
      <c r="B39" s="6"/>
      <c r="C39" s="6"/>
      <c r="D39" s="6"/>
      <c r="E39" s="6"/>
      <c r="F39" s="6"/>
      <c r="G39" s="6"/>
      <c r="H39" s="6"/>
      <c r="I39" s="6"/>
      <c r="J39" s="6"/>
      <c r="K39" s="6"/>
    </row>
    <row r="40" spans="2:11" x14ac:dyDescent="0.55000000000000004">
      <c r="B40" s="6"/>
      <c r="C40" s="6"/>
      <c r="D40" s="6"/>
      <c r="E40" s="6"/>
      <c r="F40" s="6"/>
      <c r="G40" s="6"/>
      <c r="H40" s="6"/>
      <c r="I40" s="6"/>
      <c r="J40" s="6"/>
      <c r="K40" s="6"/>
    </row>
    <row r="41" spans="2:11" x14ac:dyDescent="0.55000000000000004">
      <c r="B41" s="6"/>
      <c r="C41" s="6"/>
      <c r="D41" s="6"/>
      <c r="E41" s="6"/>
      <c r="F41" s="6"/>
      <c r="G41" s="6"/>
      <c r="H41" s="6"/>
      <c r="I41" s="6"/>
      <c r="J41" s="6"/>
      <c r="K41" s="6"/>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2</xdr:col>
                    <xdr:colOff>365760</xdr:colOff>
                    <xdr:row>5</xdr:row>
                    <xdr:rowOff>167640</xdr:rowOff>
                  </from>
                  <to>
                    <xdr:col>2</xdr:col>
                    <xdr:colOff>544830</xdr:colOff>
                    <xdr:row>7</xdr:row>
                    <xdr:rowOff>15240</xdr:rowOff>
                  </to>
                </anchor>
              </controlPr>
            </control>
          </mc:Choice>
        </mc:AlternateContent>
        <mc:AlternateContent xmlns:mc="http://schemas.openxmlformats.org/markup-compatibility/2006">
          <mc:Choice Requires="x14">
            <control shapeId="2079" r:id="rId4" name="Check Box 31">
              <controlPr defaultSize="0" autoFill="0" autoLine="0" autoPict="0">
                <anchor moveWithCells="1">
                  <from>
                    <xdr:col>2</xdr:col>
                    <xdr:colOff>365760</xdr:colOff>
                    <xdr:row>6</xdr:row>
                    <xdr:rowOff>167640</xdr:rowOff>
                  </from>
                  <to>
                    <xdr:col>2</xdr:col>
                    <xdr:colOff>544830</xdr:colOff>
                    <xdr:row>8</xdr:row>
                    <xdr:rowOff>15240</xdr:rowOff>
                  </to>
                </anchor>
              </controlPr>
            </control>
          </mc:Choice>
        </mc:AlternateContent>
        <mc:AlternateContent xmlns:mc="http://schemas.openxmlformats.org/markup-compatibility/2006">
          <mc:Choice Requires="x14">
            <control shapeId="2080" r:id="rId5" name="Check Box 32">
              <controlPr defaultSize="0" autoFill="0" autoLine="0" autoPict="0">
                <anchor moveWithCells="1">
                  <from>
                    <xdr:col>2</xdr:col>
                    <xdr:colOff>365760</xdr:colOff>
                    <xdr:row>7</xdr:row>
                    <xdr:rowOff>167640</xdr:rowOff>
                  </from>
                  <to>
                    <xdr:col>2</xdr:col>
                    <xdr:colOff>544830</xdr:colOff>
                    <xdr:row>9</xdr:row>
                    <xdr:rowOff>15240</xdr:rowOff>
                  </to>
                </anchor>
              </controlPr>
            </control>
          </mc:Choice>
        </mc:AlternateContent>
        <mc:AlternateContent xmlns:mc="http://schemas.openxmlformats.org/markup-compatibility/2006">
          <mc:Choice Requires="x14">
            <control shapeId="2081" r:id="rId6" name="Check Box 33">
              <controlPr defaultSize="0" autoFill="0" autoLine="0" autoPict="0">
                <anchor moveWithCells="1">
                  <from>
                    <xdr:col>2</xdr:col>
                    <xdr:colOff>365760</xdr:colOff>
                    <xdr:row>8</xdr:row>
                    <xdr:rowOff>167640</xdr:rowOff>
                  </from>
                  <to>
                    <xdr:col>2</xdr:col>
                    <xdr:colOff>544830</xdr:colOff>
                    <xdr:row>10</xdr:row>
                    <xdr:rowOff>15240</xdr:rowOff>
                  </to>
                </anchor>
              </controlPr>
            </control>
          </mc:Choice>
        </mc:AlternateContent>
        <mc:AlternateContent xmlns:mc="http://schemas.openxmlformats.org/markup-compatibility/2006">
          <mc:Choice Requires="x14">
            <control shapeId="2082" r:id="rId7" name="Check Box 34">
              <controlPr defaultSize="0" autoFill="0" autoLine="0" autoPict="0">
                <anchor moveWithCells="1">
                  <from>
                    <xdr:col>2</xdr:col>
                    <xdr:colOff>365760</xdr:colOff>
                    <xdr:row>9</xdr:row>
                    <xdr:rowOff>167640</xdr:rowOff>
                  </from>
                  <to>
                    <xdr:col>2</xdr:col>
                    <xdr:colOff>544830</xdr:colOff>
                    <xdr:row>11</xdr:row>
                    <xdr:rowOff>15240</xdr:rowOff>
                  </to>
                </anchor>
              </controlPr>
            </control>
          </mc:Choice>
        </mc:AlternateContent>
        <mc:AlternateContent xmlns:mc="http://schemas.openxmlformats.org/markup-compatibility/2006">
          <mc:Choice Requires="x14">
            <control shapeId="2083" r:id="rId8" name="Check Box 35">
              <controlPr defaultSize="0" autoFill="0" autoLine="0" autoPict="0">
                <anchor moveWithCells="1">
                  <from>
                    <xdr:col>2</xdr:col>
                    <xdr:colOff>365760</xdr:colOff>
                    <xdr:row>10</xdr:row>
                    <xdr:rowOff>167640</xdr:rowOff>
                  </from>
                  <to>
                    <xdr:col>2</xdr:col>
                    <xdr:colOff>544830</xdr:colOff>
                    <xdr:row>12</xdr:row>
                    <xdr:rowOff>15240</xdr:rowOff>
                  </to>
                </anchor>
              </controlPr>
            </control>
          </mc:Choice>
        </mc:AlternateContent>
        <mc:AlternateContent xmlns:mc="http://schemas.openxmlformats.org/markup-compatibility/2006">
          <mc:Choice Requires="x14">
            <control shapeId="2084" r:id="rId9" name="Check Box 36">
              <controlPr defaultSize="0" autoFill="0" autoLine="0" autoPict="0">
                <anchor moveWithCells="1">
                  <from>
                    <xdr:col>3</xdr:col>
                    <xdr:colOff>365760</xdr:colOff>
                    <xdr:row>5</xdr:row>
                    <xdr:rowOff>167640</xdr:rowOff>
                  </from>
                  <to>
                    <xdr:col>3</xdr:col>
                    <xdr:colOff>544830</xdr:colOff>
                    <xdr:row>7</xdr:row>
                    <xdr:rowOff>15240</xdr:rowOff>
                  </to>
                </anchor>
              </controlPr>
            </control>
          </mc:Choice>
        </mc:AlternateContent>
        <mc:AlternateContent xmlns:mc="http://schemas.openxmlformats.org/markup-compatibility/2006">
          <mc:Choice Requires="x14">
            <control shapeId="2085" r:id="rId10" name="Check Box 37">
              <controlPr defaultSize="0" autoFill="0" autoLine="0" autoPict="0">
                <anchor moveWithCells="1">
                  <from>
                    <xdr:col>3</xdr:col>
                    <xdr:colOff>365760</xdr:colOff>
                    <xdr:row>6</xdr:row>
                    <xdr:rowOff>167640</xdr:rowOff>
                  </from>
                  <to>
                    <xdr:col>3</xdr:col>
                    <xdr:colOff>544830</xdr:colOff>
                    <xdr:row>8</xdr:row>
                    <xdr:rowOff>15240</xdr:rowOff>
                  </to>
                </anchor>
              </controlPr>
            </control>
          </mc:Choice>
        </mc:AlternateContent>
        <mc:AlternateContent xmlns:mc="http://schemas.openxmlformats.org/markup-compatibility/2006">
          <mc:Choice Requires="x14">
            <control shapeId="2086" r:id="rId11" name="Check Box 38">
              <controlPr defaultSize="0" autoFill="0" autoLine="0" autoPict="0">
                <anchor moveWithCells="1">
                  <from>
                    <xdr:col>3</xdr:col>
                    <xdr:colOff>365760</xdr:colOff>
                    <xdr:row>7</xdr:row>
                    <xdr:rowOff>167640</xdr:rowOff>
                  </from>
                  <to>
                    <xdr:col>3</xdr:col>
                    <xdr:colOff>544830</xdr:colOff>
                    <xdr:row>9</xdr:row>
                    <xdr:rowOff>15240</xdr:rowOff>
                  </to>
                </anchor>
              </controlPr>
            </control>
          </mc:Choice>
        </mc:AlternateContent>
        <mc:AlternateContent xmlns:mc="http://schemas.openxmlformats.org/markup-compatibility/2006">
          <mc:Choice Requires="x14">
            <control shapeId="2087" r:id="rId12" name="Check Box 39">
              <controlPr defaultSize="0" autoFill="0" autoLine="0" autoPict="0">
                <anchor moveWithCells="1">
                  <from>
                    <xdr:col>3</xdr:col>
                    <xdr:colOff>365760</xdr:colOff>
                    <xdr:row>8</xdr:row>
                    <xdr:rowOff>167640</xdr:rowOff>
                  </from>
                  <to>
                    <xdr:col>3</xdr:col>
                    <xdr:colOff>544830</xdr:colOff>
                    <xdr:row>10</xdr:row>
                    <xdr:rowOff>15240</xdr:rowOff>
                  </to>
                </anchor>
              </controlPr>
            </control>
          </mc:Choice>
        </mc:AlternateContent>
        <mc:AlternateContent xmlns:mc="http://schemas.openxmlformats.org/markup-compatibility/2006">
          <mc:Choice Requires="x14">
            <control shapeId="2088" r:id="rId13" name="Check Box 40">
              <controlPr defaultSize="0" autoFill="0" autoLine="0" autoPict="0">
                <anchor moveWithCells="1">
                  <from>
                    <xdr:col>3</xdr:col>
                    <xdr:colOff>365760</xdr:colOff>
                    <xdr:row>9</xdr:row>
                    <xdr:rowOff>167640</xdr:rowOff>
                  </from>
                  <to>
                    <xdr:col>3</xdr:col>
                    <xdr:colOff>544830</xdr:colOff>
                    <xdr:row>11</xdr:row>
                    <xdr:rowOff>15240</xdr:rowOff>
                  </to>
                </anchor>
              </controlPr>
            </control>
          </mc:Choice>
        </mc:AlternateContent>
        <mc:AlternateContent xmlns:mc="http://schemas.openxmlformats.org/markup-compatibility/2006">
          <mc:Choice Requires="x14">
            <control shapeId="2089" r:id="rId14" name="Check Box 41">
              <controlPr defaultSize="0" autoFill="0" autoLine="0" autoPict="0">
                <anchor moveWithCells="1">
                  <from>
                    <xdr:col>3</xdr:col>
                    <xdr:colOff>365760</xdr:colOff>
                    <xdr:row>10</xdr:row>
                    <xdr:rowOff>167640</xdr:rowOff>
                  </from>
                  <to>
                    <xdr:col>3</xdr:col>
                    <xdr:colOff>544830</xdr:colOff>
                    <xdr:row>12</xdr:row>
                    <xdr:rowOff>15240</xdr:rowOff>
                  </to>
                </anchor>
              </controlPr>
            </control>
          </mc:Choice>
        </mc:AlternateContent>
        <mc:AlternateContent xmlns:mc="http://schemas.openxmlformats.org/markup-compatibility/2006">
          <mc:Choice Requires="x14">
            <control shapeId="2090" r:id="rId15" name="Check Box 42">
              <controlPr defaultSize="0" autoFill="0" autoLine="0" autoPict="0">
                <anchor moveWithCells="1">
                  <from>
                    <xdr:col>4</xdr:col>
                    <xdr:colOff>365760</xdr:colOff>
                    <xdr:row>5</xdr:row>
                    <xdr:rowOff>167640</xdr:rowOff>
                  </from>
                  <to>
                    <xdr:col>4</xdr:col>
                    <xdr:colOff>544830</xdr:colOff>
                    <xdr:row>7</xdr:row>
                    <xdr:rowOff>15240</xdr:rowOff>
                  </to>
                </anchor>
              </controlPr>
            </control>
          </mc:Choice>
        </mc:AlternateContent>
        <mc:AlternateContent xmlns:mc="http://schemas.openxmlformats.org/markup-compatibility/2006">
          <mc:Choice Requires="x14">
            <control shapeId="2091" r:id="rId16" name="Check Box 43">
              <controlPr defaultSize="0" autoFill="0" autoLine="0" autoPict="0">
                <anchor moveWithCells="1">
                  <from>
                    <xdr:col>4</xdr:col>
                    <xdr:colOff>365760</xdr:colOff>
                    <xdr:row>6</xdr:row>
                    <xdr:rowOff>167640</xdr:rowOff>
                  </from>
                  <to>
                    <xdr:col>4</xdr:col>
                    <xdr:colOff>544830</xdr:colOff>
                    <xdr:row>8</xdr:row>
                    <xdr:rowOff>15240</xdr:rowOff>
                  </to>
                </anchor>
              </controlPr>
            </control>
          </mc:Choice>
        </mc:AlternateContent>
        <mc:AlternateContent xmlns:mc="http://schemas.openxmlformats.org/markup-compatibility/2006">
          <mc:Choice Requires="x14">
            <control shapeId="2092" r:id="rId17" name="Check Box 44">
              <controlPr defaultSize="0" autoFill="0" autoLine="0" autoPict="0">
                <anchor moveWithCells="1">
                  <from>
                    <xdr:col>4</xdr:col>
                    <xdr:colOff>365760</xdr:colOff>
                    <xdr:row>7</xdr:row>
                    <xdr:rowOff>167640</xdr:rowOff>
                  </from>
                  <to>
                    <xdr:col>4</xdr:col>
                    <xdr:colOff>544830</xdr:colOff>
                    <xdr:row>9</xdr:row>
                    <xdr:rowOff>15240</xdr:rowOff>
                  </to>
                </anchor>
              </controlPr>
            </control>
          </mc:Choice>
        </mc:AlternateContent>
        <mc:AlternateContent xmlns:mc="http://schemas.openxmlformats.org/markup-compatibility/2006">
          <mc:Choice Requires="x14">
            <control shapeId="2093" r:id="rId18" name="Check Box 45">
              <controlPr defaultSize="0" autoFill="0" autoLine="0" autoPict="0">
                <anchor moveWithCells="1">
                  <from>
                    <xdr:col>4</xdr:col>
                    <xdr:colOff>365760</xdr:colOff>
                    <xdr:row>8</xdr:row>
                    <xdr:rowOff>167640</xdr:rowOff>
                  </from>
                  <to>
                    <xdr:col>4</xdr:col>
                    <xdr:colOff>544830</xdr:colOff>
                    <xdr:row>10</xdr:row>
                    <xdr:rowOff>15240</xdr:rowOff>
                  </to>
                </anchor>
              </controlPr>
            </control>
          </mc:Choice>
        </mc:AlternateContent>
        <mc:AlternateContent xmlns:mc="http://schemas.openxmlformats.org/markup-compatibility/2006">
          <mc:Choice Requires="x14">
            <control shapeId="2094" r:id="rId19" name="Check Box 46">
              <controlPr defaultSize="0" autoFill="0" autoLine="0" autoPict="0">
                <anchor moveWithCells="1">
                  <from>
                    <xdr:col>4</xdr:col>
                    <xdr:colOff>365760</xdr:colOff>
                    <xdr:row>9</xdr:row>
                    <xdr:rowOff>167640</xdr:rowOff>
                  </from>
                  <to>
                    <xdr:col>4</xdr:col>
                    <xdr:colOff>544830</xdr:colOff>
                    <xdr:row>11</xdr:row>
                    <xdr:rowOff>15240</xdr:rowOff>
                  </to>
                </anchor>
              </controlPr>
            </control>
          </mc:Choice>
        </mc:AlternateContent>
        <mc:AlternateContent xmlns:mc="http://schemas.openxmlformats.org/markup-compatibility/2006">
          <mc:Choice Requires="x14">
            <control shapeId="2095" r:id="rId20" name="Check Box 47">
              <controlPr defaultSize="0" autoFill="0" autoLine="0" autoPict="0">
                <anchor moveWithCells="1">
                  <from>
                    <xdr:col>4</xdr:col>
                    <xdr:colOff>365760</xdr:colOff>
                    <xdr:row>10</xdr:row>
                    <xdr:rowOff>167640</xdr:rowOff>
                  </from>
                  <to>
                    <xdr:col>4</xdr:col>
                    <xdr:colOff>544830</xdr:colOff>
                    <xdr:row>12</xdr:row>
                    <xdr:rowOff>15240</xdr:rowOff>
                  </to>
                </anchor>
              </controlPr>
            </control>
          </mc:Choice>
        </mc:AlternateContent>
        <mc:AlternateContent xmlns:mc="http://schemas.openxmlformats.org/markup-compatibility/2006">
          <mc:Choice Requires="x14">
            <control shapeId="2096" r:id="rId21" name="Check Box 48">
              <controlPr defaultSize="0" autoFill="0" autoLine="0" autoPict="0">
                <anchor moveWithCells="1">
                  <from>
                    <xdr:col>5</xdr:col>
                    <xdr:colOff>365760</xdr:colOff>
                    <xdr:row>5</xdr:row>
                    <xdr:rowOff>167640</xdr:rowOff>
                  </from>
                  <to>
                    <xdr:col>5</xdr:col>
                    <xdr:colOff>544830</xdr:colOff>
                    <xdr:row>7</xdr:row>
                    <xdr:rowOff>15240</xdr:rowOff>
                  </to>
                </anchor>
              </controlPr>
            </control>
          </mc:Choice>
        </mc:AlternateContent>
        <mc:AlternateContent xmlns:mc="http://schemas.openxmlformats.org/markup-compatibility/2006">
          <mc:Choice Requires="x14">
            <control shapeId="2097" r:id="rId22" name="Check Box 49">
              <controlPr defaultSize="0" autoFill="0" autoLine="0" autoPict="0">
                <anchor moveWithCells="1">
                  <from>
                    <xdr:col>5</xdr:col>
                    <xdr:colOff>365760</xdr:colOff>
                    <xdr:row>6</xdr:row>
                    <xdr:rowOff>167640</xdr:rowOff>
                  </from>
                  <to>
                    <xdr:col>5</xdr:col>
                    <xdr:colOff>544830</xdr:colOff>
                    <xdr:row>8</xdr:row>
                    <xdr:rowOff>15240</xdr:rowOff>
                  </to>
                </anchor>
              </controlPr>
            </control>
          </mc:Choice>
        </mc:AlternateContent>
        <mc:AlternateContent xmlns:mc="http://schemas.openxmlformats.org/markup-compatibility/2006">
          <mc:Choice Requires="x14">
            <control shapeId="2098" r:id="rId23" name="Check Box 50">
              <controlPr defaultSize="0" autoFill="0" autoLine="0" autoPict="0">
                <anchor moveWithCells="1">
                  <from>
                    <xdr:col>5</xdr:col>
                    <xdr:colOff>365760</xdr:colOff>
                    <xdr:row>7</xdr:row>
                    <xdr:rowOff>167640</xdr:rowOff>
                  </from>
                  <to>
                    <xdr:col>5</xdr:col>
                    <xdr:colOff>544830</xdr:colOff>
                    <xdr:row>9</xdr:row>
                    <xdr:rowOff>15240</xdr:rowOff>
                  </to>
                </anchor>
              </controlPr>
            </control>
          </mc:Choice>
        </mc:AlternateContent>
        <mc:AlternateContent xmlns:mc="http://schemas.openxmlformats.org/markup-compatibility/2006">
          <mc:Choice Requires="x14">
            <control shapeId="2099" r:id="rId24" name="Check Box 51">
              <controlPr defaultSize="0" autoFill="0" autoLine="0" autoPict="0">
                <anchor moveWithCells="1">
                  <from>
                    <xdr:col>5</xdr:col>
                    <xdr:colOff>365760</xdr:colOff>
                    <xdr:row>8</xdr:row>
                    <xdr:rowOff>167640</xdr:rowOff>
                  </from>
                  <to>
                    <xdr:col>5</xdr:col>
                    <xdr:colOff>544830</xdr:colOff>
                    <xdr:row>10</xdr:row>
                    <xdr:rowOff>15240</xdr:rowOff>
                  </to>
                </anchor>
              </controlPr>
            </control>
          </mc:Choice>
        </mc:AlternateContent>
        <mc:AlternateContent xmlns:mc="http://schemas.openxmlformats.org/markup-compatibility/2006">
          <mc:Choice Requires="x14">
            <control shapeId="2100" r:id="rId25" name="Check Box 52">
              <controlPr defaultSize="0" autoFill="0" autoLine="0" autoPict="0">
                <anchor moveWithCells="1">
                  <from>
                    <xdr:col>5</xdr:col>
                    <xdr:colOff>365760</xdr:colOff>
                    <xdr:row>9</xdr:row>
                    <xdr:rowOff>167640</xdr:rowOff>
                  </from>
                  <to>
                    <xdr:col>5</xdr:col>
                    <xdr:colOff>544830</xdr:colOff>
                    <xdr:row>11</xdr:row>
                    <xdr:rowOff>15240</xdr:rowOff>
                  </to>
                </anchor>
              </controlPr>
            </control>
          </mc:Choice>
        </mc:AlternateContent>
        <mc:AlternateContent xmlns:mc="http://schemas.openxmlformats.org/markup-compatibility/2006">
          <mc:Choice Requires="x14">
            <control shapeId="2101" r:id="rId26" name="Check Box 53">
              <controlPr defaultSize="0" autoFill="0" autoLine="0" autoPict="0">
                <anchor moveWithCells="1">
                  <from>
                    <xdr:col>5</xdr:col>
                    <xdr:colOff>365760</xdr:colOff>
                    <xdr:row>10</xdr:row>
                    <xdr:rowOff>167640</xdr:rowOff>
                  </from>
                  <to>
                    <xdr:col>5</xdr:col>
                    <xdr:colOff>544830</xdr:colOff>
                    <xdr:row>12</xdr:row>
                    <xdr:rowOff>15240</xdr:rowOff>
                  </to>
                </anchor>
              </controlPr>
            </control>
          </mc:Choice>
        </mc:AlternateContent>
        <mc:AlternateContent xmlns:mc="http://schemas.openxmlformats.org/markup-compatibility/2006">
          <mc:Choice Requires="x14">
            <control shapeId="2102" r:id="rId27" name="Check Box 54">
              <controlPr defaultSize="0" autoFill="0" autoLine="0" autoPict="0">
                <anchor moveWithCells="1">
                  <from>
                    <xdr:col>6</xdr:col>
                    <xdr:colOff>365760</xdr:colOff>
                    <xdr:row>5</xdr:row>
                    <xdr:rowOff>167640</xdr:rowOff>
                  </from>
                  <to>
                    <xdr:col>6</xdr:col>
                    <xdr:colOff>544830</xdr:colOff>
                    <xdr:row>7</xdr:row>
                    <xdr:rowOff>15240</xdr:rowOff>
                  </to>
                </anchor>
              </controlPr>
            </control>
          </mc:Choice>
        </mc:AlternateContent>
        <mc:AlternateContent xmlns:mc="http://schemas.openxmlformats.org/markup-compatibility/2006">
          <mc:Choice Requires="x14">
            <control shapeId="2103" r:id="rId28" name="Check Box 55">
              <controlPr defaultSize="0" autoFill="0" autoLine="0" autoPict="0">
                <anchor moveWithCells="1">
                  <from>
                    <xdr:col>6</xdr:col>
                    <xdr:colOff>365760</xdr:colOff>
                    <xdr:row>6</xdr:row>
                    <xdr:rowOff>167640</xdr:rowOff>
                  </from>
                  <to>
                    <xdr:col>6</xdr:col>
                    <xdr:colOff>544830</xdr:colOff>
                    <xdr:row>8</xdr:row>
                    <xdr:rowOff>15240</xdr:rowOff>
                  </to>
                </anchor>
              </controlPr>
            </control>
          </mc:Choice>
        </mc:AlternateContent>
        <mc:AlternateContent xmlns:mc="http://schemas.openxmlformats.org/markup-compatibility/2006">
          <mc:Choice Requires="x14">
            <control shapeId="2104" r:id="rId29" name="Check Box 56">
              <controlPr defaultSize="0" autoFill="0" autoLine="0" autoPict="0">
                <anchor moveWithCells="1">
                  <from>
                    <xdr:col>6</xdr:col>
                    <xdr:colOff>365760</xdr:colOff>
                    <xdr:row>7</xdr:row>
                    <xdr:rowOff>167640</xdr:rowOff>
                  </from>
                  <to>
                    <xdr:col>6</xdr:col>
                    <xdr:colOff>544830</xdr:colOff>
                    <xdr:row>9</xdr:row>
                    <xdr:rowOff>15240</xdr:rowOff>
                  </to>
                </anchor>
              </controlPr>
            </control>
          </mc:Choice>
        </mc:AlternateContent>
        <mc:AlternateContent xmlns:mc="http://schemas.openxmlformats.org/markup-compatibility/2006">
          <mc:Choice Requires="x14">
            <control shapeId="2105" r:id="rId30" name="Check Box 57">
              <controlPr defaultSize="0" autoFill="0" autoLine="0" autoPict="0">
                <anchor moveWithCells="1">
                  <from>
                    <xdr:col>6</xdr:col>
                    <xdr:colOff>365760</xdr:colOff>
                    <xdr:row>8</xdr:row>
                    <xdr:rowOff>167640</xdr:rowOff>
                  </from>
                  <to>
                    <xdr:col>6</xdr:col>
                    <xdr:colOff>544830</xdr:colOff>
                    <xdr:row>10</xdr:row>
                    <xdr:rowOff>15240</xdr:rowOff>
                  </to>
                </anchor>
              </controlPr>
            </control>
          </mc:Choice>
        </mc:AlternateContent>
        <mc:AlternateContent xmlns:mc="http://schemas.openxmlformats.org/markup-compatibility/2006">
          <mc:Choice Requires="x14">
            <control shapeId="2106" r:id="rId31" name="Check Box 58">
              <controlPr defaultSize="0" autoFill="0" autoLine="0" autoPict="0">
                <anchor moveWithCells="1">
                  <from>
                    <xdr:col>6</xdr:col>
                    <xdr:colOff>365760</xdr:colOff>
                    <xdr:row>9</xdr:row>
                    <xdr:rowOff>167640</xdr:rowOff>
                  </from>
                  <to>
                    <xdr:col>6</xdr:col>
                    <xdr:colOff>544830</xdr:colOff>
                    <xdr:row>11</xdr:row>
                    <xdr:rowOff>15240</xdr:rowOff>
                  </to>
                </anchor>
              </controlPr>
            </control>
          </mc:Choice>
        </mc:AlternateContent>
        <mc:AlternateContent xmlns:mc="http://schemas.openxmlformats.org/markup-compatibility/2006">
          <mc:Choice Requires="x14">
            <control shapeId="2107" r:id="rId32" name="Check Box 59">
              <controlPr defaultSize="0" autoFill="0" autoLine="0" autoPict="0">
                <anchor moveWithCells="1">
                  <from>
                    <xdr:col>6</xdr:col>
                    <xdr:colOff>365760</xdr:colOff>
                    <xdr:row>10</xdr:row>
                    <xdr:rowOff>167640</xdr:rowOff>
                  </from>
                  <to>
                    <xdr:col>6</xdr:col>
                    <xdr:colOff>544830</xdr:colOff>
                    <xdr:row>12</xdr:row>
                    <xdr:rowOff>15240</xdr:rowOff>
                  </to>
                </anchor>
              </controlPr>
            </control>
          </mc:Choice>
        </mc:AlternateContent>
        <mc:AlternateContent xmlns:mc="http://schemas.openxmlformats.org/markup-compatibility/2006">
          <mc:Choice Requires="x14">
            <control shapeId="2108" r:id="rId33" name="Check Box 60">
              <controlPr defaultSize="0" autoFill="0" autoLine="0" autoPict="0">
                <anchor moveWithCells="1">
                  <from>
                    <xdr:col>2</xdr:col>
                    <xdr:colOff>365760</xdr:colOff>
                    <xdr:row>11</xdr:row>
                    <xdr:rowOff>167640</xdr:rowOff>
                  </from>
                  <to>
                    <xdr:col>2</xdr:col>
                    <xdr:colOff>544830</xdr:colOff>
                    <xdr:row>13</xdr:row>
                    <xdr:rowOff>15240</xdr:rowOff>
                  </to>
                </anchor>
              </controlPr>
            </control>
          </mc:Choice>
        </mc:AlternateContent>
        <mc:AlternateContent xmlns:mc="http://schemas.openxmlformats.org/markup-compatibility/2006">
          <mc:Choice Requires="x14">
            <control shapeId="2109" r:id="rId34" name="Check Box 61">
              <controlPr defaultSize="0" autoFill="0" autoLine="0" autoPict="0">
                <anchor moveWithCells="1">
                  <from>
                    <xdr:col>3</xdr:col>
                    <xdr:colOff>365760</xdr:colOff>
                    <xdr:row>11</xdr:row>
                    <xdr:rowOff>167640</xdr:rowOff>
                  </from>
                  <to>
                    <xdr:col>3</xdr:col>
                    <xdr:colOff>544830</xdr:colOff>
                    <xdr:row>13</xdr:row>
                    <xdr:rowOff>15240</xdr:rowOff>
                  </to>
                </anchor>
              </controlPr>
            </control>
          </mc:Choice>
        </mc:AlternateContent>
        <mc:AlternateContent xmlns:mc="http://schemas.openxmlformats.org/markup-compatibility/2006">
          <mc:Choice Requires="x14">
            <control shapeId="2110" r:id="rId35" name="Check Box 62">
              <controlPr defaultSize="0" autoFill="0" autoLine="0" autoPict="0">
                <anchor moveWithCells="1">
                  <from>
                    <xdr:col>4</xdr:col>
                    <xdr:colOff>365760</xdr:colOff>
                    <xdr:row>11</xdr:row>
                    <xdr:rowOff>167640</xdr:rowOff>
                  </from>
                  <to>
                    <xdr:col>4</xdr:col>
                    <xdr:colOff>544830</xdr:colOff>
                    <xdr:row>13</xdr:row>
                    <xdr:rowOff>15240</xdr:rowOff>
                  </to>
                </anchor>
              </controlPr>
            </control>
          </mc:Choice>
        </mc:AlternateContent>
        <mc:AlternateContent xmlns:mc="http://schemas.openxmlformats.org/markup-compatibility/2006">
          <mc:Choice Requires="x14">
            <control shapeId="2111" r:id="rId36" name="Check Box 63">
              <controlPr defaultSize="0" autoFill="0" autoLine="0" autoPict="0">
                <anchor moveWithCells="1">
                  <from>
                    <xdr:col>5</xdr:col>
                    <xdr:colOff>365760</xdr:colOff>
                    <xdr:row>11</xdr:row>
                    <xdr:rowOff>167640</xdr:rowOff>
                  </from>
                  <to>
                    <xdr:col>5</xdr:col>
                    <xdr:colOff>544830</xdr:colOff>
                    <xdr:row>13</xdr:row>
                    <xdr:rowOff>15240</xdr:rowOff>
                  </to>
                </anchor>
              </controlPr>
            </control>
          </mc:Choice>
        </mc:AlternateContent>
        <mc:AlternateContent xmlns:mc="http://schemas.openxmlformats.org/markup-compatibility/2006">
          <mc:Choice Requires="x14">
            <control shapeId="2112" r:id="rId37" name="Check Box 64">
              <controlPr defaultSize="0" autoFill="0" autoLine="0" autoPict="0">
                <anchor moveWithCells="1">
                  <from>
                    <xdr:col>6</xdr:col>
                    <xdr:colOff>365760</xdr:colOff>
                    <xdr:row>11</xdr:row>
                    <xdr:rowOff>167640</xdr:rowOff>
                  </from>
                  <to>
                    <xdr:col>6</xdr:col>
                    <xdr:colOff>544830</xdr:colOff>
                    <xdr:row>13</xdr:row>
                    <xdr:rowOff>15240</xdr:rowOff>
                  </to>
                </anchor>
              </controlPr>
            </control>
          </mc:Choice>
        </mc:AlternateContent>
        <mc:AlternateContent xmlns:mc="http://schemas.openxmlformats.org/markup-compatibility/2006">
          <mc:Choice Requires="x14">
            <control shapeId="2113" r:id="rId38" name="Check Box 65">
              <controlPr defaultSize="0" autoFill="0" autoLine="0" autoPict="0">
                <anchor moveWithCells="1">
                  <from>
                    <xdr:col>2</xdr:col>
                    <xdr:colOff>365760</xdr:colOff>
                    <xdr:row>12</xdr:row>
                    <xdr:rowOff>167640</xdr:rowOff>
                  </from>
                  <to>
                    <xdr:col>2</xdr:col>
                    <xdr:colOff>544830</xdr:colOff>
                    <xdr:row>14</xdr:row>
                    <xdr:rowOff>15240</xdr:rowOff>
                  </to>
                </anchor>
              </controlPr>
            </control>
          </mc:Choice>
        </mc:AlternateContent>
        <mc:AlternateContent xmlns:mc="http://schemas.openxmlformats.org/markup-compatibility/2006">
          <mc:Choice Requires="x14">
            <control shapeId="2114" r:id="rId39" name="Check Box 66">
              <controlPr defaultSize="0" autoFill="0" autoLine="0" autoPict="0">
                <anchor moveWithCells="1">
                  <from>
                    <xdr:col>3</xdr:col>
                    <xdr:colOff>365760</xdr:colOff>
                    <xdr:row>12</xdr:row>
                    <xdr:rowOff>167640</xdr:rowOff>
                  </from>
                  <to>
                    <xdr:col>3</xdr:col>
                    <xdr:colOff>544830</xdr:colOff>
                    <xdr:row>14</xdr:row>
                    <xdr:rowOff>15240</xdr:rowOff>
                  </to>
                </anchor>
              </controlPr>
            </control>
          </mc:Choice>
        </mc:AlternateContent>
        <mc:AlternateContent xmlns:mc="http://schemas.openxmlformats.org/markup-compatibility/2006">
          <mc:Choice Requires="x14">
            <control shapeId="2115" r:id="rId40" name="Check Box 67">
              <controlPr defaultSize="0" autoFill="0" autoLine="0" autoPict="0">
                <anchor moveWithCells="1">
                  <from>
                    <xdr:col>4</xdr:col>
                    <xdr:colOff>365760</xdr:colOff>
                    <xdr:row>12</xdr:row>
                    <xdr:rowOff>167640</xdr:rowOff>
                  </from>
                  <to>
                    <xdr:col>4</xdr:col>
                    <xdr:colOff>544830</xdr:colOff>
                    <xdr:row>14</xdr:row>
                    <xdr:rowOff>15240</xdr:rowOff>
                  </to>
                </anchor>
              </controlPr>
            </control>
          </mc:Choice>
        </mc:AlternateContent>
        <mc:AlternateContent xmlns:mc="http://schemas.openxmlformats.org/markup-compatibility/2006">
          <mc:Choice Requires="x14">
            <control shapeId="2116" r:id="rId41" name="Check Box 68">
              <controlPr defaultSize="0" autoFill="0" autoLine="0" autoPict="0">
                <anchor moveWithCells="1">
                  <from>
                    <xdr:col>5</xdr:col>
                    <xdr:colOff>365760</xdr:colOff>
                    <xdr:row>12</xdr:row>
                    <xdr:rowOff>167640</xdr:rowOff>
                  </from>
                  <to>
                    <xdr:col>5</xdr:col>
                    <xdr:colOff>544830</xdr:colOff>
                    <xdr:row>14</xdr:row>
                    <xdr:rowOff>15240</xdr:rowOff>
                  </to>
                </anchor>
              </controlPr>
            </control>
          </mc:Choice>
        </mc:AlternateContent>
        <mc:AlternateContent xmlns:mc="http://schemas.openxmlformats.org/markup-compatibility/2006">
          <mc:Choice Requires="x14">
            <control shapeId="2117" r:id="rId42" name="Check Box 69">
              <controlPr defaultSize="0" autoFill="0" autoLine="0" autoPict="0">
                <anchor moveWithCells="1">
                  <from>
                    <xdr:col>6</xdr:col>
                    <xdr:colOff>365760</xdr:colOff>
                    <xdr:row>12</xdr:row>
                    <xdr:rowOff>167640</xdr:rowOff>
                  </from>
                  <to>
                    <xdr:col>6</xdr:col>
                    <xdr:colOff>544830</xdr:colOff>
                    <xdr:row>14</xdr:row>
                    <xdr:rowOff>15240</xdr:rowOff>
                  </to>
                </anchor>
              </controlPr>
            </control>
          </mc:Choice>
        </mc:AlternateContent>
        <mc:AlternateContent xmlns:mc="http://schemas.openxmlformats.org/markup-compatibility/2006">
          <mc:Choice Requires="x14">
            <control shapeId="2118" r:id="rId43" name="Check Box 70">
              <controlPr defaultSize="0" autoFill="0" autoLine="0" autoPict="0">
                <anchor moveWithCells="1">
                  <from>
                    <xdr:col>2</xdr:col>
                    <xdr:colOff>365760</xdr:colOff>
                    <xdr:row>13</xdr:row>
                    <xdr:rowOff>167640</xdr:rowOff>
                  </from>
                  <to>
                    <xdr:col>2</xdr:col>
                    <xdr:colOff>544830</xdr:colOff>
                    <xdr:row>15</xdr:row>
                    <xdr:rowOff>15240</xdr:rowOff>
                  </to>
                </anchor>
              </controlPr>
            </control>
          </mc:Choice>
        </mc:AlternateContent>
        <mc:AlternateContent xmlns:mc="http://schemas.openxmlformats.org/markup-compatibility/2006">
          <mc:Choice Requires="x14">
            <control shapeId="2119" r:id="rId44" name="Check Box 71">
              <controlPr defaultSize="0" autoFill="0" autoLine="0" autoPict="0">
                <anchor moveWithCells="1">
                  <from>
                    <xdr:col>3</xdr:col>
                    <xdr:colOff>365760</xdr:colOff>
                    <xdr:row>13</xdr:row>
                    <xdr:rowOff>167640</xdr:rowOff>
                  </from>
                  <to>
                    <xdr:col>3</xdr:col>
                    <xdr:colOff>544830</xdr:colOff>
                    <xdr:row>15</xdr:row>
                    <xdr:rowOff>15240</xdr:rowOff>
                  </to>
                </anchor>
              </controlPr>
            </control>
          </mc:Choice>
        </mc:AlternateContent>
        <mc:AlternateContent xmlns:mc="http://schemas.openxmlformats.org/markup-compatibility/2006">
          <mc:Choice Requires="x14">
            <control shapeId="2120" r:id="rId45" name="Check Box 72">
              <controlPr defaultSize="0" autoFill="0" autoLine="0" autoPict="0">
                <anchor moveWithCells="1">
                  <from>
                    <xdr:col>4</xdr:col>
                    <xdr:colOff>365760</xdr:colOff>
                    <xdr:row>13</xdr:row>
                    <xdr:rowOff>167640</xdr:rowOff>
                  </from>
                  <to>
                    <xdr:col>4</xdr:col>
                    <xdr:colOff>544830</xdr:colOff>
                    <xdr:row>15</xdr:row>
                    <xdr:rowOff>15240</xdr:rowOff>
                  </to>
                </anchor>
              </controlPr>
            </control>
          </mc:Choice>
        </mc:AlternateContent>
        <mc:AlternateContent xmlns:mc="http://schemas.openxmlformats.org/markup-compatibility/2006">
          <mc:Choice Requires="x14">
            <control shapeId="2121" r:id="rId46" name="Check Box 73">
              <controlPr defaultSize="0" autoFill="0" autoLine="0" autoPict="0">
                <anchor moveWithCells="1">
                  <from>
                    <xdr:col>5</xdr:col>
                    <xdr:colOff>365760</xdr:colOff>
                    <xdr:row>13</xdr:row>
                    <xdr:rowOff>167640</xdr:rowOff>
                  </from>
                  <to>
                    <xdr:col>5</xdr:col>
                    <xdr:colOff>544830</xdr:colOff>
                    <xdr:row>15</xdr:row>
                    <xdr:rowOff>15240</xdr:rowOff>
                  </to>
                </anchor>
              </controlPr>
            </control>
          </mc:Choice>
        </mc:AlternateContent>
        <mc:AlternateContent xmlns:mc="http://schemas.openxmlformats.org/markup-compatibility/2006">
          <mc:Choice Requires="x14">
            <control shapeId="2122" r:id="rId47" name="Check Box 74">
              <controlPr defaultSize="0" autoFill="0" autoLine="0" autoPict="0">
                <anchor moveWithCells="1">
                  <from>
                    <xdr:col>6</xdr:col>
                    <xdr:colOff>365760</xdr:colOff>
                    <xdr:row>13</xdr:row>
                    <xdr:rowOff>167640</xdr:rowOff>
                  </from>
                  <to>
                    <xdr:col>6</xdr:col>
                    <xdr:colOff>544830</xdr:colOff>
                    <xdr:row>15</xdr:row>
                    <xdr:rowOff>15240</xdr:rowOff>
                  </to>
                </anchor>
              </controlPr>
            </control>
          </mc:Choice>
        </mc:AlternateContent>
        <mc:AlternateContent xmlns:mc="http://schemas.openxmlformats.org/markup-compatibility/2006">
          <mc:Choice Requires="x14">
            <control shapeId="2123" r:id="rId48" name="Check Box 75">
              <controlPr defaultSize="0" autoFill="0" autoLine="0" autoPict="0">
                <anchor moveWithCells="1">
                  <from>
                    <xdr:col>2</xdr:col>
                    <xdr:colOff>365760</xdr:colOff>
                    <xdr:row>14</xdr:row>
                    <xdr:rowOff>167640</xdr:rowOff>
                  </from>
                  <to>
                    <xdr:col>2</xdr:col>
                    <xdr:colOff>544830</xdr:colOff>
                    <xdr:row>16</xdr:row>
                    <xdr:rowOff>15240</xdr:rowOff>
                  </to>
                </anchor>
              </controlPr>
            </control>
          </mc:Choice>
        </mc:AlternateContent>
        <mc:AlternateContent xmlns:mc="http://schemas.openxmlformats.org/markup-compatibility/2006">
          <mc:Choice Requires="x14">
            <control shapeId="2124" r:id="rId49" name="Check Box 76">
              <controlPr defaultSize="0" autoFill="0" autoLine="0" autoPict="0">
                <anchor moveWithCells="1">
                  <from>
                    <xdr:col>3</xdr:col>
                    <xdr:colOff>365760</xdr:colOff>
                    <xdr:row>14</xdr:row>
                    <xdr:rowOff>167640</xdr:rowOff>
                  </from>
                  <to>
                    <xdr:col>3</xdr:col>
                    <xdr:colOff>544830</xdr:colOff>
                    <xdr:row>16</xdr:row>
                    <xdr:rowOff>15240</xdr:rowOff>
                  </to>
                </anchor>
              </controlPr>
            </control>
          </mc:Choice>
        </mc:AlternateContent>
        <mc:AlternateContent xmlns:mc="http://schemas.openxmlformats.org/markup-compatibility/2006">
          <mc:Choice Requires="x14">
            <control shapeId="2125" r:id="rId50" name="Check Box 77">
              <controlPr defaultSize="0" autoFill="0" autoLine="0" autoPict="0">
                <anchor moveWithCells="1">
                  <from>
                    <xdr:col>4</xdr:col>
                    <xdr:colOff>365760</xdr:colOff>
                    <xdr:row>14</xdr:row>
                    <xdr:rowOff>167640</xdr:rowOff>
                  </from>
                  <to>
                    <xdr:col>4</xdr:col>
                    <xdr:colOff>544830</xdr:colOff>
                    <xdr:row>16</xdr:row>
                    <xdr:rowOff>15240</xdr:rowOff>
                  </to>
                </anchor>
              </controlPr>
            </control>
          </mc:Choice>
        </mc:AlternateContent>
        <mc:AlternateContent xmlns:mc="http://schemas.openxmlformats.org/markup-compatibility/2006">
          <mc:Choice Requires="x14">
            <control shapeId="2126" r:id="rId51" name="Check Box 78">
              <controlPr defaultSize="0" autoFill="0" autoLine="0" autoPict="0">
                <anchor moveWithCells="1">
                  <from>
                    <xdr:col>5</xdr:col>
                    <xdr:colOff>365760</xdr:colOff>
                    <xdr:row>14</xdr:row>
                    <xdr:rowOff>167640</xdr:rowOff>
                  </from>
                  <to>
                    <xdr:col>5</xdr:col>
                    <xdr:colOff>544830</xdr:colOff>
                    <xdr:row>16</xdr:row>
                    <xdr:rowOff>15240</xdr:rowOff>
                  </to>
                </anchor>
              </controlPr>
            </control>
          </mc:Choice>
        </mc:AlternateContent>
        <mc:AlternateContent xmlns:mc="http://schemas.openxmlformats.org/markup-compatibility/2006">
          <mc:Choice Requires="x14">
            <control shapeId="2127" r:id="rId52" name="Check Box 79">
              <controlPr defaultSize="0" autoFill="0" autoLine="0" autoPict="0">
                <anchor moveWithCells="1">
                  <from>
                    <xdr:col>6</xdr:col>
                    <xdr:colOff>365760</xdr:colOff>
                    <xdr:row>14</xdr:row>
                    <xdr:rowOff>167640</xdr:rowOff>
                  </from>
                  <to>
                    <xdr:col>6</xdr:col>
                    <xdr:colOff>544830</xdr:colOff>
                    <xdr:row>16</xdr:row>
                    <xdr:rowOff>15240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CD281-31BF-4D68-9459-23D08A542B50}">
  <dimension ref="A1:E29"/>
  <sheetViews>
    <sheetView zoomScaleNormal="100" workbookViewId="0">
      <selection activeCell="G9" sqref="G9"/>
    </sheetView>
  </sheetViews>
  <sheetFormatPr defaultRowHeight="14.4" x14ac:dyDescent="0.55000000000000004"/>
  <cols>
    <col min="2" max="2" width="23" customWidth="1"/>
    <col min="3" max="3" width="9.7890625" bestFit="1" customWidth="1"/>
    <col min="4" max="4" width="10.7890625" bestFit="1" customWidth="1"/>
    <col min="5" max="5" width="9.7890625" bestFit="1" customWidth="1"/>
  </cols>
  <sheetData>
    <row r="1" spans="1:5" ht="20.399999999999999" x14ac:dyDescent="0.75">
      <c r="A1" s="9" t="s">
        <v>28</v>
      </c>
    </row>
    <row r="2" spans="1:5" x14ac:dyDescent="0.55000000000000004">
      <c r="D2" s="3"/>
    </row>
    <row r="4" spans="1:5" x14ac:dyDescent="0.55000000000000004">
      <c r="B4" s="10" t="s">
        <v>0</v>
      </c>
      <c r="C4" s="10"/>
      <c r="D4" s="10" t="s">
        <v>12</v>
      </c>
      <c r="E4" s="10" t="s">
        <v>13</v>
      </c>
    </row>
    <row r="6" spans="1:5" x14ac:dyDescent="0.55000000000000004">
      <c r="B6" s="1" t="s">
        <v>2</v>
      </c>
      <c r="C6" s="2"/>
      <c r="D6" s="11">
        <f>SUM(C7:C10)</f>
        <v>45000</v>
      </c>
      <c r="E6" s="11">
        <f>D6/12</f>
        <v>3750</v>
      </c>
    </row>
    <row r="7" spans="1:5" x14ac:dyDescent="0.55000000000000004">
      <c r="B7" t="s">
        <v>3</v>
      </c>
      <c r="C7" s="13">
        <v>10000</v>
      </c>
      <c r="D7" s="2"/>
      <c r="E7" s="2"/>
    </row>
    <row r="8" spans="1:5" x14ac:dyDescent="0.55000000000000004">
      <c r="B8" t="s">
        <v>4</v>
      </c>
      <c r="C8" s="13">
        <v>35000</v>
      </c>
      <c r="D8" s="2"/>
      <c r="E8" s="2"/>
    </row>
    <row r="9" spans="1:5" x14ac:dyDescent="0.55000000000000004">
      <c r="B9" t="s">
        <v>5</v>
      </c>
      <c r="C9" s="13">
        <v>0</v>
      </c>
      <c r="D9" s="2"/>
      <c r="E9" s="2"/>
    </row>
    <row r="10" spans="1:5" x14ac:dyDescent="0.55000000000000004">
      <c r="B10" t="s">
        <v>6</v>
      </c>
      <c r="C10" s="13">
        <v>0</v>
      </c>
      <c r="D10" s="2"/>
      <c r="E10" s="2"/>
    </row>
    <row r="11" spans="1:5" x14ac:dyDescent="0.55000000000000004">
      <c r="C11" s="2"/>
      <c r="D11" s="2"/>
      <c r="E11" s="2"/>
    </row>
    <row r="12" spans="1:5" x14ac:dyDescent="0.55000000000000004">
      <c r="B12" s="1" t="s">
        <v>122</v>
      </c>
      <c r="C12" s="2"/>
      <c r="D12" s="11">
        <f>SUM(C13:C16)</f>
        <v>0</v>
      </c>
      <c r="E12" s="11">
        <f>D12/12</f>
        <v>0</v>
      </c>
    </row>
    <row r="13" spans="1:5" x14ac:dyDescent="0.55000000000000004">
      <c r="B13" t="s">
        <v>7</v>
      </c>
      <c r="C13" s="13">
        <v>0</v>
      </c>
      <c r="D13" s="2"/>
      <c r="E13" s="2"/>
    </row>
    <row r="14" spans="1:5" x14ac:dyDescent="0.55000000000000004">
      <c r="B14" t="s">
        <v>8</v>
      </c>
      <c r="C14" s="13">
        <v>0</v>
      </c>
      <c r="D14" s="2"/>
      <c r="E14" s="2"/>
    </row>
    <row r="15" spans="1:5" x14ac:dyDescent="0.55000000000000004">
      <c r="B15" t="s">
        <v>9</v>
      </c>
      <c r="C15" s="13">
        <v>0</v>
      </c>
      <c r="D15" s="2"/>
      <c r="E15" s="2"/>
    </row>
    <row r="16" spans="1:5" x14ac:dyDescent="0.55000000000000004">
      <c r="B16" t="s">
        <v>10</v>
      </c>
      <c r="C16" s="13">
        <v>0</v>
      </c>
      <c r="D16" s="2"/>
      <c r="E16" s="2"/>
    </row>
    <row r="17" spans="2:5" x14ac:dyDescent="0.55000000000000004">
      <c r="D17" s="2"/>
      <c r="E17" s="2"/>
    </row>
    <row r="18" spans="2:5" x14ac:dyDescent="0.55000000000000004">
      <c r="B18" s="1" t="s">
        <v>11</v>
      </c>
      <c r="C18" s="13">
        <v>25000</v>
      </c>
      <c r="D18" s="11">
        <f>C18</f>
        <v>25000</v>
      </c>
      <c r="E18" s="11">
        <f>D18/12</f>
        <v>2083.3333333333335</v>
      </c>
    </row>
    <row r="19" spans="2:5" x14ac:dyDescent="0.55000000000000004">
      <c r="C19" s="2"/>
      <c r="D19" s="2"/>
      <c r="E19" s="2"/>
    </row>
    <row r="20" spans="2:5" x14ac:dyDescent="0.55000000000000004">
      <c r="B20" s="1" t="s">
        <v>14</v>
      </c>
      <c r="C20" s="2"/>
      <c r="D20" s="11">
        <f>SUM(C21:C24)</f>
        <v>60000</v>
      </c>
      <c r="E20" s="11">
        <f>D20/12</f>
        <v>5000</v>
      </c>
    </row>
    <row r="21" spans="2:5" x14ac:dyDescent="0.55000000000000004">
      <c r="B21" t="s">
        <v>15</v>
      </c>
      <c r="C21" s="13">
        <v>60000</v>
      </c>
      <c r="D21" s="2"/>
      <c r="E21" s="2"/>
    </row>
    <row r="22" spans="2:5" x14ac:dyDescent="0.55000000000000004">
      <c r="B22" t="s">
        <v>16</v>
      </c>
      <c r="C22" s="13">
        <v>0</v>
      </c>
      <c r="D22" s="2"/>
      <c r="E22" s="2"/>
    </row>
    <row r="23" spans="2:5" x14ac:dyDescent="0.55000000000000004">
      <c r="B23" t="s">
        <v>17</v>
      </c>
      <c r="C23" s="13">
        <v>0</v>
      </c>
      <c r="D23" s="2"/>
      <c r="E23" s="2"/>
    </row>
    <row r="24" spans="2:5" x14ac:dyDescent="0.55000000000000004">
      <c r="B24" t="s">
        <v>18</v>
      </c>
      <c r="C24" s="13">
        <v>0</v>
      </c>
      <c r="D24" s="2"/>
      <c r="E24" s="2"/>
    </row>
    <row r="25" spans="2:5" ht="14.7" thickBot="1" x14ac:dyDescent="0.6">
      <c r="C25" s="2"/>
      <c r="D25" s="12">
        <f>SUM(D6,D12,D18,D20)</f>
        <v>130000</v>
      </c>
      <c r="E25" s="12">
        <f>D25/12</f>
        <v>10833.333333333334</v>
      </c>
    </row>
    <row r="26" spans="2:5" ht="29.1" thickTop="1" x14ac:dyDescent="0.55000000000000004">
      <c r="C26" s="4" t="s">
        <v>20</v>
      </c>
    </row>
    <row r="27" spans="2:5" x14ac:dyDescent="0.55000000000000004">
      <c r="B27" t="s">
        <v>19</v>
      </c>
      <c r="C27" s="14">
        <v>0.25</v>
      </c>
      <c r="D27" s="11">
        <f>D29-D25</f>
        <v>43333.333333333343</v>
      </c>
      <c r="E27" s="11">
        <f>D27/12</f>
        <v>3611.1111111111118</v>
      </c>
    </row>
    <row r="29" spans="2:5" x14ac:dyDescent="0.55000000000000004">
      <c r="C29" s="1" t="s">
        <v>1</v>
      </c>
      <c r="D29" s="11">
        <f>D25/(1-C27)</f>
        <v>173333.33333333334</v>
      </c>
      <c r="E29" s="11">
        <f>D29/12</f>
        <v>14444.444444444445</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F24B-7671-405D-AF37-16A286C0CD71}">
  <dimension ref="A1:AG54"/>
  <sheetViews>
    <sheetView zoomScale="110" zoomScaleNormal="110" workbookViewId="0">
      <pane xSplit="1" ySplit="5" topLeftCell="M6" activePane="bottomRight" state="frozen"/>
      <selection pane="topRight" activeCell="B1" sqref="B1"/>
      <selection pane="bottomLeft" activeCell="A6" sqref="A6"/>
      <selection pane="bottomRight" activeCell="A28" sqref="A28"/>
    </sheetView>
  </sheetViews>
  <sheetFormatPr defaultRowHeight="14.4" x14ac:dyDescent="0.55000000000000004"/>
  <cols>
    <col min="1" max="1" width="30.26171875" style="15" customWidth="1"/>
    <col min="2" max="2" width="9.47265625" style="15" customWidth="1"/>
    <col min="3" max="4" width="10.3125" style="15" customWidth="1"/>
    <col min="5" max="6" width="9.47265625" style="15" customWidth="1"/>
    <col min="7" max="7" width="11.15625" style="15" customWidth="1"/>
    <col min="8" max="8" width="9.47265625" style="15" customWidth="1"/>
    <col min="9" max="9" width="11.15625" style="15" customWidth="1"/>
    <col min="10" max="10" width="10.3125" style="15" customWidth="1"/>
    <col min="11" max="11" width="9.47265625" style="15" customWidth="1"/>
    <col min="12" max="12" width="10.3125" style="15" customWidth="1"/>
    <col min="13" max="13" width="8.83984375" style="15"/>
    <col min="14" max="14" width="12.578125" style="15" customWidth="1"/>
    <col min="15" max="15" width="31.20703125" style="15" customWidth="1"/>
    <col min="16" max="16" width="19.734375" style="15" customWidth="1"/>
    <col min="17" max="17" width="11.05078125" style="15" customWidth="1"/>
    <col min="18" max="18" width="9.7890625" style="15" customWidth="1"/>
    <col min="19" max="19" width="5.41796875" style="15" customWidth="1"/>
    <col min="20" max="31" width="9.7890625" style="15" bestFit="1" customWidth="1"/>
    <col min="32" max="32" width="12.05078125" style="15" bestFit="1" customWidth="1"/>
    <col min="33" max="16384" width="8.83984375" style="15"/>
  </cols>
  <sheetData>
    <row r="1" spans="1:32" ht="17.7" x14ac:dyDescent="0.6">
      <c r="A1" s="31" t="s">
        <v>119</v>
      </c>
      <c r="B1" s="32"/>
      <c r="C1" s="32"/>
      <c r="D1" s="32"/>
      <c r="E1" s="32"/>
      <c r="F1" s="32"/>
      <c r="G1" s="32"/>
      <c r="H1" s="32"/>
      <c r="I1" s="32"/>
      <c r="J1" s="32"/>
      <c r="K1" s="32"/>
      <c r="L1" s="32"/>
      <c r="P1" s="15" t="s">
        <v>30</v>
      </c>
      <c r="Q1" s="20">
        <f>'[1]Profit Goals'!E26</f>
        <v>4000</v>
      </c>
      <c r="R1" s="20">
        <f>Q1</f>
        <v>4000</v>
      </c>
      <c r="S1" s="20"/>
      <c r="T1" s="20">
        <f>R1</f>
        <v>4000</v>
      </c>
      <c r="U1" s="20">
        <f t="shared" ref="U1:AE1" si="0">T1</f>
        <v>4000</v>
      </c>
      <c r="V1" s="20">
        <f t="shared" si="0"/>
        <v>4000</v>
      </c>
      <c r="W1" s="20">
        <f t="shared" si="0"/>
        <v>4000</v>
      </c>
      <c r="X1" s="20">
        <f t="shared" si="0"/>
        <v>4000</v>
      </c>
      <c r="Y1" s="20">
        <f t="shared" si="0"/>
        <v>4000</v>
      </c>
      <c r="Z1" s="20">
        <f t="shared" si="0"/>
        <v>4000</v>
      </c>
      <c r="AA1" s="20">
        <f t="shared" si="0"/>
        <v>4000</v>
      </c>
      <c r="AB1" s="20">
        <f t="shared" si="0"/>
        <v>4000</v>
      </c>
      <c r="AC1" s="20">
        <f t="shared" si="0"/>
        <v>4000</v>
      </c>
      <c r="AD1" s="20">
        <f t="shared" si="0"/>
        <v>4000</v>
      </c>
      <c r="AE1" s="20">
        <f t="shared" si="0"/>
        <v>4000</v>
      </c>
    </row>
    <row r="2" spans="1:32" ht="17.7" x14ac:dyDescent="0.6">
      <c r="A2" s="31" t="s">
        <v>31</v>
      </c>
      <c r="B2" s="32"/>
      <c r="C2" s="32"/>
      <c r="D2" s="32"/>
      <c r="E2" s="32"/>
      <c r="F2" s="32"/>
      <c r="G2" s="32"/>
      <c r="H2" s="32"/>
      <c r="I2" s="32"/>
      <c r="J2" s="32"/>
      <c r="K2" s="32"/>
      <c r="L2" s="32"/>
      <c r="P2" s="15" t="s">
        <v>32</v>
      </c>
      <c r="Q2" s="20">
        <f>Q40+Q14</f>
        <v>31886.7</v>
      </c>
      <c r="R2" s="20">
        <f t="shared" ref="R2:AE2" si="1">R40+R14</f>
        <v>31886.7</v>
      </c>
      <c r="S2" s="20"/>
      <c r="T2" s="20">
        <f t="shared" si="1"/>
        <v>39915.19</v>
      </c>
      <c r="U2" s="20">
        <f t="shared" si="1"/>
        <v>38965.19</v>
      </c>
      <c r="V2" s="20">
        <f t="shared" si="1"/>
        <v>39560.990000000005</v>
      </c>
      <c r="W2" s="20">
        <f t="shared" si="1"/>
        <v>40065.19</v>
      </c>
      <c r="X2" s="20">
        <f t="shared" si="1"/>
        <v>40748.880000000005</v>
      </c>
      <c r="Y2" s="20">
        <f t="shared" si="1"/>
        <v>38991.19</v>
      </c>
      <c r="Z2" s="20">
        <f t="shared" si="1"/>
        <v>39665.19</v>
      </c>
      <c r="AA2" s="20">
        <f t="shared" si="1"/>
        <v>39500.69</v>
      </c>
      <c r="AB2" s="20">
        <f t="shared" si="1"/>
        <v>39315.19</v>
      </c>
      <c r="AC2" s="20">
        <f t="shared" si="1"/>
        <v>40015.19</v>
      </c>
      <c r="AD2" s="20">
        <f t="shared" si="1"/>
        <v>38965.19</v>
      </c>
      <c r="AE2" s="20">
        <f t="shared" si="1"/>
        <v>38965.19</v>
      </c>
    </row>
    <row r="3" spans="1:32" x14ac:dyDescent="0.55000000000000004">
      <c r="A3" s="33" t="s">
        <v>33</v>
      </c>
      <c r="B3" s="32"/>
      <c r="C3" s="32"/>
      <c r="D3" s="32"/>
      <c r="E3" s="32"/>
      <c r="F3" s="32"/>
      <c r="G3" s="32"/>
      <c r="H3" s="32"/>
      <c r="I3" s="32"/>
      <c r="J3" s="32"/>
      <c r="K3" s="32"/>
      <c r="L3" s="32"/>
      <c r="P3" s="15" t="s">
        <v>34</v>
      </c>
      <c r="Q3" s="20">
        <f>Q1+Q2</f>
        <v>35886.699999999997</v>
      </c>
      <c r="R3" s="20">
        <f t="shared" ref="R3:AE3" si="2">R1+R2</f>
        <v>35886.699999999997</v>
      </c>
      <c r="S3" s="20"/>
      <c r="T3" s="20">
        <f t="shared" si="2"/>
        <v>43915.19</v>
      </c>
      <c r="U3" s="20">
        <f t="shared" si="2"/>
        <v>42965.19</v>
      </c>
      <c r="V3" s="20">
        <f t="shared" si="2"/>
        <v>43560.990000000005</v>
      </c>
      <c r="W3" s="20">
        <f t="shared" si="2"/>
        <v>44065.19</v>
      </c>
      <c r="X3" s="20">
        <f t="shared" si="2"/>
        <v>44748.880000000005</v>
      </c>
      <c r="Y3" s="20">
        <f t="shared" si="2"/>
        <v>42991.19</v>
      </c>
      <c r="Z3" s="20">
        <f t="shared" si="2"/>
        <v>43665.19</v>
      </c>
      <c r="AA3" s="20">
        <f t="shared" si="2"/>
        <v>43500.69</v>
      </c>
      <c r="AB3" s="20">
        <f t="shared" si="2"/>
        <v>43315.19</v>
      </c>
      <c r="AC3" s="20">
        <f t="shared" si="2"/>
        <v>44015.19</v>
      </c>
      <c r="AD3" s="20">
        <f t="shared" si="2"/>
        <v>42965.19</v>
      </c>
      <c r="AE3" s="20">
        <f t="shared" si="2"/>
        <v>42965.19</v>
      </c>
    </row>
    <row r="4" spans="1:32" x14ac:dyDescent="0.55000000000000004">
      <c r="A4" s="27" t="s">
        <v>120</v>
      </c>
      <c r="P4" s="15" t="s">
        <v>35</v>
      </c>
      <c r="Q4" s="20">
        <f>Q8-Q3</f>
        <v>4113.3000000000029</v>
      </c>
      <c r="R4" s="20">
        <f t="shared" ref="R4:AE4" si="3">R8-R3</f>
        <v>4113.3000000000029</v>
      </c>
      <c r="S4" s="20"/>
      <c r="T4" s="20">
        <f t="shared" si="3"/>
        <v>1084.8099999999977</v>
      </c>
      <c r="U4" s="20">
        <f t="shared" si="3"/>
        <v>2034.8099999999977</v>
      </c>
      <c r="V4" s="20">
        <f t="shared" si="3"/>
        <v>1439.0099999999948</v>
      </c>
      <c r="W4" s="20">
        <f t="shared" si="3"/>
        <v>934.80999999999767</v>
      </c>
      <c r="X4" s="20">
        <f t="shared" si="3"/>
        <v>251.11999999999534</v>
      </c>
      <c r="Y4" s="20">
        <f t="shared" si="3"/>
        <v>2008.8099999999977</v>
      </c>
      <c r="Z4" s="20">
        <f t="shared" si="3"/>
        <v>1334.8099999999977</v>
      </c>
      <c r="AA4" s="20">
        <f t="shared" si="3"/>
        <v>1499.3099999999977</v>
      </c>
      <c r="AB4" s="20">
        <f t="shared" si="3"/>
        <v>1684.8099999999977</v>
      </c>
      <c r="AC4" s="20">
        <f t="shared" si="3"/>
        <v>984.80999999999767</v>
      </c>
      <c r="AD4" s="20">
        <f t="shared" si="3"/>
        <v>2034.8099999999977</v>
      </c>
      <c r="AE4" s="20">
        <f t="shared" si="3"/>
        <v>2034.8099999999977</v>
      </c>
    </row>
    <row r="5" spans="1:32" ht="23.7" x14ac:dyDescent="0.55000000000000004">
      <c r="A5" s="16"/>
      <c r="B5" s="17" t="s">
        <v>36</v>
      </c>
      <c r="C5" s="17" t="s">
        <v>37</v>
      </c>
      <c r="D5" s="17" t="s">
        <v>38</v>
      </c>
      <c r="E5" s="17" t="s">
        <v>39</v>
      </c>
      <c r="F5" s="17" t="s">
        <v>40</v>
      </c>
      <c r="G5" s="17" t="s">
        <v>41</v>
      </c>
      <c r="H5" s="17" t="s">
        <v>42</v>
      </c>
      <c r="I5" s="17" t="s">
        <v>43</v>
      </c>
      <c r="J5" s="17" t="s">
        <v>44</v>
      </c>
      <c r="K5" s="17" t="s">
        <v>45</v>
      </c>
      <c r="L5" s="17" t="s">
        <v>46</v>
      </c>
      <c r="N5" s="18" t="s">
        <v>47</v>
      </c>
      <c r="O5" s="18" t="s">
        <v>48</v>
      </c>
      <c r="Q5" s="30">
        <v>44501</v>
      </c>
      <c r="R5" s="30">
        <v>44531</v>
      </c>
      <c r="S5" s="30"/>
      <c r="T5" s="30">
        <v>44562</v>
      </c>
      <c r="U5" s="30">
        <v>44593</v>
      </c>
      <c r="V5" s="30">
        <v>44621</v>
      </c>
      <c r="W5" s="30">
        <v>44652</v>
      </c>
      <c r="X5" s="30">
        <v>44682</v>
      </c>
      <c r="Y5" s="30">
        <v>44713</v>
      </c>
      <c r="Z5" s="30">
        <v>44743</v>
      </c>
      <c r="AA5" s="30">
        <v>44774</v>
      </c>
      <c r="AB5" s="30">
        <v>44805</v>
      </c>
      <c r="AC5" s="30">
        <v>44835</v>
      </c>
      <c r="AD5" s="30">
        <v>44866</v>
      </c>
      <c r="AE5" s="30">
        <v>44896</v>
      </c>
    </row>
    <row r="6" spans="1:32" x14ac:dyDescent="0.55000000000000004">
      <c r="A6" s="19" t="s">
        <v>49</v>
      </c>
      <c r="B6" s="20"/>
      <c r="C6" s="20"/>
      <c r="D6" s="20"/>
      <c r="E6" s="20"/>
      <c r="F6" s="20"/>
      <c r="G6" s="20"/>
      <c r="H6" s="20"/>
      <c r="I6" s="20"/>
      <c r="J6" s="20"/>
      <c r="K6" s="20"/>
      <c r="L6" s="20"/>
    </row>
    <row r="7" spans="1:32" x14ac:dyDescent="0.55000000000000004">
      <c r="A7" s="19" t="s">
        <v>50</v>
      </c>
      <c r="B7" s="21">
        <f>35267</f>
        <v>35267</v>
      </c>
      <c r="C7" s="21">
        <f>11991</f>
        <v>11991</v>
      </c>
      <c r="D7" s="21">
        <f>16317</f>
        <v>16317</v>
      </c>
      <c r="E7" s="21">
        <f>28308</f>
        <v>28308</v>
      </c>
      <c r="F7" s="21">
        <f>43079.5</f>
        <v>43079.5</v>
      </c>
      <c r="G7" s="21">
        <f>1700</f>
        <v>1700</v>
      </c>
      <c r="H7" s="21">
        <f>59003.75</f>
        <v>59003.75</v>
      </c>
      <c r="I7" s="21">
        <f>15645.75</f>
        <v>15645.75</v>
      </c>
      <c r="J7" s="21">
        <f>32330</f>
        <v>32330</v>
      </c>
      <c r="K7" s="21">
        <f>76650</f>
        <v>76650</v>
      </c>
      <c r="L7" s="21">
        <f>(((((((((B7)+(C7))+(D7))+(E7))+(F7))+(G7))+(H7))+(I7))+(J7))+(K7)</f>
        <v>320292</v>
      </c>
      <c r="Q7" s="21">
        <v>40000</v>
      </c>
      <c r="R7" s="21">
        <v>40000</v>
      </c>
      <c r="S7" s="21"/>
      <c r="T7" s="21">
        <v>45000</v>
      </c>
      <c r="U7" s="21">
        <v>45000</v>
      </c>
      <c r="V7" s="21">
        <v>45000</v>
      </c>
      <c r="W7" s="21">
        <v>45000</v>
      </c>
      <c r="X7" s="21">
        <v>45000</v>
      </c>
      <c r="Y7" s="21">
        <v>45000</v>
      </c>
      <c r="Z7" s="21">
        <v>45000</v>
      </c>
      <c r="AA7" s="21">
        <v>45000</v>
      </c>
      <c r="AB7" s="21">
        <v>45000</v>
      </c>
      <c r="AC7" s="21">
        <v>45000</v>
      </c>
      <c r="AD7" s="21">
        <v>45000</v>
      </c>
      <c r="AE7" s="21">
        <v>45000</v>
      </c>
      <c r="AF7" s="21">
        <f>SUM(T7:AE7)</f>
        <v>540000</v>
      </c>
    </row>
    <row r="8" spans="1:32" x14ac:dyDescent="0.55000000000000004">
      <c r="A8" s="19" t="s">
        <v>51</v>
      </c>
      <c r="B8" s="22">
        <f t="shared" ref="B8:K8" si="4">B7</f>
        <v>35267</v>
      </c>
      <c r="C8" s="22">
        <f t="shared" si="4"/>
        <v>11991</v>
      </c>
      <c r="D8" s="22">
        <f t="shared" si="4"/>
        <v>16317</v>
      </c>
      <c r="E8" s="22">
        <f t="shared" si="4"/>
        <v>28308</v>
      </c>
      <c r="F8" s="22">
        <f t="shared" si="4"/>
        <v>43079.5</v>
      </c>
      <c r="G8" s="22">
        <f t="shared" si="4"/>
        <v>1700</v>
      </c>
      <c r="H8" s="22">
        <f t="shared" si="4"/>
        <v>59003.75</v>
      </c>
      <c r="I8" s="22">
        <f t="shared" si="4"/>
        <v>15645.75</v>
      </c>
      <c r="J8" s="22">
        <f t="shared" si="4"/>
        <v>32330</v>
      </c>
      <c r="K8" s="22">
        <f t="shared" si="4"/>
        <v>76650</v>
      </c>
      <c r="L8" s="22">
        <f>(((((((((B8)+(C8))+(D8))+(E8))+(F8))+(G8))+(H8))+(I8))+(J8))+(K8)</f>
        <v>320292</v>
      </c>
      <c r="Q8" s="22">
        <f>Q7</f>
        <v>40000</v>
      </c>
      <c r="R8" s="22">
        <f t="shared" ref="R8:AE8" si="5">R7</f>
        <v>40000</v>
      </c>
      <c r="S8" s="22"/>
      <c r="T8" s="22">
        <f t="shared" si="5"/>
        <v>45000</v>
      </c>
      <c r="U8" s="22">
        <f t="shared" si="5"/>
        <v>45000</v>
      </c>
      <c r="V8" s="22">
        <f t="shared" si="5"/>
        <v>45000</v>
      </c>
      <c r="W8" s="22">
        <f t="shared" si="5"/>
        <v>45000</v>
      </c>
      <c r="X8" s="22">
        <f t="shared" si="5"/>
        <v>45000</v>
      </c>
      <c r="Y8" s="22">
        <f t="shared" si="5"/>
        <v>45000</v>
      </c>
      <c r="Z8" s="22">
        <f t="shared" si="5"/>
        <v>45000</v>
      </c>
      <c r="AA8" s="22">
        <f t="shared" si="5"/>
        <v>45000</v>
      </c>
      <c r="AB8" s="22">
        <f t="shared" si="5"/>
        <v>45000</v>
      </c>
      <c r="AC8" s="22">
        <f t="shared" si="5"/>
        <v>45000</v>
      </c>
      <c r="AD8" s="22">
        <f t="shared" si="5"/>
        <v>45000</v>
      </c>
      <c r="AE8" s="22">
        <f t="shared" si="5"/>
        <v>45000</v>
      </c>
      <c r="AF8" s="22">
        <f t="shared" ref="AF8:AF50" si="6">SUM(T8:AE8)</f>
        <v>540000</v>
      </c>
    </row>
    <row r="9" spans="1:32" x14ac:dyDescent="0.55000000000000004">
      <c r="A9" s="19" t="s">
        <v>52</v>
      </c>
      <c r="B9" s="20"/>
      <c r="C9" s="20"/>
      <c r="D9" s="20"/>
      <c r="E9" s="20"/>
      <c r="F9" s="20"/>
      <c r="G9" s="20"/>
      <c r="H9" s="20"/>
      <c r="I9" s="20"/>
      <c r="J9" s="20"/>
      <c r="K9" s="20"/>
      <c r="L9" s="20"/>
      <c r="Q9" s="20"/>
      <c r="R9" s="20"/>
      <c r="S9" s="20"/>
      <c r="T9" s="20"/>
      <c r="U9" s="20"/>
      <c r="V9" s="20"/>
      <c r="W9" s="20"/>
      <c r="X9" s="20"/>
      <c r="Y9" s="20"/>
      <c r="Z9" s="20"/>
      <c r="AA9" s="20"/>
      <c r="AB9" s="20"/>
      <c r="AC9" s="20"/>
      <c r="AD9" s="20"/>
      <c r="AE9" s="20"/>
      <c r="AF9" s="20"/>
    </row>
    <row r="10" spans="1:32" x14ac:dyDescent="0.55000000000000004">
      <c r="A10" s="19" t="s">
        <v>53</v>
      </c>
      <c r="B10" s="20"/>
      <c r="C10" s="20"/>
      <c r="D10" s="21">
        <f>808.75</f>
        <v>808.75</v>
      </c>
      <c r="E10" s="21">
        <f>106.25</f>
        <v>106.25</v>
      </c>
      <c r="F10" s="20"/>
      <c r="G10" s="20"/>
      <c r="H10" s="20"/>
      <c r="I10" s="20"/>
      <c r="J10" s="20"/>
      <c r="K10" s="20"/>
      <c r="L10" s="21">
        <f t="shared" ref="L10:L15" si="7">(((((((((B10)+(C10))+(D10))+(E10))+(F10))+(G10))+(H10))+(I10))+(J10))+(K10)</f>
        <v>915</v>
      </c>
      <c r="N10" s="15" t="s">
        <v>54</v>
      </c>
      <c r="O10" s="15" t="s">
        <v>55</v>
      </c>
      <c r="Q10" s="20">
        <f>0.03*Q8</f>
        <v>1200</v>
      </c>
      <c r="R10" s="20">
        <f t="shared" ref="R10:AE10" si="8">0.03*R8</f>
        <v>1200</v>
      </c>
      <c r="S10" s="20"/>
      <c r="T10" s="20">
        <f>0.03*T8</f>
        <v>1350</v>
      </c>
      <c r="U10" s="20">
        <f t="shared" si="8"/>
        <v>1350</v>
      </c>
      <c r="V10" s="20">
        <f t="shared" si="8"/>
        <v>1350</v>
      </c>
      <c r="W10" s="20">
        <f t="shared" si="8"/>
        <v>1350</v>
      </c>
      <c r="X10" s="20">
        <f t="shared" si="8"/>
        <v>1350</v>
      </c>
      <c r="Y10" s="20">
        <f t="shared" si="8"/>
        <v>1350</v>
      </c>
      <c r="Z10" s="20">
        <f t="shared" si="8"/>
        <v>1350</v>
      </c>
      <c r="AA10" s="20">
        <f t="shared" si="8"/>
        <v>1350</v>
      </c>
      <c r="AB10" s="20">
        <f t="shared" si="8"/>
        <v>1350</v>
      </c>
      <c r="AC10" s="20">
        <f t="shared" si="8"/>
        <v>1350</v>
      </c>
      <c r="AD10" s="20">
        <f t="shared" si="8"/>
        <v>1350</v>
      </c>
      <c r="AE10" s="20">
        <f t="shared" si="8"/>
        <v>1350</v>
      </c>
      <c r="AF10" s="20">
        <f t="shared" si="6"/>
        <v>16200</v>
      </c>
    </row>
    <row r="11" spans="1:32" x14ac:dyDescent="0.55000000000000004">
      <c r="A11" s="19" t="s">
        <v>56</v>
      </c>
      <c r="B11" s="21">
        <f>14.95</f>
        <v>14.95</v>
      </c>
      <c r="C11" s="21">
        <f>2764.95</f>
        <v>2764.95</v>
      </c>
      <c r="D11" s="21">
        <f>357.45</f>
        <v>357.45</v>
      </c>
      <c r="E11" s="21">
        <f>270.32</f>
        <v>270.32</v>
      </c>
      <c r="F11" s="21">
        <f>1239.95</f>
        <v>1239.95</v>
      </c>
      <c r="G11" s="21">
        <f>1364.95</f>
        <v>1364.95</v>
      </c>
      <c r="H11" s="21">
        <f>754.95</f>
        <v>754.95</v>
      </c>
      <c r="I11" s="21">
        <f>14.95</f>
        <v>14.95</v>
      </c>
      <c r="J11" s="21">
        <f>2150</f>
        <v>2150</v>
      </c>
      <c r="K11" s="21">
        <f>175</f>
        <v>175</v>
      </c>
      <c r="L11" s="21">
        <f t="shared" si="7"/>
        <v>9107.4699999999993</v>
      </c>
      <c r="N11" s="15" t="s">
        <v>54</v>
      </c>
      <c r="Q11" s="21"/>
      <c r="R11" s="21"/>
      <c r="S11" s="21"/>
      <c r="T11" s="21"/>
      <c r="U11" s="21"/>
      <c r="V11" s="21"/>
      <c r="W11" s="21"/>
      <c r="X11" s="21"/>
      <c r="Y11" s="21"/>
      <c r="Z11" s="21"/>
      <c r="AA11" s="21"/>
      <c r="AB11" s="21"/>
      <c r="AC11" s="21"/>
      <c r="AD11" s="21"/>
      <c r="AE11" s="21"/>
      <c r="AF11" s="21"/>
    </row>
    <row r="12" spans="1:32" x14ac:dyDescent="0.55000000000000004">
      <c r="A12" s="19" t="s">
        <v>57</v>
      </c>
      <c r="B12" s="21">
        <f>123.2</f>
        <v>123.2</v>
      </c>
      <c r="C12" s="20"/>
      <c r="D12" s="20"/>
      <c r="E12" s="20"/>
      <c r="F12" s="20"/>
      <c r="G12" s="20"/>
      <c r="H12" s="20"/>
      <c r="I12" s="20"/>
      <c r="J12" s="20"/>
      <c r="K12" s="20"/>
      <c r="L12" s="21">
        <f t="shared" si="7"/>
        <v>123.2</v>
      </c>
      <c r="M12" s="23">
        <f>SUM(L10:L12)/L8</f>
        <v>3.1676314113371545E-2</v>
      </c>
      <c r="N12" s="15" t="s">
        <v>54</v>
      </c>
      <c r="Q12" s="20"/>
      <c r="R12" s="20"/>
      <c r="S12" s="20"/>
      <c r="T12" s="20"/>
      <c r="U12" s="20"/>
      <c r="V12" s="20"/>
      <c r="W12" s="20"/>
      <c r="X12" s="20"/>
      <c r="Y12" s="20"/>
      <c r="Z12" s="20"/>
      <c r="AA12" s="20"/>
      <c r="AB12" s="20"/>
      <c r="AC12" s="20"/>
      <c r="AD12" s="20"/>
      <c r="AE12" s="20"/>
      <c r="AF12" s="20"/>
    </row>
    <row r="13" spans="1:32" x14ac:dyDescent="0.55000000000000004">
      <c r="A13" s="19" t="s">
        <v>58</v>
      </c>
      <c r="B13" s="21">
        <f>123.2</f>
        <v>123.2</v>
      </c>
      <c r="C13" s="20"/>
      <c r="D13" s="21">
        <f>1500</f>
        <v>1500</v>
      </c>
      <c r="E13" s="21">
        <f>3250</f>
        <v>3250</v>
      </c>
      <c r="F13" s="21">
        <f>4000</f>
        <v>4000</v>
      </c>
      <c r="G13" s="20"/>
      <c r="H13" s="21">
        <f>1250</f>
        <v>1250</v>
      </c>
      <c r="I13" s="20"/>
      <c r="J13" s="21">
        <f>3000</f>
        <v>3000</v>
      </c>
      <c r="K13" s="21">
        <f>3000</f>
        <v>3000</v>
      </c>
      <c r="L13" s="21">
        <f t="shared" si="7"/>
        <v>16123.2</v>
      </c>
      <c r="M13" s="23">
        <f>L13/L8</f>
        <v>5.0339065602637595E-2</v>
      </c>
      <c r="N13" s="15" t="s">
        <v>54</v>
      </c>
      <c r="O13" s="15" t="s">
        <v>59</v>
      </c>
      <c r="Q13" s="21">
        <f>0.05*Q8</f>
        <v>2000</v>
      </c>
      <c r="R13" s="21">
        <f t="shared" ref="R13:AE13" si="9">0.05*R8</f>
        <v>2000</v>
      </c>
      <c r="S13" s="21"/>
      <c r="T13" s="21">
        <f t="shared" si="9"/>
        <v>2250</v>
      </c>
      <c r="U13" s="21">
        <f t="shared" si="9"/>
        <v>2250</v>
      </c>
      <c r="V13" s="21">
        <f t="shared" si="9"/>
        <v>2250</v>
      </c>
      <c r="W13" s="21">
        <f t="shared" si="9"/>
        <v>2250</v>
      </c>
      <c r="X13" s="21">
        <f t="shared" si="9"/>
        <v>2250</v>
      </c>
      <c r="Y13" s="21">
        <f t="shared" si="9"/>
        <v>2250</v>
      </c>
      <c r="Z13" s="21">
        <f t="shared" si="9"/>
        <v>2250</v>
      </c>
      <c r="AA13" s="21">
        <f t="shared" si="9"/>
        <v>2250</v>
      </c>
      <c r="AB13" s="21">
        <f t="shared" si="9"/>
        <v>2250</v>
      </c>
      <c r="AC13" s="21">
        <f t="shared" si="9"/>
        <v>2250</v>
      </c>
      <c r="AD13" s="21">
        <f t="shared" si="9"/>
        <v>2250</v>
      </c>
      <c r="AE13" s="21">
        <f t="shared" si="9"/>
        <v>2250</v>
      </c>
      <c r="AF13" s="21">
        <f t="shared" si="6"/>
        <v>27000</v>
      </c>
    </row>
    <row r="14" spans="1:32" x14ac:dyDescent="0.55000000000000004">
      <c r="A14" s="19" t="s">
        <v>60</v>
      </c>
      <c r="B14" s="22">
        <f t="shared" ref="B14:K14" si="10">(((B10)+(B11))+(B12))+(B13)</f>
        <v>261.35000000000002</v>
      </c>
      <c r="C14" s="22">
        <f t="shared" si="10"/>
        <v>2764.95</v>
      </c>
      <c r="D14" s="22">
        <f t="shared" si="10"/>
        <v>2666.2</v>
      </c>
      <c r="E14" s="22">
        <f t="shared" si="10"/>
        <v>3626.57</v>
      </c>
      <c r="F14" s="22">
        <f t="shared" si="10"/>
        <v>5239.95</v>
      </c>
      <c r="G14" s="22">
        <f t="shared" si="10"/>
        <v>1364.95</v>
      </c>
      <c r="H14" s="22">
        <f t="shared" si="10"/>
        <v>2004.95</v>
      </c>
      <c r="I14" s="22">
        <f t="shared" si="10"/>
        <v>14.95</v>
      </c>
      <c r="J14" s="22">
        <f t="shared" si="10"/>
        <v>5150</v>
      </c>
      <c r="K14" s="22">
        <f t="shared" si="10"/>
        <v>3175</v>
      </c>
      <c r="L14" s="22">
        <f t="shared" si="7"/>
        <v>26268.870000000003</v>
      </c>
      <c r="M14" s="24">
        <f>L14/L8</f>
        <v>8.2015379716009154E-2</v>
      </c>
      <c r="Q14" s="22">
        <f>SUM(Q10:Q13)</f>
        <v>3200</v>
      </c>
      <c r="R14" s="22">
        <f t="shared" ref="R14:AE14" si="11">SUM(R10:R13)</f>
        <v>3200</v>
      </c>
      <c r="S14" s="22"/>
      <c r="T14" s="22">
        <f t="shared" si="11"/>
        <v>3600</v>
      </c>
      <c r="U14" s="22">
        <f t="shared" si="11"/>
        <v>3600</v>
      </c>
      <c r="V14" s="22">
        <f t="shared" si="11"/>
        <v>3600</v>
      </c>
      <c r="W14" s="22">
        <f t="shared" si="11"/>
        <v>3600</v>
      </c>
      <c r="X14" s="22">
        <f t="shared" si="11"/>
        <v>3600</v>
      </c>
      <c r="Y14" s="22">
        <f t="shared" si="11"/>
        <v>3600</v>
      </c>
      <c r="Z14" s="22">
        <f t="shared" si="11"/>
        <v>3600</v>
      </c>
      <c r="AA14" s="22">
        <f t="shared" si="11"/>
        <v>3600</v>
      </c>
      <c r="AB14" s="22">
        <f t="shared" si="11"/>
        <v>3600</v>
      </c>
      <c r="AC14" s="22">
        <f t="shared" si="11"/>
        <v>3600</v>
      </c>
      <c r="AD14" s="22">
        <f t="shared" si="11"/>
        <v>3600</v>
      </c>
      <c r="AE14" s="22">
        <f t="shared" si="11"/>
        <v>3600</v>
      </c>
      <c r="AF14" s="22">
        <f t="shared" si="6"/>
        <v>43200</v>
      </c>
    </row>
    <row r="15" spans="1:32" x14ac:dyDescent="0.55000000000000004">
      <c r="A15" s="19" t="s">
        <v>61</v>
      </c>
      <c r="B15" s="22">
        <f t="shared" ref="B15:K15" si="12">(B8)-(B14)</f>
        <v>35005.65</v>
      </c>
      <c r="C15" s="22">
        <f t="shared" si="12"/>
        <v>9226.0499999999993</v>
      </c>
      <c r="D15" s="22">
        <f t="shared" si="12"/>
        <v>13650.8</v>
      </c>
      <c r="E15" s="22">
        <f t="shared" si="12"/>
        <v>24681.43</v>
      </c>
      <c r="F15" s="22">
        <f t="shared" si="12"/>
        <v>37839.550000000003</v>
      </c>
      <c r="G15" s="22">
        <f t="shared" si="12"/>
        <v>335.04999999999995</v>
      </c>
      <c r="H15" s="22">
        <f t="shared" si="12"/>
        <v>56998.8</v>
      </c>
      <c r="I15" s="22">
        <f t="shared" si="12"/>
        <v>15630.8</v>
      </c>
      <c r="J15" s="22">
        <f t="shared" si="12"/>
        <v>27180</v>
      </c>
      <c r="K15" s="22">
        <f t="shared" si="12"/>
        <v>73475</v>
      </c>
      <c r="L15" s="22">
        <f t="shared" si="7"/>
        <v>294023.13</v>
      </c>
      <c r="Q15" s="22">
        <f t="shared" ref="Q15:R15" si="13">(Q8)-(Q14)</f>
        <v>36800</v>
      </c>
      <c r="R15" s="22">
        <f t="shared" si="13"/>
        <v>36800</v>
      </c>
      <c r="S15" s="22"/>
      <c r="T15" s="22">
        <f t="shared" ref="T15:AE15" si="14">(T8)-(T14)</f>
        <v>41400</v>
      </c>
      <c r="U15" s="22">
        <f t="shared" si="14"/>
        <v>41400</v>
      </c>
      <c r="V15" s="22">
        <f t="shared" si="14"/>
        <v>41400</v>
      </c>
      <c r="W15" s="22">
        <f t="shared" si="14"/>
        <v>41400</v>
      </c>
      <c r="X15" s="22">
        <f t="shared" si="14"/>
        <v>41400</v>
      </c>
      <c r="Y15" s="22">
        <f t="shared" si="14"/>
        <v>41400</v>
      </c>
      <c r="Z15" s="22">
        <f t="shared" si="14"/>
        <v>41400</v>
      </c>
      <c r="AA15" s="22">
        <f t="shared" si="14"/>
        <v>41400</v>
      </c>
      <c r="AB15" s="22">
        <f t="shared" si="14"/>
        <v>41400</v>
      </c>
      <c r="AC15" s="22">
        <f t="shared" si="14"/>
        <v>41400</v>
      </c>
      <c r="AD15" s="22">
        <f t="shared" si="14"/>
        <v>41400</v>
      </c>
      <c r="AE15" s="22">
        <f t="shared" si="14"/>
        <v>41400</v>
      </c>
      <c r="AF15" s="22">
        <f t="shared" si="6"/>
        <v>496800</v>
      </c>
    </row>
    <row r="16" spans="1:32" x14ac:dyDescent="0.55000000000000004">
      <c r="A16" s="19" t="s">
        <v>62</v>
      </c>
      <c r="B16" s="20"/>
      <c r="C16" s="20"/>
      <c r="D16" s="20"/>
      <c r="E16" s="20"/>
      <c r="F16" s="20"/>
      <c r="G16" s="20"/>
      <c r="H16" s="20"/>
      <c r="I16" s="20"/>
      <c r="J16" s="20"/>
      <c r="K16" s="20"/>
      <c r="L16" s="20"/>
      <c r="Q16" s="20"/>
      <c r="R16" s="20"/>
      <c r="S16" s="20"/>
      <c r="T16" s="20"/>
      <c r="U16" s="20"/>
      <c r="V16" s="20"/>
      <c r="W16" s="20"/>
      <c r="X16" s="20"/>
      <c r="Y16" s="20"/>
      <c r="Z16" s="20"/>
      <c r="AA16" s="20"/>
      <c r="AB16" s="20"/>
      <c r="AC16" s="20"/>
      <c r="AD16" s="20"/>
      <c r="AE16" s="20"/>
      <c r="AF16" s="20"/>
    </row>
    <row r="17" spans="1:33" x14ac:dyDescent="0.55000000000000004">
      <c r="A17" s="19" t="s">
        <v>63</v>
      </c>
      <c r="B17" s="20"/>
      <c r="C17" s="20"/>
      <c r="D17" s="20"/>
      <c r="E17" s="20"/>
      <c r="F17" s="21">
        <f>1200</f>
        <v>1200</v>
      </c>
      <c r="G17" s="20"/>
      <c r="H17" s="21">
        <f>1200</f>
        <v>1200</v>
      </c>
      <c r="I17" s="20"/>
      <c r="J17" s="20"/>
      <c r="K17" s="20"/>
      <c r="L17" s="21">
        <f t="shared" ref="L17:L41" si="15">(((((((((B17)+(C17))+(D17))+(E17))+(F17))+(G17))+(H17))+(I17))+(J17))+(K17)</f>
        <v>2400</v>
      </c>
      <c r="N17" s="15" t="s">
        <v>54</v>
      </c>
      <c r="O17" s="15" t="s">
        <v>64</v>
      </c>
      <c r="Q17" s="20"/>
      <c r="R17" s="20"/>
      <c r="S17" s="20"/>
      <c r="T17" s="20">
        <v>1000</v>
      </c>
      <c r="U17" s="20">
        <v>300</v>
      </c>
      <c r="V17" s="20">
        <v>300</v>
      </c>
      <c r="W17" s="20">
        <v>1000</v>
      </c>
      <c r="X17" s="20">
        <v>300</v>
      </c>
      <c r="Y17" s="20">
        <v>300</v>
      </c>
      <c r="Z17" s="20">
        <v>1000</v>
      </c>
      <c r="AA17" s="20">
        <v>300</v>
      </c>
      <c r="AB17" s="20">
        <v>300</v>
      </c>
      <c r="AC17" s="20">
        <v>1000</v>
      </c>
      <c r="AD17" s="20">
        <v>300</v>
      </c>
      <c r="AE17" s="20">
        <v>300</v>
      </c>
      <c r="AF17" s="20">
        <f t="shared" si="6"/>
        <v>6400</v>
      </c>
    </row>
    <row r="18" spans="1:33" x14ac:dyDescent="0.55000000000000004">
      <c r="A18" s="19" t="s">
        <v>65</v>
      </c>
      <c r="B18" s="21">
        <f>14.93</f>
        <v>14.93</v>
      </c>
      <c r="C18" s="20"/>
      <c r="D18" s="21">
        <f>13.09</f>
        <v>13.09</v>
      </c>
      <c r="E18" s="21">
        <f>19.22</f>
        <v>19.22</v>
      </c>
      <c r="F18" s="21">
        <f>363.58</f>
        <v>363.58</v>
      </c>
      <c r="G18" s="21">
        <f>12.81</f>
        <v>12.81</v>
      </c>
      <c r="H18" s="21">
        <f>9.28</f>
        <v>9.2799999999999994</v>
      </c>
      <c r="I18" s="21">
        <f>34.8</f>
        <v>34.799999999999997</v>
      </c>
      <c r="J18" s="21">
        <f>29.61</f>
        <v>29.61</v>
      </c>
      <c r="K18" s="21">
        <f>13.56</f>
        <v>13.56</v>
      </c>
      <c r="L18" s="21">
        <f t="shared" si="15"/>
        <v>510.88</v>
      </c>
      <c r="M18" s="23">
        <f>L18/L8</f>
        <v>1.5950445218737902E-3</v>
      </c>
      <c r="N18" s="28" t="s">
        <v>54</v>
      </c>
      <c r="O18" s="15" t="s">
        <v>67</v>
      </c>
      <c r="Q18" s="21">
        <f>0.002*Q8</f>
        <v>80</v>
      </c>
      <c r="R18" s="21">
        <f t="shared" ref="R18:AE18" si="16">0.002*R8</f>
        <v>80</v>
      </c>
      <c r="S18" s="21"/>
      <c r="T18" s="21">
        <f>0.002*T8</f>
        <v>90</v>
      </c>
      <c r="U18" s="21">
        <f t="shared" si="16"/>
        <v>90</v>
      </c>
      <c r="V18" s="21">
        <f t="shared" si="16"/>
        <v>90</v>
      </c>
      <c r="W18" s="21">
        <f t="shared" si="16"/>
        <v>90</v>
      </c>
      <c r="X18" s="21">
        <f t="shared" si="16"/>
        <v>90</v>
      </c>
      <c r="Y18" s="21">
        <f t="shared" si="16"/>
        <v>90</v>
      </c>
      <c r="Z18" s="21">
        <f t="shared" si="16"/>
        <v>90</v>
      </c>
      <c r="AA18" s="21">
        <f t="shared" si="16"/>
        <v>90</v>
      </c>
      <c r="AB18" s="21">
        <f t="shared" si="16"/>
        <v>90</v>
      </c>
      <c r="AC18" s="21">
        <f t="shared" si="16"/>
        <v>90</v>
      </c>
      <c r="AD18" s="21">
        <f t="shared" si="16"/>
        <v>90</v>
      </c>
      <c r="AE18" s="21">
        <f t="shared" si="16"/>
        <v>90</v>
      </c>
      <c r="AF18" s="21">
        <f t="shared" si="6"/>
        <v>1080</v>
      </c>
    </row>
    <row r="19" spans="1:33" x14ac:dyDescent="0.55000000000000004">
      <c r="A19" s="19" t="s">
        <v>68</v>
      </c>
      <c r="B19" s="20"/>
      <c r="C19" s="20"/>
      <c r="D19" s="20"/>
      <c r="E19" s="20"/>
      <c r="F19" s="20"/>
      <c r="G19" s="20"/>
      <c r="H19" s="20"/>
      <c r="I19" s="20"/>
      <c r="J19" s="20"/>
      <c r="K19" s="21">
        <f>343.39</f>
        <v>343.39</v>
      </c>
      <c r="L19" s="21">
        <f t="shared" si="15"/>
        <v>343.39</v>
      </c>
      <c r="N19" s="15" t="s">
        <v>69</v>
      </c>
      <c r="O19" s="15" t="s">
        <v>70</v>
      </c>
      <c r="Q19" s="21"/>
      <c r="R19" s="21"/>
      <c r="S19" s="21"/>
      <c r="T19" s="21"/>
      <c r="U19" s="21"/>
      <c r="V19" s="21"/>
      <c r="W19" s="21"/>
      <c r="X19" s="21"/>
      <c r="Y19" s="21"/>
      <c r="Z19" s="21"/>
      <c r="AA19" s="21"/>
      <c r="AB19" s="21"/>
      <c r="AC19" s="21">
        <v>350</v>
      </c>
      <c r="AD19" s="21"/>
      <c r="AE19" s="21"/>
      <c r="AF19" s="21">
        <f t="shared" si="6"/>
        <v>350</v>
      </c>
    </row>
    <row r="20" spans="1:33" x14ac:dyDescent="0.55000000000000004">
      <c r="A20" s="19" t="s">
        <v>71</v>
      </c>
      <c r="B20" s="20"/>
      <c r="C20" s="21">
        <f>-29</f>
        <v>-29</v>
      </c>
      <c r="D20" s="21">
        <f>457</f>
        <v>457</v>
      </c>
      <c r="E20" s="20"/>
      <c r="F20" s="20"/>
      <c r="G20" s="20"/>
      <c r="H20" s="20"/>
      <c r="I20" s="20"/>
      <c r="J20" s="20"/>
      <c r="K20" s="20"/>
      <c r="L20" s="21">
        <f t="shared" si="15"/>
        <v>428</v>
      </c>
      <c r="N20" s="15" t="s">
        <v>72</v>
      </c>
      <c r="O20" s="15" t="s">
        <v>73</v>
      </c>
      <c r="Q20" s="20"/>
      <c r="R20" s="20"/>
      <c r="S20" s="20"/>
      <c r="T20" s="20"/>
      <c r="U20" s="20"/>
      <c r="V20" s="20">
        <f>L20*1.1</f>
        <v>470.8</v>
      </c>
      <c r="W20" s="20"/>
      <c r="X20" s="20"/>
      <c r="Y20" s="20"/>
      <c r="Z20" s="20"/>
      <c r="AA20" s="20"/>
      <c r="AB20" s="20"/>
      <c r="AC20" s="20"/>
      <c r="AD20" s="20"/>
      <c r="AE20" s="20"/>
      <c r="AF20" s="20">
        <f t="shared" si="6"/>
        <v>470.8</v>
      </c>
    </row>
    <row r="21" spans="1:33" x14ac:dyDescent="0.55000000000000004">
      <c r="A21" s="19" t="s">
        <v>74</v>
      </c>
      <c r="B21" s="20"/>
      <c r="C21" s="20"/>
      <c r="D21" s="20"/>
      <c r="E21" s="20"/>
      <c r="F21" s="20"/>
      <c r="G21" s="21">
        <f>34.05</f>
        <v>34.049999999999997</v>
      </c>
      <c r="H21" s="20"/>
      <c r="I21" s="20"/>
      <c r="J21" s="20"/>
      <c r="K21" s="20"/>
      <c r="L21" s="21">
        <f t="shared" si="15"/>
        <v>34.049999999999997</v>
      </c>
      <c r="N21" s="15" t="s">
        <v>54</v>
      </c>
      <c r="O21" s="15" t="s">
        <v>75</v>
      </c>
      <c r="Q21" s="20"/>
      <c r="R21" s="20"/>
      <c r="S21" s="20"/>
      <c r="T21" s="20"/>
      <c r="U21" s="20"/>
      <c r="V21" s="20"/>
      <c r="W21" s="20"/>
      <c r="X21" s="20"/>
      <c r="Y21" s="20"/>
      <c r="Z21" s="20"/>
      <c r="AA21" s="20"/>
      <c r="AB21" s="20"/>
      <c r="AC21" s="20"/>
      <c r="AD21" s="20"/>
      <c r="AE21" s="20"/>
      <c r="AF21" s="20">
        <f t="shared" si="6"/>
        <v>0</v>
      </c>
    </row>
    <row r="22" spans="1:33" x14ac:dyDescent="0.55000000000000004">
      <c r="A22" s="19" t="s">
        <v>76</v>
      </c>
      <c r="B22" s="21">
        <f>595</f>
        <v>595</v>
      </c>
      <c r="C22" s="21">
        <f>1095</f>
        <v>1095</v>
      </c>
      <c r="D22" s="21">
        <f>595</f>
        <v>595</v>
      </c>
      <c r="E22" s="21">
        <f>595</f>
        <v>595</v>
      </c>
      <c r="F22" s="21">
        <f>2142</f>
        <v>2142</v>
      </c>
      <c r="G22" s="21">
        <f>595</f>
        <v>595</v>
      </c>
      <c r="H22" s="21">
        <f>595</f>
        <v>595</v>
      </c>
      <c r="I22" s="21">
        <f>595</f>
        <v>595</v>
      </c>
      <c r="J22" s="21">
        <f>595</f>
        <v>595</v>
      </c>
      <c r="K22" s="21">
        <f>3345</f>
        <v>3345</v>
      </c>
      <c r="L22" s="21">
        <f t="shared" si="15"/>
        <v>10747</v>
      </c>
      <c r="N22" s="15" t="s">
        <v>66</v>
      </c>
      <c r="O22" s="15" t="s">
        <v>121</v>
      </c>
      <c r="Q22" s="21">
        <v>595</v>
      </c>
      <c r="R22" s="21">
        <v>595</v>
      </c>
      <c r="S22" s="21"/>
      <c r="T22" s="29">
        <v>595</v>
      </c>
      <c r="U22" s="29">
        <v>595</v>
      </c>
      <c r="V22" s="29">
        <v>595</v>
      </c>
      <c r="W22" s="29">
        <v>595</v>
      </c>
      <c r="X22" s="29">
        <f>2142</f>
        <v>2142</v>
      </c>
      <c r="Y22" s="29">
        <v>595</v>
      </c>
      <c r="Z22" s="29">
        <v>595</v>
      </c>
      <c r="AA22" s="29">
        <v>595</v>
      </c>
      <c r="AB22" s="29">
        <v>595</v>
      </c>
      <c r="AC22" s="29">
        <v>595</v>
      </c>
      <c r="AD22" s="29">
        <v>595</v>
      </c>
      <c r="AE22" s="29">
        <v>595</v>
      </c>
      <c r="AF22" s="21">
        <f t="shared" si="6"/>
        <v>8687</v>
      </c>
      <c r="AG22" s="15" t="s">
        <v>77</v>
      </c>
    </row>
    <row r="23" spans="1:33" x14ac:dyDescent="0.55000000000000004">
      <c r="A23" s="19" t="s">
        <v>78</v>
      </c>
      <c r="B23" s="20"/>
      <c r="C23" s="20"/>
      <c r="D23" s="20"/>
      <c r="E23" s="20"/>
      <c r="F23" s="21">
        <f>15</f>
        <v>15</v>
      </c>
      <c r="G23" s="20"/>
      <c r="H23" s="21">
        <f>13.26</f>
        <v>13.26</v>
      </c>
      <c r="I23" s="20"/>
      <c r="J23" s="21">
        <f>46.69</f>
        <v>46.69</v>
      </c>
      <c r="K23" s="20"/>
      <c r="L23" s="21">
        <f t="shared" si="15"/>
        <v>74.949999999999989</v>
      </c>
      <c r="N23" s="15" t="s">
        <v>79</v>
      </c>
      <c r="O23" s="15" t="s">
        <v>80</v>
      </c>
      <c r="Q23" s="20">
        <v>100</v>
      </c>
      <c r="R23" s="20">
        <v>100</v>
      </c>
      <c r="S23" s="20"/>
      <c r="T23" s="20">
        <v>100</v>
      </c>
      <c r="U23" s="20">
        <v>100</v>
      </c>
      <c r="V23" s="20">
        <v>100</v>
      </c>
      <c r="W23" s="20">
        <v>100</v>
      </c>
      <c r="X23" s="20">
        <v>100</v>
      </c>
      <c r="Y23" s="20">
        <v>100</v>
      </c>
      <c r="Z23" s="20">
        <v>100</v>
      </c>
      <c r="AA23" s="20">
        <v>100</v>
      </c>
      <c r="AB23" s="20">
        <v>100</v>
      </c>
      <c r="AC23" s="20">
        <v>100</v>
      </c>
      <c r="AD23" s="20">
        <v>100</v>
      </c>
      <c r="AE23" s="20">
        <v>100</v>
      </c>
      <c r="AF23" s="20">
        <f t="shared" si="6"/>
        <v>1200</v>
      </c>
    </row>
    <row r="24" spans="1:33" x14ac:dyDescent="0.55000000000000004">
      <c r="A24" s="19" t="s">
        <v>81</v>
      </c>
      <c r="B24" s="21">
        <f>22.04</f>
        <v>22.04</v>
      </c>
      <c r="C24" s="20"/>
      <c r="D24" s="20"/>
      <c r="E24" s="20"/>
      <c r="F24" s="21">
        <f>56.39</f>
        <v>56.39</v>
      </c>
      <c r="G24" s="21">
        <f>135</f>
        <v>135</v>
      </c>
      <c r="H24" s="21">
        <f>135</f>
        <v>135</v>
      </c>
      <c r="I24" s="21">
        <f>187.83</f>
        <v>187.83</v>
      </c>
      <c r="J24" s="20"/>
      <c r="K24" s="21">
        <f>27.93</f>
        <v>27.93</v>
      </c>
      <c r="L24" s="21">
        <f t="shared" si="15"/>
        <v>564.18999999999994</v>
      </c>
      <c r="N24" s="15" t="s">
        <v>54</v>
      </c>
      <c r="O24" s="15" t="s">
        <v>82</v>
      </c>
      <c r="Q24" s="21">
        <v>50</v>
      </c>
      <c r="R24" s="21">
        <v>50</v>
      </c>
      <c r="S24" s="21"/>
      <c r="T24" s="21">
        <v>50</v>
      </c>
      <c r="U24" s="21">
        <v>50</v>
      </c>
      <c r="V24" s="21">
        <v>50</v>
      </c>
      <c r="W24" s="21">
        <v>50</v>
      </c>
      <c r="X24" s="21">
        <v>50</v>
      </c>
      <c r="Y24" s="21">
        <v>50</v>
      </c>
      <c r="Z24" s="21">
        <v>50</v>
      </c>
      <c r="AA24" s="21">
        <v>50</v>
      </c>
      <c r="AB24" s="21">
        <v>50</v>
      </c>
      <c r="AC24" s="21">
        <v>50</v>
      </c>
      <c r="AD24" s="21">
        <v>50</v>
      </c>
      <c r="AE24" s="21">
        <v>50</v>
      </c>
      <c r="AF24" s="21">
        <f t="shared" si="6"/>
        <v>600</v>
      </c>
    </row>
    <row r="25" spans="1:33" x14ac:dyDescent="0.55000000000000004">
      <c r="A25" s="19" t="s">
        <v>83</v>
      </c>
      <c r="B25" s="20"/>
      <c r="C25" s="20"/>
      <c r="D25" s="20"/>
      <c r="E25" s="20"/>
      <c r="F25" s="20"/>
      <c r="G25" s="21">
        <f>23.99</f>
        <v>23.99</v>
      </c>
      <c r="H25" s="20"/>
      <c r="I25" s="20"/>
      <c r="J25" s="21">
        <f>43</f>
        <v>43</v>
      </c>
      <c r="K25" s="20"/>
      <c r="L25" s="21">
        <f t="shared" si="15"/>
        <v>66.989999999999995</v>
      </c>
      <c r="N25" s="15" t="s">
        <v>54</v>
      </c>
      <c r="O25" s="15" t="s">
        <v>82</v>
      </c>
      <c r="Q25" s="20">
        <v>5</v>
      </c>
      <c r="R25" s="20">
        <v>5</v>
      </c>
      <c r="S25" s="20"/>
      <c r="T25" s="20">
        <v>5</v>
      </c>
      <c r="U25" s="20">
        <v>5</v>
      </c>
      <c r="V25" s="20">
        <v>5</v>
      </c>
      <c r="W25" s="20">
        <v>5</v>
      </c>
      <c r="X25" s="20">
        <v>5</v>
      </c>
      <c r="Y25" s="20">
        <v>5</v>
      </c>
      <c r="Z25" s="20">
        <v>5</v>
      </c>
      <c r="AA25" s="20">
        <v>5</v>
      </c>
      <c r="AB25" s="20">
        <v>5</v>
      </c>
      <c r="AC25" s="20">
        <v>5</v>
      </c>
      <c r="AD25" s="20">
        <v>5</v>
      </c>
      <c r="AE25" s="20">
        <v>5</v>
      </c>
      <c r="AF25" s="20">
        <f t="shared" si="6"/>
        <v>60</v>
      </c>
    </row>
    <row r="26" spans="1:33" x14ac:dyDescent="0.55000000000000004">
      <c r="A26" s="19" t="s">
        <v>84</v>
      </c>
      <c r="B26" s="21">
        <f>97</f>
        <v>97</v>
      </c>
      <c r="C26" s="21">
        <f>97</f>
        <v>97</v>
      </c>
      <c r="D26" s="21">
        <f>93</f>
        <v>93</v>
      </c>
      <c r="E26" s="21">
        <f>97</f>
        <v>97</v>
      </c>
      <c r="F26" s="21">
        <f>123.39</f>
        <v>123.39</v>
      </c>
      <c r="G26" s="21">
        <f>118.81</f>
        <v>118.81</v>
      </c>
      <c r="H26" s="21">
        <f>118.81</f>
        <v>118.81</v>
      </c>
      <c r="I26" s="21">
        <f>129.71</f>
        <v>129.71</v>
      </c>
      <c r="J26" s="21">
        <f>134.07</f>
        <v>134.07</v>
      </c>
      <c r="K26" s="21">
        <f>151.51</f>
        <v>151.51</v>
      </c>
      <c r="L26" s="21">
        <f t="shared" si="15"/>
        <v>1160.3</v>
      </c>
      <c r="N26" s="15" t="s">
        <v>54</v>
      </c>
      <c r="O26" s="15" t="s">
        <v>85</v>
      </c>
      <c r="Q26" s="21">
        <v>151.51</v>
      </c>
      <c r="R26" s="21">
        <v>151.51</v>
      </c>
      <c r="S26" s="21"/>
      <c r="T26" s="21">
        <v>151.51</v>
      </c>
      <c r="U26" s="21">
        <v>151.51</v>
      </c>
      <c r="V26" s="21">
        <v>151.51</v>
      </c>
      <c r="W26" s="21">
        <v>151.51</v>
      </c>
      <c r="X26" s="21">
        <v>151.51</v>
      </c>
      <c r="Y26" s="21">
        <v>151.51</v>
      </c>
      <c r="Z26" s="21">
        <v>151.51</v>
      </c>
      <c r="AA26" s="21">
        <v>151.51</v>
      </c>
      <c r="AB26" s="21">
        <v>151.51</v>
      </c>
      <c r="AC26" s="21">
        <v>151.51</v>
      </c>
      <c r="AD26" s="21">
        <v>151.51</v>
      </c>
      <c r="AE26" s="21">
        <v>151.51</v>
      </c>
      <c r="AF26" s="21">
        <f t="shared" si="6"/>
        <v>1818.12</v>
      </c>
    </row>
    <row r="27" spans="1:33" x14ac:dyDescent="0.55000000000000004">
      <c r="A27" s="19" t="s">
        <v>86</v>
      </c>
      <c r="B27" s="20"/>
      <c r="C27" s="20"/>
      <c r="D27" s="20"/>
      <c r="E27" s="20"/>
      <c r="F27" s="20"/>
      <c r="G27" s="20"/>
      <c r="H27" s="20"/>
      <c r="I27" s="20"/>
      <c r="J27" s="20"/>
      <c r="K27" s="20"/>
      <c r="L27" s="21">
        <f t="shared" si="15"/>
        <v>0</v>
      </c>
      <c r="Q27" s="20"/>
      <c r="R27" s="20"/>
      <c r="S27" s="20"/>
      <c r="T27" s="20"/>
      <c r="U27" s="20"/>
      <c r="V27" s="20"/>
      <c r="W27" s="20"/>
      <c r="X27" s="20"/>
      <c r="Y27" s="20"/>
      <c r="Z27" s="20"/>
      <c r="AA27" s="20"/>
      <c r="AB27" s="20"/>
      <c r="AC27" s="20"/>
      <c r="AD27" s="20"/>
      <c r="AE27" s="20"/>
      <c r="AF27" s="20">
        <f t="shared" si="6"/>
        <v>0</v>
      </c>
    </row>
    <row r="28" spans="1:33" x14ac:dyDescent="0.55000000000000004">
      <c r="A28" s="19" t="s">
        <v>87</v>
      </c>
      <c r="B28" s="21">
        <f>432</f>
        <v>432</v>
      </c>
      <c r="C28" s="21">
        <f>432</f>
        <v>432</v>
      </c>
      <c r="D28" s="21">
        <f>480</f>
        <v>480</v>
      </c>
      <c r="E28" s="21">
        <f>480</f>
        <v>480</v>
      </c>
      <c r="F28" s="21">
        <f>480</f>
        <v>480</v>
      </c>
      <c r="G28" s="21">
        <f>480</f>
        <v>480</v>
      </c>
      <c r="H28" s="21">
        <f>480</f>
        <v>480</v>
      </c>
      <c r="I28" s="21">
        <f>480</f>
        <v>480</v>
      </c>
      <c r="J28" s="21">
        <f>480</f>
        <v>480</v>
      </c>
      <c r="K28" s="21">
        <f>480</f>
        <v>480</v>
      </c>
      <c r="L28" s="21">
        <f t="shared" si="15"/>
        <v>4704</v>
      </c>
      <c r="Q28" s="21">
        <f>480</f>
        <v>480</v>
      </c>
      <c r="R28" s="21">
        <f>480</f>
        <v>480</v>
      </c>
      <c r="S28" s="21"/>
      <c r="T28" s="21">
        <f>480</f>
        <v>480</v>
      </c>
      <c r="U28" s="21">
        <f>480</f>
        <v>480</v>
      </c>
      <c r="V28" s="21">
        <f>480</f>
        <v>480</v>
      </c>
      <c r="W28" s="21">
        <f>480</f>
        <v>480</v>
      </c>
      <c r="X28" s="21">
        <f>480</f>
        <v>480</v>
      </c>
      <c r="Y28" s="21">
        <f>480</f>
        <v>480</v>
      </c>
      <c r="Z28" s="21">
        <f>480</f>
        <v>480</v>
      </c>
      <c r="AA28" s="21">
        <f>480</f>
        <v>480</v>
      </c>
      <c r="AB28" s="21">
        <f>480</f>
        <v>480</v>
      </c>
      <c r="AC28" s="21">
        <f>480</f>
        <v>480</v>
      </c>
      <c r="AD28" s="21">
        <f>480</f>
        <v>480</v>
      </c>
      <c r="AE28" s="21">
        <f>480</f>
        <v>480</v>
      </c>
      <c r="AF28" s="21">
        <f t="shared" si="6"/>
        <v>5760</v>
      </c>
    </row>
    <row r="29" spans="1:33" x14ac:dyDescent="0.55000000000000004">
      <c r="A29" s="19" t="s">
        <v>88</v>
      </c>
      <c r="B29" s="22">
        <f t="shared" ref="B29:K29" si="17">(B27)+(B28)</f>
        <v>432</v>
      </c>
      <c r="C29" s="22">
        <f t="shared" si="17"/>
        <v>432</v>
      </c>
      <c r="D29" s="22">
        <f t="shared" si="17"/>
        <v>480</v>
      </c>
      <c r="E29" s="22">
        <f t="shared" si="17"/>
        <v>480</v>
      </c>
      <c r="F29" s="22">
        <f t="shared" si="17"/>
        <v>480</v>
      </c>
      <c r="G29" s="22">
        <f t="shared" si="17"/>
        <v>480</v>
      </c>
      <c r="H29" s="22">
        <f t="shared" si="17"/>
        <v>480</v>
      </c>
      <c r="I29" s="22">
        <f t="shared" si="17"/>
        <v>480</v>
      </c>
      <c r="J29" s="22">
        <f t="shared" si="17"/>
        <v>480</v>
      </c>
      <c r="K29" s="22">
        <f t="shared" si="17"/>
        <v>480</v>
      </c>
      <c r="L29" s="22">
        <f t="shared" si="15"/>
        <v>4704</v>
      </c>
      <c r="N29" s="15" t="s">
        <v>66</v>
      </c>
      <c r="O29" s="15" t="s">
        <v>70</v>
      </c>
      <c r="Q29" s="22">
        <f t="shared" ref="Q29:R29" si="18">(Q27)+(Q28)</f>
        <v>480</v>
      </c>
      <c r="R29" s="22">
        <f t="shared" si="18"/>
        <v>480</v>
      </c>
      <c r="S29" s="22"/>
      <c r="T29" s="22">
        <f t="shared" ref="T29:AE29" si="19">(T27)+(T28)</f>
        <v>480</v>
      </c>
      <c r="U29" s="22">
        <f t="shared" si="19"/>
        <v>480</v>
      </c>
      <c r="V29" s="22">
        <f t="shared" si="19"/>
        <v>480</v>
      </c>
      <c r="W29" s="22">
        <f t="shared" si="19"/>
        <v>480</v>
      </c>
      <c r="X29" s="22">
        <f t="shared" si="19"/>
        <v>480</v>
      </c>
      <c r="Y29" s="22">
        <f t="shared" si="19"/>
        <v>480</v>
      </c>
      <c r="Z29" s="22">
        <f t="shared" si="19"/>
        <v>480</v>
      </c>
      <c r="AA29" s="22">
        <f t="shared" si="19"/>
        <v>480</v>
      </c>
      <c r="AB29" s="22">
        <f t="shared" si="19"/>
        <v>480</v>
      </c>
      <c r="AC29" s="22">
        <f t="shared" si="19"/>
        <v>480</v>
      </c>
      <c r="AD29" s="22">
        <f t="shared" si="19"/>
        <v>480</v>
      </c>
      <c r="AE29" s="22">
        <f t="shared" si="19"/>
        <v>480</v>
      </c>
      <c r="AF29" s="22">
        <f t="shared" si="6"/>
        <v>5760</v>
      </c>
    </row>
    <row r="30" spans="1:33" x14ac:dyDescent="0.55000000000000004">
      <c r="A30" s="19" t="s">
        <v>89</v>
      </c>
      <c r="B30" s="21">
        <f>1650</f>
        <v>1650</v>
      </c>
      <c r="C30" s="21">
        <f>1473.12</f>
        <v>1473.12</v>
      </c>
      <c r="D30" s="21">
        <f>1224</f>
        <v>1224</v>
      </c>
      <c r="E30" s="21">
        <f>1224</f>
        <v>1224</v>
      </c>
      <c r="F30" s="21">
        <f>1407.6</f>
        <v>1407.6</v>
      </c>
      <c r="G30" s="21">
        <f>1591.2</f>
        <v>1591.2</v>
      </c>
      <c r="H30" s="21">
        <f>1585.2</f>
        <v>1585.2</v>
      </c>
      <c r="I30" s="21">
        <f>2221.49</f>
        <v>2221.4899999999998</v>
      </c>
      <c r="J30" s="21">
        <f>2003.4</f>
        <v>2003.4</v>
      </c>
      <c r="K30" s="21">
        <f>2400.19</f>
        <v>2400.19</v>
      </c>
      <c r="L30" s="21">
        <f t="shared" si="15"/>
        <v>16780.2</v>
      </c>
      <c r="M30" s="25">
        <f>L30/L31</f>
        <v>8.8925278219395873E-2</v>
      </c>
      <c r="N30" s="15" t="s">
        <v>90</v>
      </c>
      <c r="Q30" s="21">
        <f>2400.19</f>
        <v>2400.19</v>
      </c>
      <c r="R30" s="21">
        <f t="shared" ref="R30" si="20">2400.19</f>
        <v>2400.19</v>
      </c>
      <c r="S30" s="21"/>
      <c r="T30" s="21">
        <f>2400.19+700</f>
        <v>3100.19</v>
      </c>
      <c r="U30" s="21">
        <f t="shared" ref="U30:AE30" si="21">2400.19+700</f>
        <v>3100.19</v>
      </c>
      <c r="V30" s="21">
        <f t="shared" si="21"/>
        <v>3100.19</v>
      </c>
      <c r="W30" s="21">
        <f t="shared" si="21"/>
        <v>3100.19</v>
      </c>
      <c r="X30" s="21">
        <f t="shared" si="21"/>
        <v>3100.19</v>
      </c>
      <c r="Y30" s="21">
        <f t="shared" si="21"/>
        <v>3100.19</v>
      </c>
      <c r="Z30" s="21">
        <f t="shared" si="21"/>
        <v>3100.19</v>
      </c>
      <c r="AA30" s="21">
        <f t="shared" si="21"/>
        <v>3100.19</v>
      </c>
      <c r="AB30" s="21">
        <f t="shared" si="21"/>
        <v>3100.19</v>
      </c>
      <c r="AC30" s="21">
        <f t="shared" si="21"/>
        <v>3100.19</v>
      </c>
      <c r="AD30" s="21">
        <f t="shared" si="21"/>
        <v>3100.19</v>
      </c>
      <c r="AE30" s="21">
        <f t="shared" si="21"/>
        <v>3100.19</v>
      </c>
      <c r="AF30" s="21">
        <f t="shared" si="6"/>
        <v>37202.28</v>
      </c>
    </row>
    <row r="31" spans="1:33" x14ac:dyDescent="0.55000000000000004">
      <c r="A31" s="19" t="s">
        <v>91</v>
      </c>
      <c r="B31" s="21">
        <f>14400</f>
        <v>14400</v>
      </c>
      <c r="C31" s="21">
        <f>14400</f>
        <v>14400</v>
      </c>
      <c r="D31" s="21">
        <f>16000</f>
        <v>16000</v>
      </c>
      <c r="E31" s="21">
        <f>16000</f>
        <v>16000</v>
      </c>
      <c r="F31" s="21">
        <f>17600</f>
        <v>17600</v>
      </c>
      <c r="G31" s="21">
        <f>19200</f>
        <v>19200</v>
      </c>
      <c r="H31" s="21">
        <f>19200</f>
        <v>19200</v>
      </c>
      <c r="I31" s="21">
        <f>24860</f>
        <v>24860</v>
      </c>
      <c r="J31" s="21">
        <f>23520</f>
        <v>23520</v>
      </c>
      <c r="K31" s="21">
        <f>23520</f>
        <v>23520</v>
      </c>
      <c r="L31" s="21">
        <f t="shared" si="15"/>
        <v>188700</v>
      </c>
      <c r="N31" s="15" t="s">
        <v>90</v>
      </c>
      <c r="Q31" s="21">
        <f>23520</f>
        <v>23520</v>
      </c>
      <c r="R31" s="21">
        <f>23520</f>
        <v>23520</v>
      </c>
      <c r="S31" s="21"/>
      <c r="T31" s="21">
        <f>23520+6300</f>
        <v>29820</v>
      </c>
      <c r="U31" s="21">
        <f t="shared" ref="U31:AE31" si="22">23520+6300</f>
        <v>29820</v>
      </c>
      <c r="V31" s="21">
        <f t="shared" si="22"/>
        <v>29820</v>
      </c>
      <c r="W31" s="21">
        <f t="shared" si="22"/>
        <v>29820</v>
      </c>
      <c r="X31" s="21">
        <f t="shared" si="22"/>
        <v>29820</v>
      </c>
      <c r="Y31" s="21">
        <f t="shared" si="22"/>
        <v>29820</v>
      </c>
      <c r="Z31" s="21">
        <f t="shared" si="22"/>
        <v>29820</v>
      </c>
      <c r="AA31" s="21">
        <f t="shared" si="22"/>
        <v>29820</v>
      </c>
      <c r="AB31" s="21">
        <f t="shared" si="22"/>
        <v>29820</v>
      </c>
      <c r="AC31" s="21">
        <f t="shared" si="22"/>
        <v>29820</v>
      </c>
      <c r="AD31" s="21">
        <f t="shared" si="22"/>
        <v>29820</v>
      </c>
      <c r="AE31" s="21">
        <f t="shared" si="22"/>
        <v>29820</v>
      </c>
      <c r="AF31" s="21">
        <f t="shared" si="6"/>
        <v>357840</v>
      </c>
    </row>
    <row r="32" spans="1:33" x14ac:dyDescent="0.55000000000000004">
      <c r="A32" s="19" t="s">
        <v>92</v>
      </c>
      <c r="B32" s="22">
        <f t="shared" ref="B32:K32" si="23">(((B26)+(B29))+(B30))+(B31)</f>
        <v>16579</v>
      </c>
      <c r="C32" s="22">
        <f t="shared" si="23"/>
        <v>16402.12</v>
      </c>
      <c r="D32" s="22">
        <f t="shared" si="23"/>
        <v>17797</v>
      </c>
      <c r="E32" s="22">
        <f t="shared" si="23"/>
        <v>17801</v>
      </c>
      <c r="F32" s="22">
        <f t="shared" si="23"/>
        <v>19610.989999999998</v>
      </c>
      <c r="G32" s="22">
        <f t="shared" si="23"/>
        <v>21390.010000000002</v>
      </c>
      <c r="H32" s="22">
        <f t="shared" si="23"/>
        <v>21384.010000000002</v>
      </c>
      <c r="I32" s="22">
        <f t="shared" si="23"/>
        <v>27691.200000000001</v>
      </c>
      <c r="J32" s="22">
        <f t="shared" si="23"/>
        <v>26137.47</v>
      </c>
      <c r="K32" s="22">
        <f t="shared" si="23"/>
        <v>26551.7</v>
      </c>
      <c r="L32" s="22">
        <f t="shared" si="15"/>
        <v>211344.50000000003</v>
      </c>
      <c r="N32" s="15" t="s">
        <v>90</v>
      </c>
      <c r="O32" s="15" t="s">
        <v>93</v>
      </c>
      <c r="Q32" s="22">
        <f t="shared" ref="Q32:R32" si="24">(((Q26)+(Q29))+(Q30))+(Q31)</f>
        <v>26551.7</v>
      </c>
      <c r="R32" s="22">
        <f t="shared" si="24"/>
        <v>26551.7</v>
      </c>
      <c r="S32" s="22"/>
      <c r="T32" s="22">
        <f>SUM(T30:T31)</f>
        <v>32920.19</v>
      </c>
      <c r="U32" s="22">
        <f t="shared" ref="U32:AE32" si="25">SUM(U30:U31)</f>
        <v>32920.19</v>
      </c>
      <c r="V32" s="22">
        <f t="shared" si="25"/>
        <v>32920.19</v>
      </c>
      <c r="W32" s="22">
        <f t="shared" si="25"/>
        <v>32920.19</v>
      </c>
      <c r="X32" s="22">
        <f t="shared" si="25"/>
        <v>32920.19</v>
      </c>
      <c r="Y32" s="22">
        <f t="shared" si="25"/>
        <v>32920.19</v>
      </c>
      <c r="Z32" s="22">
        <f t="shared" si="25"/>
        <v>32920.19</v>
      </c>
      <c r="AA32" s="22">
        <f t="shared" si="25"/>
        <v>32920.19</v>
      </c>
      <c r="AB32" s="22">
        <f t="shared" si="25"/>
        <v>32920.19</v>
      </c>
      <c r="AC32" s="22">
        <f t="shared" si="25"/>
        <v>32920.19</v>
      </c>
      <c r="AD32" s="22">
        <f t="shared" si="25"/>
        <v>32920.19</v>
      </c>
      <c r="AE32" s="22">
        <f t="shared" si="25"/>
        <v>32920.19</v>
      </c>
      <c r="AF32" s="22">
        <f>SUM(T32:AE32)</f>
        <v>395042.28</v>
      </c>
    </row>
    <row r="33" spans="1:32" x14ac:dyDescent="0.55000000000000004">
      <c r="A33" s="19" t="s">
        <v>94</v>
      </c>
      <c r="B33" s="20"/>
      <c r="C33" s="20"/>
      <c r="D33" s="21">
        <f>125</f>
        <v>125</v>
      </c>
      <c r="E33" s="21">
        <f>400</f>
        <v>400</v>
      </c>
      <c r="F33" s="21">
        <f>160</f>
        <v>160</v>
      </c>
      <c r="G33" s="20"/>
      <c r="H33" s="20"/>
      <c r="I33" s="21">
        <f>535.5</f>
        <v>535.5</v>
      </c>
      <c r="J33" s="20"/>
      <c r="K33" s="20"/>
      <c r="L33" s="21">
        <f t="shared" si="15"/>
        <v>1220.5</v>
      </c>
      <c r="N33" s="15" t="s">
        <v>79</v>
      </c>
      <c r="O33" s="15" t="s">
        <v>95</v>
      </c>
      <c r="Q33" s="20"/>
      <c r="R33" s="20"/>
      <c r="S33" s="20"/>
      <c r="T33" s="20"/>
      <c r="U33" s="20"/>
      <c r="V33" s="21">
        <f>125</f>
        <v>125</v>
      </c>
      <c r="W33" s="21">
        <f>400</f>
        <v>400</v>
      </c>
      <c r="X33" s="21">
        <f>160</f>
        <v>160</v>
      </c>
      <c r="Y33" s="20"/>
      <c r="Z33" s="20"/>
      <c r="AA33" s="21">
        <f>535.5</f>
        <v>535.5</v>
      </c>
      <c r="AB33" s="20"/>
      <c r="AC33" s="20"/>
      <c r="AD33" s="20"/>
      <c r="AE33" s="20"/>
      <c r="AF33" s="20">
        <f t="shared" si="6"/>
        <v>1220.5</v>
      </c>
    </row>
    <row r="34" spans="1:32" x14ac:dyDescent="0.55000000000000004">
      <c r="A34" s="19" t="s">
        <v>96</v>
      </c>
      <c r="B34" s="21">
        <f>125</f>
        <v>125</v>
      </c>
      <c r="C34" s="20"/>
      <c r="D34" s="21">
        <f>125</f>
        <v>125</v>
      </c>
      <c r="E34" s="21">
        <f>125</f>
        <v>125</v>
      </c>
      <c r="F34" s="21">
        <f>250</f>
        <v>250</v>
      </c>
      <c r="G34" s="21">
        <f>250</f>
        <v>250</v>
      </c>
      <c r="H34" s="21">
        <f>250</f>
        <v>250</v>
      </c>
      <c r="I34" s="21">
        <f>600</f>
        <v>600</v>
      </c>
      <c r="J34" s="21">
        <f>600</f>
        <v>600</v>
      </c>
      <c r="K34" s="21">
        <f>600</f>
        <v>600</v>
      </c>
      <c r="L34" s="21">
        <f t="shared" si="15"/>
        <v>2925</v>
      </c>
      <c r="N34" s="15" t="s">
        <v>66</v>
      </c>
      <c r="O34" s="15" t="s">
        <v>97</v>
      </c>
      <c r="Q34" s="21">
        <v>600</v>
      </c>
      <c r="R34" s="21">
        <v>600</v>
      </c>
      <c r="S34" s="21"/>
      <c r="T34" s="21">
        <v>600</v>
      </c>
      <c r="U34" s="21">
        <v>600</v>
      </c>
      <c r="V34" s="21">
        <v>600</v>
      </c>
      <c r="W34" s="21">
        <v>600</v>
      </c>
      <c r="X34" s="21">
        <v>600</v>
      </c>
      <c r="Y34" s="21">
        <v>600</v>
      </c>
      <c r="Z34" s="21">
        <v>600</v>
      </c>
      <c r="AA34" s="21">
        <v>600</v>
      </c>
      <c r="AB34" s="21">
        <v>600</v>
      </c>
      <c r="AC34" s="21">
        <v>600</v>
      </c>
      <c r="AD34" s="21">
        <v>600</v>
      </c>
      <c r="AE34" s="21">
        <v>600</v>
      </c>
      <c r="AF34" s="21">
        <f t="shared" si="6"/>
        <v>7200</v>
      </c>
    </row>
    <row r="35" spans="1:32" x14ac:dyDescent="0.55000000000000004">
      <c r="A35" s="19" t="s">
        <v>98</v>
      </c>
      <c r="B35" s="20"/>
      <c r="C35" s="20"/>
      <c r="D35" s="20"/>
      <c r="E35" s="20"/>
      <c r="F35" s="20"/>
      <c r="G35" s="21">
        <f>97.93</f>
        <v>97.93</v>
      </c>
      <c r="H35" s="21">
        <f>138</f>
        <v>138</v>
      </c>
      <c r="I35" s="20"/>
      <c r="J35" s="20"/>
      <c r="K35" s="20"/>
      <c r="L35" s="21">
        <f t="shared" si="15"/>
        <v>235.93</v>
      </c>
      <c r="N35" s="15" t="s">
        <v>99</v>
      </c>
      <c r="O35" s="15" t="s">
        <v>100</v>
      </c>
      <c r="Q35" s="20"/>
      <c r="R35" s="20"/>
      <c r="S35" s="20"/>
      <c r="T35" s="20"/>
      <c r="U35" s="20"/>
      <c r="V35" s="20"/>
      <c r="W35" s="20"/>
      <c r="X35" s="20"/>
      <c r="Y35" s="20"/>
      <c r="Z35" s="20"/>
      <c r="AA35" s="20"/>
      <c r="AB35" s="20"/>
      <c r="AC35" s="20"/>
      <c r="AD35" s="20"/>
      <c r="AE35" s="20"/>
      <c r="AF35" s="20">
        <f t="shared" si="6"/>
        <v>0</v>
      </c>
    </row>
    <row r="36" spans="1:32" x14ac:dyDescent="0.55000000000000004">
      <c r="A36" s="19" t="s">
        <v>101</v>
      </c>
      <c r="B36" s="21">
        <f t="shared" ref="B36:I36" si="26">3.21</f>
        <v>3.21</v>
      </c>
      <c r="C36" s="21">
        <f t="shared" si="26"/>
        <v>3.21</v>
      </c>
      <c r="D36" s="21">
        <f t="shared" si="26"/>
        <v>3.21</v>
      </c>
      <c r="E36" s="21">
        <f t="shared" si="26"/>
        <v>3.21</v>
      </c>
      <c r="F36" s="21">
        <f t="shared" si="26"/>
        <v>3.21</v>
      </c>
      <c r="G36" s="21">
        <f t="shared" si="26"/>
        <v>3.21</v>
      </c>
      <c r="H36" s="21">
        <f t="shared" si="26"/>
        <v>3.21</v>
      </c>
      <c r="I36" s="21">
        <f t="shared" si="26"/>
        <v>3.21</v>
      </c>
      <c r="J36" s="21">
        <f>9.47</f>
        <v>9.4700000000000006</v>
      </c>
      <c r="K36" s="21">
        <f>6.39</f>
        <v>6.39</v>
      </c>
      <c r="L36" s="21">
        <f t="shared" si="15"/>
        <v>41.540000000000006</v>
      </c>
      <c r="N36" s="15" t="s">
        <v>79</v>
      </c>
      <c r="O36" s="26">
        <v>5</v>
      </c>
      <c r="Q36" s="21">
        <v>5</v>
      </c>
      <c r="R36" s="21">
        <v>5</v>
      </c>
      <c r="S36" s="21"/>
      <c r="T36" s="21">
        <v>5</v>
      </c>
      <c r="U36" s="21">
        <v>5</v>
      </c>
      <c r="V36" s="21">
        <v>5</v>
      </c>
      <c r="W36" s="21">
        <v>5</v>
      </c>
      <c r="X36" s="21">
        <v>5</v>
      </c>
      <c r="Y36" s="21">
        <v>5</v>
      </c>
      <c r="Z36" s="21">
        <v>5</v>
      </c>
      <c r="AA36" s="21">
        <v>5</v>
      </c>
      <c r="AB36" s="21">
        <v>5</v>
      </c>
      <c r="AC36" s="21">
        <v>5</v>
      </c>
      <c r="AD36" s="21">
        <v>5</v>
      </c>
      <c r="AE36" s="21">
        <v>5</v>
      </c>
      <c r="AF36" s="21">
        <f t="shared" si="6"/>
        <v>60</v>
      </c>
    </row>
    <row r="37" spans="1:32" x14ac:dyDescent="0.55000000000000004">
      <c r="A37" s="19" t="s">
        <v>102</v>
      </c>
      <c r="B37" s="21">
        <f>250</f>
        <v>250</v>
      </c>
      <c r="C37" s="20"/>
      <c r="D37" s="20"/>
      <c r="E37" s="20"/>
      <c r="F37" s="21">
        <f>76.69</f>
        <v>76.69</v>
      </c>
      <c r="G37" s="21">
        <f>26</f>
        <v>26</v>
      </c>
      <c r="H37" s="20"/>
      <c r="I37" s="20"/>
      <c r="J37" s="21">
        <f>350</f>
        <v>350</v>
      </c>
      <c r="K37" s="20"/>
      <c r="L37" s="21">
        <f t="shared" si="15"/>
        <v>702.69</v>
      </c>
      <c r="N37" s="15" t="s">
        <v>79</v>
      </c>
      <c r="O37" s="15" t="s">
        <v>70</v>
      </c>
      <c r="Q37" s="20"/>
      <c r="R37" s="20"/>
      <c r="S37" s="20"/>
      <c r="T37" s="21">
        <f>250</f>
        <v>250</v>
      </c>
      <c r="U37" s="20"/>
      <c r="V37" s="20"/>
      <c r="W37" s="20"/>
      <c r="X37" s="21">
        <f>76.69</f>
        <v>76.69</v>
      </c>
      <c r="Y37" s="21">
        <f>26</f>
        <v>26</v>
      </c>
      <c r="Z37" s="20"/>
      <c r="AA37" s="20"/>
      <c r="AB37" s="21">
        <f>350</f>
        <v>350</v>
      </c>
      <c r="AC37" s="20"/>
      <c r="AD37" s="20"/>
      <c r="AE37" s="20"/>
      <c r="AF37" s="20">
        <f t="shared" si="6"/>
        <v>702.69</v>
      </c>
    </row>
    <row r="38" spans="1:32" x14ac:dyDescent="0.55000000000000004">
      <c r="A38" s="19" t="s">
        <v>103</v>
      </c>
      <c r="B38" s="21">
        <f>661.1</f>
        <v>661.1</v>
      </c>
      <c r="C38" s="21">
        <f>274.74</f>
        <v>274.74</v>
      </c>
      <c r="D38" s="21">
        <f>180.09</f>
        <v>180.09</v>
      </c>
      <c r="E38" s="21">
        <f>973.09</f>
        <v>973.09</v>
      </c>
      <c r="F38" s="21">
        <f>180.09</f>
        <v>180.09</v>
      </c>
      <c r="G38" s="21">
        <f>184.14</f>
        <v>184.14</v>
      </c>
      <c r="H38" s="21">
        <f>1606.95</f>
        <v>1606.95</v>
      </c>
      <c r="I38" s="21">
        <f>1732.59</f>
        <v>1732.59</v>
      </c>
      <c r="J38" s="21">
        <f>515.25</f>
        <v>515.25</v>
      </c>
      <c r="K38" s="21">
        <f>410.41</f>
        <v>410.41</v>
      </c>
      <c r="L38" s="21">
        <f t="shared" si="15"/>
        <v>6718.45</v>
      </c>
      <c r="N38" s="15" t="s">
        <v>79</v>
      </c>
      <c r="O38" s="15" t="s">
        <v>104</v>
      </c>
      <c r="Q38" s="21">
        <v>500</v>
      </c>
      <c r="R38" s="21">
        <v>500</v>
      </c>
      <c r="S38" s="21"/>
      <c r="T38" s="21">
        <v>500</v>
      </c>
      <c r="U38" s="21">
        <v>500</v>
      </c>
      <c r="V38" s="21">
        <v>500</v>
      </c>
      <c r="W38" s="21">
        <v>500</v>
      </c>
      <c r="X38" s="21">
        <v>500</v>
      </c>
      <c r="Y38" s="21">
        <v>500</v>
      </c>
      <c r="Z38" s="21">
        <v>500</v>
      </c>
      <c r="AA38" s="21">
        <v>500</v>
      </c>
      <c r="AB38" s="21">
        <v>500</v>
      </c>
      <c r="AC38" s="21">
        <v>500</v>
      </c>
      <c r="AD38" s="21">
        <v>500</v>
      </c>
      <c r="AE38" s="21">
        <v>500</v>
      </c>
      <c r="AF38" s="21">
        <f t="shared" si="6"/>
        <v>6000</v>
      </c>
    </row>
    <row r="39" spans="1:32" x14ac:dyDescent="0.55000000000000004">
      <c r="A39" s="19" t="s">
        <v>105</v>
      </c>
      <c r="B39" s="21">
        <f>50.86</f>
        <v>50.86</v>
      </c>
      <c r="C39" s="20"/>
      <c r="D39" s="20"/>
      <c r="E39" s="20"/>
      <c r="F39" s="20"/>
      <c r="G39" s="21">
        <f>10.9</f>
        <v>10.9</v>
      </c>
      <c r="H39" s="20"/>
      <c r="I39" s="21">
        <f>776.58</f>
        <v>776.58</v>
      </c>
      <c r="J39" s="21">
        <f>383.72</f>
        <v>383.72</v>
      </c>
      <c r="K39" s="21">
        <f>200</f>
        <v>200</v>
      </c>
      <c r="L39" s="21">
        <f t="shared" si="15"/>
        <v>1422.06</v>
      </c>
      <c r="N39" s="15" t="s">
        <v>79</v>
      </c>
      <c r="O39" s="15" t="s">
        <v>106</v>
      </c>
      <c r="Q39" s="21">
        <v>200</v>
      </c>
      <c r="R39" s="21">
        <v>200</v>
      </c>
      <c r="S39" s="21"/>
      <c r="T39" s="21">
        <v>200</v>
      </c>
      <c r="U39" s="21">
        <v>200</v>
      </c>
      <c r="V39" s="21">
        <v>200</v>
      </c>
      <c r="W39" s="21">
        <v>200</v>
      </c>
      <c r="X39" s="21">
        <v>200</v>
      </c>
      <c r="Y39" s="21">
        <v>200</v>
      </c>
      <c r="Z39" s="21">
        <v>200</v>
      </c>
      <c r="AA39" s="21">
        <v>200</v>
      </c>
      <c r="AB39" s="21">
        <v>200</v>
      </c>
      <c r="AC39" s="21">
        <v>200</v>
      </c>
      <c r="AD39" s="21">
        <v>200</v>
      </c>
      <c r="AE39" s="21">
        <v>200</v>
      </c>
      <c r="AF39" s="21">
        <f t="shared" si="6"/>
        <v>2400</v>
      </c>
    </row>
    <row r="40" spans="1:32" x14ac:dyDescent="0.55000000000000004">
      <c r="A40" s="19" t="s">
        <v>107</v>
      </c>
      <c r="B40" s="22">
        <f t="shared" ref="B40:K40" si="27">((((((((((((((((B17)+(B18))+(B19))+(B20))+(B21))+(B22))+(B23))+(B24))+(B25))+(B32))+(B33))+(B34))+(B35))+(B36))+(B37))+(B38))+(B39)</f>
        <v>18301.14</v>
      </c>
      <c r="C40" s="22">
        <f t="shared" si="27"/>
        <v>17746.07</v>
      </c>
      <c r="D40" s="22">
        <f t="shared" si="27"/>
        <v>19295.39</v>
      </c>
      <c r="E40" s="22">
        <f t="shared" si="27"/>
        <v>19916.52</v>
      </c>
      <c r="F40" s="22">
        <f t="shared" si="27"/>
        <v>24057.949999999997</v>
      </c>
      <c r="G40" s="22">
        <f t="shared" si="27"/>
        <v>22763.040000000001</v>
      </c>
      <c r="H40" s="22">
        <f t="shared" si="27"/>
        <v>25334.710000000003</v>
      </c>
      <c r="I40" s="22">
        <f t="shared" si="27"/>
        <v>32156.710000000003</v>
      </c>
      <c r="J40" s="22">
        <f t="shared" si="27"/>
        <v>28710.210000000003</v>
      </c>
      <c r="K40" s="22">
        <f t="shared" si="27"/>
        <v>31498.38</v>
      </c>
      <c r="L40" s="22">
        <f t="shared" si="15"/>
        <v>239780.11999999997</v>
      </c>
      <c r="Q40" s="22">
        <f>((((((((((((((((Q17)+(Q18))+(Q19))+(Q20))+(Q21))+(Q22))+(Q23))+(Q24))+(Q25))+(Q32))+(Q33))+(Q34))+(Q35))+(Q36))+(Q37))+(Q38))+(Q39)</f>
        <v>28686.7</v>
      </c>
      <c r="R40" s="22">
        <f t="shared" ref="R40:AE40" si="28">((((((((((((((((R17)+(R18))+(R19))+(R20))+(R21))+(R22))+(R23))+(R24))+(R25))+(R32))+(R33))+(R34))+(R35))+(R36))+(R37))+(R38))+(R39)</f>
        <v>28686.7</v>
      </c>
      <c r="S40" s="22"/>
      <c r="T40" s="22">
        <f t="shared" si="28"/>
        <v>36315.19</v>
      </c>
      <c r="U40" s="22">
        <f t="shared" si="28"/>
        <v>35365.19</v>
      </c>
      <c r="V40" s="22">
        <f t="shared" si="28"/>
        <v>35960.990000000005</v>
      </c>
      <c r="W40" s="22">
        <f t="shared" si="28"/>
        <v>36465.19</v>
      </c>
      <c r="X40" s="22">
        <f t="shared" si="28"/>
        <v>37148.880000000005</v>
      </c>
      <c r="Y40" s="22">
        <f t="shared" si="28"/>
        <v>35391.19</v>
      </c>
      <c r="Z40" s="22">
        <f t="shared" si="28"/>
        <v>36065.19</v>
      </c>
      <c r="AA40" s="22">
        <f t="shared" si="28"/>
        <v>35900.69</v>
      </c>
      <c r="AB40" s="22">
        <f t="shared" si="28"/>
        <v>35715.19</v>
      </c>
      <c r="AC40" s="22">
        <f t="shared" si="28"/>
        <v>36415.19</v>
      </c>
      <c r="AD40" s="22">
        <f t="shared" si="28"/>
        <v>35365.19</v>
      </c>
      <c r="AE40" s="22">
        <f t="shared" si="28"/>
        <v>35365.19</v>
      </c>
      <c r="AF40" s="22">
        <f t="shared" si="6"/>
        <v>431473.27</v>
      </c>
    </row>
    <row r="41" spans="1:32" x14ac:dyDescent="0.55000000000000004">
      <c r="A41" s="19" t="s">
        <v>108</v>
      </c>
      <c r="B41" s="22">
        <f t="shared" ref="B41:K41" si="29">(B15)-(B40)</f>
        <v>16704.510000000002</v>
      </c>
      <c r="C41" s="22">
        <f t="shared" si="29"/>
        <v>-8520.02</v>
      </c>
      <c r="D41" s="22">
        <f t="shared" si="29"/>
        <v>-5644.59</v>
      </c>
      <c r="E41" s="22">
        <f t="shared" si="29"/>
        <v>4764.91</v>
      </c>
      <c r="F41" s="22">
        <f t="shared" si="29"/>
        <v>13781.600000000006</v>
      </c>
      <c r="G41" s="22">
        <f t="shared" si="29"/>
        <v>-22427.99</v>
      </c>
      <c r="H41" s="22">
        <f t="shared" si="29"/>
        <v>31664.09</v>
      </c>
      <c r="I41" s="22">
        <f t="shared" si="29"/>
        <v>-16525.910000000003</v>
      </c>
      <c r="J41" s="22">
        <f t="shared" si="29"/>
        <v>-1530.2100000000028</v>
      </c>
      <c r="K41" s="22">
        <f t="shared" si="29"/>
        <v>41976.619999999995</v>
      </c>
      <c r="L41" s="22">
        <f t="shared" si="15"/>
        <v>54243.009999999995</v>
      </c>
      <c r="Q41" s="22">
        <f>(Q15)-(Q40)</f>
        <v>8113.2999999999993</v>
      </c>
      <c r="R41" s="22">
        <f t="shared" ref="R41:AE41" si="30">(R15)-(R40)</f>
        <v>8113.2999999999993</v>
      </c>
      <c r="S41" s="22"/>
      <c r="T41" s="22">
        <f t="shared" si="30"/>
        <v>5084.8099999999977</v>
      </c>
      <c r="U41" s="22">
        <f t="shared" si="30"/>
        <v>6034.8099999999977</v>
      </c>
      <c r="V41" s="22">
        <f t="shared" si="30"/>
        <v>5439.0099999999948</v>
      </c>
      <c r="W41" s="22">
        <f t="shared" si="30"/>
        <v>4934.8099999999977</v>
      </c>
      <c r="X41" s="22">
        <f t="shared" si="30"/>
        <v>4251.1199999999953</v>
      </c>
      <c r="Y41" s="22">
        <f t="shared" si="30"/>
        <v>6008.8099999999977</v>
      </c>
      <c r="Z41" s="22">
        <f t="shared" si="30"/>
        <v>5334.8099999999977</v>
      </c>
      <c r="AA41" s="22">
        <f t="shared" si="30"/>
        <v>5499.3099999999977</v>
      </c>
      <c r="AB41" s="22">
        <f t="shared" si="30"/>
        <v>5684.8099999999977</v>
      </c>
      <c r="AC41" s="22">
        <f t="shared" si="30"/>
        <v>4984.8099999999977</v>
      </c>
      <c r="AD41" s="22">
        <f t="shared" si="30"/>
        <v>6034.8099999999977</v>
      </c>
      <c r="AE41" s="22">
        <f t="shared" si="30"/>
        <v>6034.8099999999977</v>
      </c>
      <c r="AF41" s="22">
        <f t="shared" si="6"/>
        <v>65326.729999999967</v>
      </c>
    </row>
    <row r="42" spans="1:32" x14ac:dyDescent="0.55000000000000004">
      <c r="A42" s="19" t="s">
        <v>109</v>
      </c>
      <c r="B42" s="20"/>
      <c r="C42" s="20"/>
      <c r="D42" s="20"/>
      <c r="E42" s="20"/>
      <c r="F42" s="20"/>
      <c r="G42" s="20"/>
      <c r="H42" s="20"/>
      <c r="I42" s="20"/>
      <c r="J42" s="20"/>
      <c r="K42" s="20"/>
      <c r="L42" s="20"/>
      <c r="Q42" s="20"/>
      <c r="R42" s="20"/>
      <c r="S42" s="20"/>
      <c r="T42" s="20"/>
      <c r="U42" s="20"/>
      <c r="V42" s="20"/>
      <c r="W42" s="20"/>
      <c r="X42" s="20"/>
      <c r="Y42" s="20"/>
      <c r="Z42" s="20"/>
      <c r="AA42" s="20"/>
      <c r="AB42" s="20"/>
      <c r="AC42" s="20"/>
      <c r="AD42" s="20"/>
      <c r="AE42" s="20"/>
      <c r="AF42" s="20">
        <f t="shared" si="6"/>
        <v>0</v>
      </c>
    </row>
    <row r="43" spans="1:32" x14ac:dyDescent="0.55000000000000004">
      <c r="A43" s="19" t="s">
        <v>110</v>
      </c>
      <c r="B43" s="21">
        <f>0.08</f>
        <v>0.08</v>
      </c>
      <c r="C43" s="21">
        <f>0.08</f>
        <v>0.08</v>
      </c>
      <c r="D43" s="21">
        <f>0.09</f>
        <v>0.09</v>
      </c>
      <c r="E43" s="21">
        <f>0.08</f>
        <v>0.08</v>
      </c>
      <c r="F43" s="21">
        <f>0.08</f>
        <v>0.08</v>
      </c>
      <c r="G43" s="21">
        <f>0.09</f>
        <v>0.09</v>
      </c>
      <c r="H43" s="21">
        <f>0.08</f>
        <v>0.08</v>
      </c>
      <c r="I43" s="21">
        <f>0.09</f>
        <v>0.09</v>
      </c>
      <c r="J43" s="21">
        <f>0.08</f>
        <v>0.08</v>
      </c>
      <c r="K43" s="21">
        <f>0.08</f>
        <v>0.08</v>
      </c>
      <c r="L43" s="21">
        <f>(((((((((B43)+(C43))+(D43))+(E43))+(F43))+(G43))+(H43))+(I43))+(J43))+(K43)</f>
        <v>0.82999999999999985</v>
      </c>
      <c r="Q43" s="21">
        <v>0</v>
      </c>
      <c r="R43" s="21">
        <v>1</v>
      </c>
      <c r="S43" s="21"/>
      <c r="T43" s="21">
        <v>2</v>
      </c>
      <c r="U43" s="21">
        <v>3</v>
      </c>
      <c r="V43" s="21">
        <v>4</v>
      </c>
      <c r="W43" s="21">
        <v>5</v>
      </c>
      <c r="X43" s="21">
        <v>6</v>
      </c>
      <c r="Y43" s="21">
        <v>7</v>
      </c>
      <c r="Z43" s="21">
        <v>8</v>
      </c>
      <c r="AA43" s="21">
        <v>9</v>
      </c>
      <c r="AB43" s="21">
        <v>10</v>
      </c>
      <c r="AC43" s="21">
        <v>11</v>
      </c>
      <c r="AD43" s="21">
        <v>12</v>
      </c>
      <c r="AE43" s="21">
        <v>13</v>
      </c>
      <c r="AF43" s="21">
        <f t="shared" si="6"/>
        <v>90</v>
      </c>
    </row>
    <row r="44" spans="1:32" hidden="1" x14ac:dyDescent="0.55000000000000004">
      <c r="A44" s="19" t="s">
        <v>111</v>
      </c>
      <c r="B44" s="20"/>
      <c r="C44" s="20"/>
      <c r="D44" s="20"/>
      <c r="E44" s="20"/>
      <c r="F44" s="21">
        <f>32250</f>
        <v>32250</v>
      </c>
      <c r="G44" s="20"/>
      <c r="H44" s="20"/>
      <c r="I44" s="20"/>
      <c r="J44" s="20"/>
      <c r="K44" s="20"/>
      <c r="L44" s="21">
        <f>(((((((((B44)+(C44))+(D44))+(E44))+(F44))+(G44))+(H44))+(I44))+(J44))+(K44)</f>
        <v>32250</v>
      </c>
      <c r="N44" s="15" t="s">
        <v>99</v>
      </c>
      <c r="O44" s="15" t="s">
        <v>112</v>
      </c>
      <c r="Q44" s="20"/>
      <c r="R44" s="20"/>
      <c r="S44" s="20"/>
      <c r="T44" s="20"/>
      <c r="U44" s="20"/>
      <c r="V44" s="20"/>
      <c r="W44" s="20"/>
      <c r="X44" s="20"/>
      <c r="Y44" s="20"/>
      <c r="Z44" s="20"/>
      <c r="AA44" s="20"/>
      <c r="AB44" s="20"/>
      <c r="AC44" s="20"/>
      <c r="AD44" s="20"/>
      <c r="AE44" s="20"/>
      <c r="AF44" s="20">
        <f t="shared" si="6"/>
        <v>0</v>
      </c>
    </row>
    <row r="45" spans="1:32" x14ac:dyDescent="0.55000000000000004">
      <c r="A45" s="19" t="s">
        <v>113</v>
      </c>
      <c r="B45" s="22">
        <f t="shared" ref="B45:K45" si="31">(B43)+(B44)</f>
        <v>0.08</v>
      </c>
      <c r="C45" s="22">
        <f t="shared" si="31"/>
        <v>0.08</v>
      </c>
      <c r="D45" s="22">
        <f t="shared" si="31"/>
        <v>0.09</v>
      </c>
      <c r="E45" s="22">
        <f t="shared" si="31"/>
        <v>0.08</v>
      </c>
      <c r="F45" s="22">
        <f t="shared" si="31"/>
        <v>32250.080000000002</v>
      </c>
      <c r="G45" s="22">
        <f t="shared" si="31"/>
        <v>0.09</v>
      </c>
      <c r="H45" s="22">
        <f t="shared" si="31"/>
        <v>0.08</v>
      </c>
      <c r="I45" s="22">
        <f t="shared" si="31"/>
        <v>0.09</v>
      </c>
      <c r="J45" s="22">
        <f t="shared" si="31"/>
        <v>0.08</v>
      </c>
      <c r="K45" s="22">
        <f t="shared" si="31"/>
        <v>0.08</v>
      </c>
      <c r="L45" s="22">
        <f>(((((((((B45)+(C45))+(D45))+(E45))+(F45))+(G45))+(H45))+(I45))+(J45))+(K45)</f>
        <v>32250.830000000009</v>
      </c>
      <c r="Q45" s="22">
        <f t="shared" ref="Q45:R45" si="32">(Q43)+(Q44)</f>
        <v>0</v>
      </c>
      <c r="R45" s="22">
        <f t="shared" si="32"/>
        <v>1</v>
      </c>
      <c r="S45" s="22"/>
      <c r="T45" s="22">
        <f t="shared" ref="T45:AE45" si="33">(T43)+(T44)</f>
        <v>2</v>
      </c>
      <c r="U45" s="22">
        <f t="shared" si="33"/>
        <v>3</v>
      </c>
      <c r="V45" s="22">
        <f t="shared" si="33"/>
        <v>4</v>
      </c>
      <c r="W45" s="22">
        <f t="shared" si="33"/>
        <v>5</v>
      </c>
      <c r="X45" s="22">
        <f t="shared" si="33"/>
        <v>6</v>
      </c>
      <c r="Y45" s="22">
        <f t="shared" si="33"/>
        <v>7</v>
      </c>
      <c r="Z45" s="22">
        <f t="shared" si="33"/>
        <v>8</v>
      </c>
      <c r="AA45" s="22">
        <f t="shared" si="33"/>
        <v>9</v>
      </c>
      <c r="AB45" s="22">
        <f t="shared" si="33"/>
        <v>10</v>
      </c>
      <c r="AC45" s="22">
        <f t="shared" si="33"/>
        <v>11</v>
      </c>
      <c r="AD45" s="22">
        <f t="shared" si="33"/>
        <v>12</v>
      </c>
      <c r="AE45" s="22">
        <f t="shared" si="33"/>
        <v>13</v>
      </c>
      <c r="AF45" s="22">
        <f t="shared" si="6"/>
        <v>90</v>
      </c>
    </row>
    <row r="46" spans="1:32" x14ac:dyDescent="0.55000000000000004">
      <c r="A46" s="19" t="s">
        <v>114</v>
      </c>
      <c r="B46" s="20"/>
      <c r="C46" s="20"/>
      <c r="D46" s="20"/>
      <c r="E46" s="20"/>
      <c r="F46" s="20"/>
      <c r="G46" s="20"/>
      <c r="H46" s="20"/>
      <c r="I46" s="20"/>
      <c r="J46" s="20"/>
      <c r="K46" s="20"/>
      <c r="L46" s="20"/>
      <c r="Q46" s="20"/>
      <c r="R46" s="20"/>
      <c r="S46" s="20"/>
      <c r="T46" s="20"/>
      <c r="U46" s="20"/>
      <c r="V46" s="20"/>
      <c r="W46" s="20"/>
      <c r="X46" s="20"/>
      <c r="Y46" s="20"/>
      <c r="Z46" s="20"/>
      <c r="AA46" s="20"/>
      <c r="AB46" s="20"/>
      <c r="AC46" s="20"/>
      <c r="AD46" s="20"/>
      <c r="AE46" s="20"/>
      <c r="AF46" s="20">
        <f t="shared" si="6"/>
        <v>0</v>
      </c>
    </row>
    <row r="47" spans="1:32" x14ac:dyDescent="0.55000000000000004">
      <c r="A47" s="19" t="s">
        <v>115</v>
      </c>
      <c r="B47" s="21">
        <f>0</f>
        <v>0</v>
      </c>
      <c r="C47" s="20"/>
      <c r="D47" s="20"/>
      <c r="E47" s="20"/>
      <c r="F47" s="20"/>
      <c r="G47" s="20"/>
      <c r="H47" s="20"/>
      <c r="I47" s="20"/>
      <c r="J47" s="20"/>
      <c r="K47" s="20"/>
      <c r="L47" s="21">
        <f>(((((((((B47)+(C47))+(D47))+(E47))+(F47))+(G47))+(H47))+(I47))+(J47))+(K47)</f>
        <v>0</v>
      </c>
      <c r="Q47" s="20"/>
      <c r="R47" s="20"/>
      <c r="S47" s="20"/>
      <c r="T47" s="20"/>
      <c r="U47" s="20"/>
      <c r="V47" s="20"/>
      <c r="W47" s="20"/>
      <c r="X47" s="20"/>
      <c r="Y47" s="20"/>
      <c r="Z47" s="20"/>
      <c r="AA47" s="20"/>
      <c r="AB47" s="20"/>
      <c r="AC47" s="20"/>
      <c r="AD47" s="20"/>
      <c r="AE47" s="20"/>
      <c r="AF47" s="20">
        <f t="shared" si="6"/>
        <v>0</v>
      </c>
    </row>
    <row r="48" spans="1:32" x14ac:dyDescent="0.55000000000000004">
      <c r="A48" s="19" t="s">
        <v>116</v>
      </c>
      <c r="B48" s="22">
        <f t="shared" ref="B48:K48" si="34">B47</f>
        <v>0</v>
      </c>
      <c r="C48" s="22">
        <f t="shared" si="34"/>
        <v>0</v>
      </c>
      <c r="D48" s="22">
        <f t="shared" si="34"/>
        <v>0</v>
      </c>
      <c r="E48" s="22">
        <f t="shared" si="34"/>
        <v>0</v>
      </c>
      <c r="F48" s="22">
        <f t="shared" si="34"/>
        <v>0</v>
      </c>
      <c r="G48" s="22">
        <f t="shared" si="34"/>
        <v>0</v>
      </c>
      <c r="H48" s="22">
        <f t="shared" si="34"/>
        <v>0</v>
      </c>
      <c r="I48" s="22">
        <f t="shared" si="34"/>
        <v>0</v>
      </c>
      <c r="J48" s="22">
        <f t="shared" si="34"/>
        <v>0</v>
      </c>
      <c r="K48" s="22">
        <f t="shared" si="34"/>
        <v>0</v>
      </c>
      <c r="L48" s="22">
        <f>(((((((((B48)+(C48))+(D48))+(E48))+(F48))+(G48))+(H48))+(I48))+(J48))+(K48)</f>
        <v>0</v>
      </c>
      <c r="Q48" s="22">
        <f t="shared" ref="Q48:R48" si="35">Q47</f>
        <v>0</v>
      </c>
      <c r="R48" s="22">
        <f t="shared" si="35"/>
        <v>0</v>
      </c>
      <c r="S48" s="22"/>
      <c r="T48" s="22">
        <f t="shared" ref="T48:AE48" si="36">T47</f>
        <v>0</v>
      </c>
      <c r="U48" s="22">
        <f t="shared" si="36"/>
        <v>0</v>
      </c>
      <c r="V48" s="22">
        <f t="shared" si="36"/>
        <v>0</v>
      </c>
      <c r="W48" s="22">
        <f t="shared" si="36"/>
        <v>0</v>
      </c>
      <c r="X48" s="22">
        <f t="shared" si="36"/>
        <v>0</v>
      </c>
      <c r="Y48" s="22">
        <f t="shared" si="36"/>
        <v>0</v>
      </c>
      <c r="Z48" s="22">
        <f t="shared" si="36"/>
        <v>0</v>
      </c>
      <c r="AA48" s="22">
        <f t="shared" si="36"/>
        <v>0</v>
      </c>
      <c r="AB48" s="22">
        <f t="shared" si="36"/>
        <v>0</v>
      </c>
      <c r="AC48" s="22">
        <f t="shared" si="36"/>
        <v>0</v>
      </c>
      <c r="AD48" s="22">
        <f t="shared" si="36"/>
        <v>0</v>
      </c>
      <c r="AE48" s="22">
        <f t="shared" si="36"/>
        <v>0</v>
      </c>
      <c r="AF48" s="22">
        <f t="shared" si="6"/>
        <v>0</v>
      </c>
    </row>
    <row r="49" spans="1:32" x14ac:dyDescent="0.55000000000000004">
      <c r="A49" s="19" t="s">
        <v>117</v>
      </c>
      <c r="B49" s="22">
        <f t="shared" ref="B49:K49" si="37">(B45)-(B48)</f>
        <v>0.08</v>
      </c>
      <c r="C49" s="22">
        <f t="shared" si="37"/>
        <v>0.08</v>
      </c>
      <c r="D49" s="22">
        <f t="shared" si="37"/>
        <v>0.09</v>
      </c>
      <c r="E49" s="22">
        <f t="shared" si="37"/>
        <v>0.08</v>
      </c>
      <c r="F49" s="22">
        <f t="shared" si="37"/>
        <v>32250.080000000002</v>
      </c>
      <c r="G49" s="22">
        <f t="shared" si="37"/>
        <v>0.09</v>
      </c>
      <c r="H49" s="22">
        <f t="shared" si="37"/>
        <v>0.08</v>
      </c>
      <c r="I49" s="22">
        <f t="shared" si="37"/>
        <v>0.09</v>
      </c>
      <c r="J49" s="22">
        <f t="shared" si="37"/>
        <v>0.08</v>
      </c>
      <c r="K49" s="22">
        <f t="shared" si="37"/>
        <v>0.08</v>
      </c>
      <c r="L49" s="22">
        <f>(((((((((B49)+(C49))+(D49))+(E49))+(F49))+(G49))+(H49))+(I49))+(J49))+(K49)</f>
        <v>32250.830000000009</v>
      </c>
      <c r="Q49" s="22">
        <f t="shared" ref="Q49:R49" si="38">(Q45)-(Q48)</f>
        <v>0</v>
      </c>
      <c r="R49" s="22">
        <f t="shared" si="38"/>
        <v>1</v>
      </c>
      <c r="S49" s="22"/>
      <c r="T49" s="22">
        <f t="shared" ref="T49:AE49" si="39">(T45)-(T48)</f>
        <v>2</v>
      </c>
      <c r="U49" s="22">
        <f t="shared" si="39"/>
        <v>3</v>
      </c>
      <c r="V49" s="22">
        <f t="shared" si="39"/>
        <v>4</v>
      </c>
      <c r="W49" s="22">
        <f t="shared" si="39"/>
        <v>5</v>
      </c>
      <c r="X49" s="22">
        <f t="shared" si="39"/>
        <v>6</v>
      </c>
      <c r="Y49" s="22">
        <f t="shared" si="39"/>
        <v>7</v>
      </c>
      <c r="Z49" s="22">
        <f t="shared" si="39"/>
        <v>8</v>
      </c>
      <c r="AA49" s="22">
        <f t="shared" si="39"/>
        <v>9</v>
      </c>
      <c r="AB49" s="22">
        <f t="shared" si="39"/>
        <v>10</v>
      </c>
      <c r="AC49" s="22">
        <f t="shared" si="39"/>
        <v>11</v>
      </c>
      <c r="AD49" s="22">
        <f t="shared" si="39"/>
        <v>12</v>
      </c>
      <c r="AE49" s="22">
        <f t="shared" si="39"/>
        <v>13</v>
      </c>
      <c r="AF49" s="22">
        <f t="shared" si="6"/>
        <v>90</v>
      </c>
    </row>
    <row r="50" spans="1:32" x14ac:dyDescent="0.55000000000000004">
      <c r="A50" s="19" t="s">
        <v>118</v>
      </c>
      <c r="B50" s="22">
        <f t="shared" ref="B50:K50" si="40">(B41)+(B49)</f>
        <v>16704.590000000004</v>
      </c>
      <c r="C50" s="22">
        <f t="shared" si="40"/>
        <v>-8519.94</v>
      </c>
      <c r="D50" s="22">
        <f t="shared" si="40"/>
        <v>-5644.5</v>
      </c>
      <c r="E50" s="22">
        <f t="shared" si="40"/>
        <v>4764.99</v>
      </c>
      <c r="F50" s="22">
        <f t="shared" si="40"/>
        <v>46031.680000000008</v>
      </c>
      <c r="G50" s="22">
        <f t="shared" si="40"/>
        <v>-22427.9</v>
      </c>
      <c r="H50" s="22">
        <f t="shared" si="40"/>
        <v>31664.170000000002</v>
      </c>
      <c r="I50" s="22">
        <f t="shared" si="40"/>
        <v>-16525.820000000003</v>
      </c>
      <c r="J50" s="22">
        <f t="shared" si="40"/>
        <v>-1530.1300000000028</v>
      </c>
      <c r="K50" s="22">
        <f t="shared" si="40"/>
        <v>41976.7</v>
      </c>
      <c r="L50" s="22">
        <f>(((((((((B50)+(C50))+(D50))+(E50))+(F50))+(G50))+(H50))+(I50))+(J50))+(K50)</f>
        <v>86493.84</v>
      </c>
      <c r="Q50" s="22">
        <f t="shared" ref="Q50:R50" si="41">(Q41)+(Q49)</f>
        <v>8113.2999999999993</v>
      </c>
      <c r="R50" s="22">
        <f t="shared" si="41"/>
        <v>8114.2999999999993</v>
      </c>
      <c r="S50" s="22"/>
      <c r="T50" s="22">
        <f t="shared" ref="T50:AE50" si="42">(T41)+(T49)</f>
        <v>5086.8099999999977</v>
      </c>
      <c r="U50" s="22">
        <f t="shared" si="42"/>
        <v>6037.8099999999977</v>
      </c>
      <c r="V50" s="22">
        <f t="shared" si="42"/>
        <v>5443.0099999999948</v>
      </c>
      <c r="W50" s="22">
        <f t="shared" si="42"/>
        <v>4939.8099999999977</v>
      </c>
      <c r="X50" s="22">
        <f t="shared" si="42"/>
        <v>4257.1199999999953</v>
      </c>
      <c r="Y50" s="22">
        <f t="shared" si="42"/>
        <v>6015.8099999999977</v>
      </c>
      <c r="Z50" s="22">
        <f t="shared" si="42"/>
        <v>5342.8099999999977</v>
      </c>
      <c r="AA50" s="22">
        <f t="shared" si="42"/>
        <v>5508.3099999999977</v>
      </c>
      <c r="AB50" s="22">
        <f t="shared" si="42"/>
        <v>5694.8099999999977</v>
      </c>
      <c r="AC50" s="22">
        <f t="shared" si="42"/>
        <v>4995.8099999999977</v>
      </c>
      <c r="AD50" s="22">
        <f t="shared" si="42"/>
        <v>6046.8099999999977</v>
      </c>
      <c r="AE50" s="22">
        <f t="shared" si="42"/>
        <v>6047.8099999999977</v>
      </c>
      <c r="AF50" s="22">
        <f t="shared" si="6"/>
        <v>65416.729999999967</v>
      </c>
    </row>
    <row r="51" spans="1:32" x14ac:dyDescent="0.55000000000000004">
      <c r="A51" s="19"/>
      <c r="B51" s="20"/>
      <c r="C51" s="20"/>
      <c r="D51" s="20"/>
      <c r="E51" s="20"/>
      <c r="F51" s="20"/>
      <c r="G51" s="20"/>
      <c r="H51" s="20"/>
      <c r="I51" s="20"/>
      <c r="J51" s="20"/>
      <c r="K51" s="20"/>
      <c r="L51" s="20"/>
    </row>
    <row r="54" spans="1:32" x14ac:dyDescent="0.55000000000000004">
      <c r="A54" s="34"/>
      <c r="B54" s="32"/>
      <c r="C54" s="32"/>
      <c r="D54" s="32"/>
      <c r="E54" s="32"/>
      <c r="F54" s="32"/>
      <c r="G54" s="32"/>
      <c r="H54" s="32"/>
      <c r="I54" s="32"/>
      <c r="J54" s="32"/>
      <c r="K54" s="32"/>
      <c r="L54" s="32"/>
    </row>
  </sheetData>
  <mergeCells count="4">
    <mergeCell ref="A1:L1"/>
    <mergeCell ref="A2:L2"/>
    <mergeCell ref="A3:L3"/>
    <mergeCell ref="A54:L54"/>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Goals </vt:lpstr>
      <vt:lpstr>Profit Needs</vt:lpstr>
      <vt:lpstr>Example Profit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Smolinski</dc:creator>
  <cp:lastModifiedBy>Hannah Smolinski</cp:lastModifiedBy>
  <dcterms:created xsi:type="dcterms:W3CDTF">2021-11-27T23:21:25Z</dcterms:created>
  <dcterms:modified xsi:type="dcterms:W3CDTF">2022-01-25T20:58:13Z</dcterms:modified>
</cp:coreProperties>
</file>