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9yor\OneDrive\Desktop\UCB - Classwork\Crowdfunding Analysis - Kickstarter\"/>
    </mc:Choice>
  </mc:AlternateContent>
  <xr:revisionPtr revIDLastSave="0" documentId="13_ncr:1_{CADDEE08-CEA9-4BB5-800E-37FB12D7C51F}" xr6:coauthVersionLast="45" xr6:coauthVersionMax="45" xr10:uidLastSave="{00000000-0000-0000-0000-000000000000}"/>
  <bookViews>
    <workbookView xWindow="8895" yWindow="4260" windowWidth="10665" windowHeight="6225" firstSheet="1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  <sheet name="Makerspaces_S" sheetId="10" state="hidden" r:id="rId9"/>
    <sheet name="Makerspaces_F" sheetId="13" state="hidden" r:id="rId10"/>
    <sheet name="Musicals_S" sheetId="11" state="hidden" r:id="rId11"/>
    <sheet name="Musicals_F" sheetId="14" state="hidden" r:id="rId12"/>
  </sheets>
  <definedNames>
    <definedName name="_xlnm._FilterDatabase" localSheetId="0" hidden="1">Kickstarter!$A$1:$U$4115</definedName>
  </definedNames>
  <calcPr calcId="191029"/>
  <pivotCaches>
    <pivotCache cacheId="0" r:id="rId13"/>
    <pivotCache cacheId="1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F3" i="17"/>
  <c r="F4" i="17"/>
  <c r="F5" i="17"/>
  <c r="F6" i="17"/>
  <c r="F7" i="17"/>
  <c r="F8" i="17"/>
  <c r="F9" i="17"/>
  <c r="F10" i="17"/>
  <c r="F11" i="17"/>
  <c r="F12" i="17"/>
  <c r="F13" i="17"/>
  <c r="F2" i="17" l="1"/>
  <c r="B3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2" i="17"/>
  <c r="E10" i="17" l="1"/>
  <c r="H10" i="17" s="1"/>
  <c r="E9" i="17"/>
  <c r="E8" i="17"/>
  <c r="H8" i="17" s="1"/>
  <c r="E7" i="17"/>
  <c r="E2" i="17"/>
  <c r="H2" i="17" s="1"/>
  <c r="E3" i="17"/>
  <c r="E4" i="17"/>
  <c r="H4" i="17" s="1"/>
  <c r="E5" i="17"/>
  <c r="H5" i="17" s="1"/>
  <c r="E6" i="17"/>
  <c r="E13" i="17"/>
  <c r="E12" i="17"/>
  <c r="H12" i="17" s="1"/>
  <c r="E11" i="17"/>
  <c r="H11" i="17" s="1"/>
  <c r="C13" i="9"/>
  <c r="C12" i="9"/>
  <c r="C11" i="9"/>
  <c r="B13" i="9"/>
  <c r="B12" i="9"/>
  <c r="B11" i="9"/>
  <c r="C6" i="9"/>
  <c r="C5" i="9"/>
  <c r="C4" i="9"/>
  <c r="B6" i="9"/>
  <c r="B5" i="9"/>
  <c r="B4" i="9"/>
  <c r="K6" i="9"/>
  <c r="J6" i="9"/>
  <c r="K5" i="9"/>
  <c r="J5" i="9"/>
  <c r="K3" i="9"/>
  <c r="J3" i="9"/>
  <c r="K2" i="9"/>
  <c r="J2" i="9"/>
  <c r="G6" i="9"/>
  <c r="G5" i="9"/>
  <c r="F6" i="9"/>
  <c r="F5" i="9"/>
  <c r="G3" i="9"/>
  <c r="G2" i="9"/>
  <c r="F3" i="9"/>
  <c r="F2" i="9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O12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G5" i="17"/>
  <c r="G11" i="17"/>
  <c r="G3" i="17"/>
  <c r="H13" i="17"/>
  <c r="G7" i="17"/>
  <c r="G4" i="17"/>
  <c r="G8" i="17"/>
  <c r="G12" i="17"/>
  <c r="H3" i="17"/>
  <c r="H9" i="17"/>
  <c r="H7" i="17"/>
  <c r="G9" i="17"/>
  <c r="G13" i="17"/>
  <c r="G2" i="17"/>
  <c r="G10" i="17"/>
  <c r="H6" i="17"/>
  <c r="G6" i="17"/>
  <c r="C14" i="9"/>
  <c r="B14" i="9"/>
  <c r="C7" i="9"/>
</calcChain>
</file>

<file path=xl/sharedStrings.xml><?xml version="1.0" encoding="utf-8"?>
<sst xmlns="http://schemas.openxmlformats.org/spreadsheetml/2006/main" count="33943" uniqueCount="8421">
  <si>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</si>
  <si>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</si>
  <si>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</si>
  <si>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</si>
  <si>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</si>
  <si>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</si>
  <si>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</si>
  <si>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</si>
  <si>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</si>
  <si>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</si>
  <si>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</si>
  <si>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</si>
  <si>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</si>
  <si>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</si>
  <si>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</si>
  <si>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</si>
  <si>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</si>
  <si>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</si>
  <si>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</si>
  <si>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</si>
  <si>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</si>
  <si>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</si>
  <si>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</si>
  <si>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</si>
  <si>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</si>
  <si>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</si>
  <si>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</si>
  <si>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</si>
  <si>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</si>
  <si>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</si>
  <si>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</si>
  <si>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</si>
  <si>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</si>
  <si>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</si>
  <si>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</si>
  <si>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</si>
  <si>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</si>
  <si>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</si>
  <si>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</si>
  <si>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</si>
  <si>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</si>
  <si>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</si>
  <si>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</si>
  <si>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</si>
  <si>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</si>
  <si>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</si>
  <si>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</si>
  <si>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</si>
  <si>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</si>
  <si>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</si>
  <si>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</si>
  <si>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</si>
  <si>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</si>
  <si>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</si>
  <si>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</si>
  <si>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</si>
  <si>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</si>
  <si>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</si>
  <si>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</si>
  <si>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</si>
  <si>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</si>
  <si>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</si>
  <si>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</si>
  <si>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</si>
  <si>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</si>
  <si>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</si>
  <si>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</si>
  <si>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</si>
  <si>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</si>
  <si>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</si>
  <si>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</si>
  <si>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</si>
  <si>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</si>
  <si>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</si>
  <si>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</si>
  <si>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</si>
  <si>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</si>
  <si>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</si>
  <si>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</si>
  <si>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</si>
  <si>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</si>
  <si>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</si>
  <si>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</si>
  <si>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</si>
  <si>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</si>
  <si>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</si>
  <si>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</si>
  <si>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</si>
  <si>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</si>
  <si>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</si>
  <si>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</si>
  <si>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</si>
  <si>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</si>
  <si>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</si>
  <si>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</si>
  <si>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</si>
  <si>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</si>
  <si>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</si>
  <si>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</si>
  <si>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</si>
  <si>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</si>
  <si>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</si>
  <si>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</si>
  <si>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</si>
  <si>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</si>
  <si>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</si>
  <si>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</si>
  <si>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</si>
  <si>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</si>
  <si>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</si>
  <si>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</si>
  <si>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</si>
  <si>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</si>
  <si>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</si>
  <si>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</si>
  <si>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</si>
  <si>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</si>
  <si>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</si>
  <si>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</si>
  <si>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</si>
  <si>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</si>
  <si>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</si>
  <si>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</si>
  <si>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</si>
  <si>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</si>
  <si>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</si>
  <si>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</si>
  <si>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</si>
  <si>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</si>
  <si>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</si>
  <si>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</si>
  <si>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</si>
  <si>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</si>
  <si>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</si>
  <si>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</si>
  <si>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</si>
  <si>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</si>
  <si>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</si>
  <si>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</si>
  <si>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</si>
  <si>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</si>
  <si>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</si>
  <si>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</si>
  <si>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</si>
  <si>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</si>
  <si>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</si>
  <si>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</si>
  <si>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</si>
  <si>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</si>
  <si>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</si>
  <si>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</si>
  <si>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</si>
  <si>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</si>
  <si>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</si>
  <si>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</si>
  <si>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</si>
  <si>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</si>
  <si>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</si>
  <si>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</si>
  <si>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</si>
  <si>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</si>
  <si>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</si>
  <si>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</si>
  <si>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</si>
  <si>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</si>
  <si>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</si>
  <si>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</si>
  <si>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</si>
  <si>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</si>
  <si>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</si>
  <si>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</si>
  <si>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</si>
  <si>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</si>
  <si>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</si>
  <si>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</si>
  <si>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</si>
  <si>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</si>
  <si>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</si>
  <si>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</si>
  <si>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</si>
  <si>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</si>
  <si>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</si>
  <si>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</si>
  <si>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</si>
  <si>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</si>
  <si>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</si>
  <si>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</si>
  <si>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</si>
  <si>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</si>
  <si>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</si>
  <si>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</si>
  <si>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</si>
  <si>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</si>
  <si>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</si>
  <si>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</si>
  <si>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</si>
  <si>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</si>
  <si>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</si>
  <si>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</si>
  <si>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</si>
  <si>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</si>
  <si>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</si>
  <si>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</si>
  <si>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</si>
  <si>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</si>
  <si>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</si>
  <si>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</si>
  <si>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</si>
  <si>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</si>
  <si>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</si>
  <si>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</si>
  <si>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</si>
  <si>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</si>
  <si>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</si>
  <si>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</si>
  <si>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</si>
  <si>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</si>
  <si>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</si>
  <si>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</si>
  <si>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</si>
  <si>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</si>
  <si>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</si>
  <si>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</si>
  <si>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</si>
  <si>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</si>
  <si>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</si>
  <si>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</si>
  <si>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</si>
  <si>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</si>
  <si>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</si>
  <si>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</si>
  <si>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</si>
  <si>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</si>
  <si>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</si>
  <si>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</si>
  <si>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</si>
  <si>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</si>
  <si>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</si>
  <si>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</si>
  <si>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</si>
  <si>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</si>
  <si>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</si>
  <si>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</si>
  <si>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</si>
  <si>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</si>
  <si>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</si>
  <si>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</si>
  <si>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</si>
  <si>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</si>
  <si>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</si>
  <si>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</si>
  <si>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</si>
  <si>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</si>
  <si>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</si>
  <si>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</si>
  <si>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</si>
  <si>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</si>
  <si>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</si>
  <si>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</si>
  <si>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</si>
  <si>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</si>
  <si>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</si>
  <si>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</si>
  <si>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</si>
  <si>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</si>
  <si>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</si>
  <si>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</si>
  <si>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</si>
  <si>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</si>
  <si>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</si>
  <si>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</si>
  <si>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</si>
  <si>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</si>
  <si>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</si>
  <si>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</si>
  <si>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</si>
  <si>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</si>
  <si>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</si>
  <si>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</si>
  <si>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</si>
  <si>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</si>
  <si>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</si>
  <si>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</si>
  <si>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</si>
  <si>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</si>
  <si>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</si>
  <si>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</si>
  <si>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</si>
  <si>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</si>
  <si>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</si>
  <si>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</si>
  <si>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</si>
  <si>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</si>
  <si>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</si>
  <si>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</si>
  <si>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</si>
  <si>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</si>
  <si>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</si>
  <si>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</si>
  <si>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</si>
  <si>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</si>
  <si>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</si>
  <si>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</si>
  <si>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</si>
  <si>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</si>
  <si>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</si>
  <si>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</si>
  <si>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</si>
  <si>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</si>
  <si>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</si>
  <si>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</si>
  <si>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</si>
  <si>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</si>
  <si>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</si>
  <si>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</si>
  <si>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</si>
  <si>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</si>
  <si>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</si>
  <si>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</si>
  <si>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</si>
  <si>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</si>
  <si>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</si>
  <si>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</si>
  <si>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</si>
  <si>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</si>
  <si>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</si>
  <si>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</si>
  <si>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</si>
  <si>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</si>
  <si>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</si>
  <si>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</si>
  <si>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</si>
  <si>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</si>
  <si>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</si>
  <si>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</si>
  <si>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</si>
  <si>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</si>
  <si>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</si>
  <si>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</si>
  <si>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</si>
  <si>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</si>
  <si>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</si>
  <si>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</si>
  <si>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</si>
  <si>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</si>
  <si>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</si>
  <si>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</si>
  <si>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</si>
  <si>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</si>
  <si>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</si>
  <si>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</si>
  <si>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</si>
  <si>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</si>
  <si>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</si>
  <si>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</si>
  <si>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</si>
  <si>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</si>
  <si>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</si>
  <si>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</si>
  <si>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</si>
  <si>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</si>
  <si>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</si>
  <si>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</si>
  <si>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</si>
  <si>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</si>
  <si>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</si>
  <si>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</si>
  <si>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</si>
  <si>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</si>
  <si>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</si>
  <si>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</si>
  <si>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</si>
  <si>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</si>
  <si>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</si>
  <si>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</si>
  <si>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</si>
  <si>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</si>
  <si>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</si>
  <si>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</si>
  <si>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</si>
  <si>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</si>
  <si>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</si>
  <si>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</si>
  <si>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</si>
  <si>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</si>
  <si>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</si>
  <si>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</si>
  <si>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</si>
  <si>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</si>
  <si>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</si>
  <si>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</si>
  <si>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</si>
  <si>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</si>
  <si>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</si>
  <si>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</si>
  <si>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</si>
  <si>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</si>
  <si>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</si>
  <si>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</si>
  <si>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</si>
  <si>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</si>
  <si>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</si>
  <si>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</si>
  <si>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</si>
  <si>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</si>
  <si>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</si>
  <si>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</si>
  <si>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</si>
  <si>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</si>
  <si>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</si>
  <si>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</si>
  <si>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</si>
  <si>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</si>
  <si>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</si>
  <si>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</si>
  <si>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</si>
  <si>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</si>
  <si>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</si>
  <si>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</si>
  <si>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</si>
  <si>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</si>
  <si>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</si>
  <si>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</si>
  <si>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</si>
  <si>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</si>
  <si>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</si>
  <si>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</si>
  <si>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</si>
  <si>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</si>
  <si>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</si>
  <si>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</si>
  <si>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</si>
  <si>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</si>
  <si>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</si>
  <si>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</si>
  <si>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</si>
  <si>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</si>
  <si>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</si>
  <si>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</si>
  <si>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</si>
  <si>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</si>
  <si>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</si>
  <si>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</si>
  <si>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</si>
  <si>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</si>
  <si>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</si>
  <si>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</si>
  <si>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</si>
  <si>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</si>
  <si>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</si>
  <si>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</si>
  <si>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</si>
  <si>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</si>
  <si>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</si>
  <si>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</si>
  <si>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</si>
  <si>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</si>
  <si>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</si>
  <si>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</si>
  <si>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</si>
  <si>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</si>
  <si>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</si>
  <si>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</si>
  <si>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</si>
  <si>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</si>
  <si>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</si>
  <si>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</si>
  <si>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</si>
  <si>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</si>
  <si>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</si>
  <si>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</si>
  <si>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</si>
  <si>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</si>
  <si>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</si>
  <si>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</si>
  <si>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</si>
  <si>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</si>
  <si>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</si>
  <si>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</si>
  <si>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</si>
  <si>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</si>
  <si>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</si>
  <si>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</si>
  <si>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</si>
  <si>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</si>
  <si>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</si>
  <si>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</si>
  <si>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</si>
  <si>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</si>
  <si>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</si>
  <si>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</si>
  <si>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</si>
  <si>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</si>
  <si>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</si>
  <si>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</si>
  <si>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</si>
  <si>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</si>
  <si>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</si>
  <si>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</si>
  <si>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</si>
  <si>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</si>
  <si>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</si>
  <si>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</si>
  <si>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</si>
  <si>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</si>
  <si>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</si>
  <si>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</si>
  <si>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</si>
  <si>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</si>
  <si>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</si>
  <si>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</si>
  <si>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</si>
  <si>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</si>
  <si>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</si>
  <si>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</si>
  <si>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</si>
  <si>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</si>
  <si>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</si>
  <si>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</si>
  <si>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</si>
  <si>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</si>
  <si>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</si>
  <si>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</si>
  <si>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</si>
  <si>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</si>
  <si>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</si>
  <si>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</si>
  <si>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</si>
  <si>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</si>
  <si>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</si>
  <si>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</si>
  <si>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</si>
  <si>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</si>
  <si>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</si>
  <si>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</si>
  <si>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</si>
  <si>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</si>
  <si>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</si>
  <si>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</si>
  <si>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</si>
  <si>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</si>
  <si>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</si>
  <si>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</si>
  <si>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</si>
  <si>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</si>
  <si>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</si>
  <si>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</si>
  <si>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</si>
  <si>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</si>
  <si>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</si>
  <si>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</si>
  <si>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</si>
  <si>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</si>
  <si>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</si>
  <si>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</si>
  <si>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</si>
  <si>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</si>
  <si>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</si>
  <si>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</si>
  <si>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</si>
  <si>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</si>
  <si>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</si>
  <si>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</si>
  <si>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</si>
  <si>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</si>
  <si>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</si>
  <si>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</si>
  <si>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</si>
  <si>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</si>
  <si>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</si>
  <si>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</si>
  <si>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</si>
  <si>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</si>
  <si>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</si>
  <si>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</si>
  <si>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</si>
  <si>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</si>
  <si>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</si>
  <si>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</si>
  <si>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</si>
  <si>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</si>
  <si>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</si>
  <si>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</si>
  <si>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</si>
  <si>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</si>
  <si>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</si>
  <si>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</si>
  <si>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</si>
  <si>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</si>
  <si>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</si>
  <si>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</si>
  <si>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</si>
  <si>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</si>
  <si>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</si>
  <si>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</si>
  <si>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</si>
  <si>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</si>
  <si>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</si>
  <si>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</si>
  <si>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</si>
  <si>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</si>
  <si>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</si>
  <si>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</si>
  <si>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</si>
  <si>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</si>
  <si>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</si>
  <si>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</si>
  <si>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</si>
  <si>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</si>
  <si>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</si>
  <si>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</si>
  <si>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</si>
  <si>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</si>
  <si>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</si>
  <si>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</si>
  <si>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</si>
  <si>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</si>
  <si>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</si>
  <si>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</si>
  <si>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</si>
  <si>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</si>
  <si>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</si>
  <si>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</si>
  <si>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</si>
  <si>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</si>
  <si>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</si>
  <si>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</si>
  <si>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</si>
  <si>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</si>
  <si>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</si>
  <si>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</si>
  <si>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</si>
  <si>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</si>
  <si>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</si>
  <si>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</si>
  <si>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</si>
  <si>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</si>
  <si>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</si>
  <si>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</si>
  <si>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</si>
  <si>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</si>
  <si>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</si>
  <si>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</si>
  <si>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</si>
  <si>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</si>
  <si>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</si>
  <si>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</si>
  <si>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</si>
  <si>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</si>
  <si>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</si>
  <si>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</si>
  <si>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</si>
  <si>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</si>
  <si>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</si>
  <si>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</si>
  <si>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</si>
  <si>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</si>
  <si>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</si>
  <si>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</si>
  <si>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</si>
  <si>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</si>
  <si>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</si>
  <si>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</si>
  <si>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</si>
  <si>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</si>
  <si>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</si>
  <si>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</si>
  <si>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</si>
  <si>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</si>
  <si>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</si>
  <si>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</si>
  <si>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</si>
  <si>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</si>
  <si>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</si>
  <si>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</si>
  <si>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</si>
  <si>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</si>
  <si>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</si>
  <si>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</si>
  <si>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</si>
  <si>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</si>
  <si>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</si>
  <si>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</si>
  <si>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</si>
  <si>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</si>
  <si>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</si>
  <si>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</si>
  <si>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</si>
  <si>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</si>
  <si>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</si>
  <si>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</si>
  <si>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</si>
  <si>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</si>
  <si>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</si>
  <si>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</si>
  <si>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</si>
  <si>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</si>
  <si>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</si>
  <si>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</si>
  <si>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</si>
  <si>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</si>
  <si>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</si>
  <si>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</si>
  <si>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</si>
  <si>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</si>
  <si>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</si>
  <si>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</si>
  <si>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</si>
  <si>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</si>
  <si>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</si>
  <si>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</si>
  <si>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</si>
  <si>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</si>
  <si>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</si>
  <si>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</si>
  <si>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</si>
  <si>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</si>
  <si>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</si>
  <si>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</si>
  <si>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</si>
  <si>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</si>
  <si>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</si>
  <si>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</si>
  <si>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</si>
  <si>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</si>
  <si>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</si>
  <si>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</si>
  <si>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</si>
  <si>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</si>
  <si>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</si>
  <si>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</si>
  <si>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</si>
  <si>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</si>
  <si>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</si>
  <si>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</si>
  <si>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</si>
  <si>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</si>
  <si>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</si>
  <si>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</si>
  <si>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</si>
  <si>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</si>
  <si>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</si>
  <si>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</si>
  <si>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</si>
  <si>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</si>
  <si>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</si>
  <si>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</si>
  <si>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</si>
  <si>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</si>
  <si>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</si>
  <si>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</si>
  <si>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</si>
  <si>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</si>
  <si>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</si>
  <si>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</si>
  <si>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</si>
  <si>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</si>
  <si>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</si>
  <si>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</si>
  <si>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</si>
  <si>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</si>
  <si>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</si>
  <si>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</si>
  <si>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</si>
  <si>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</si>
  <si>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</si>
  <si>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</si>
  <si>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</si>
  <si>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</si>
  <si>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</si>
  <si>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</si>
  <si>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</si>
  <si>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</si>
  <si>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</si>
  <si>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</si>
  <si>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</si>
  <si>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</si>
  <si>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</si>
  <si>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</si>
  <si>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</si>
  <si>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</si>
  <si>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</si>
  <si>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</si>
  <si>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</si>
  <si>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</si>
  <si>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</si>
  <si>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</si>
  <si>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</si>
  <si>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</si>
  <si>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</si>
  <si>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</si>
  <si>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</si>
  <si>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</si>
  <si>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</si>
  <si>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</si>
  <si>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</si>
  <si>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</si>
  <si>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</si>
  <si>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</si>
  <si>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</si>
  <si>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</si>
  <si>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</si>
  <si>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</si>
  <si>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</si>
  <si>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</si>
  <si>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</si>
  <si>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</si>
  <si>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</si>
  <si>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</si>
  <si>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</si>
  <si>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</si>
  <si>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</si>
  <si>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</si>
  <si>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</si>
  <si>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</si>
  <si>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</si>
  <si>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</si>
  <si>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</si>
  <si>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</si>
  <si>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</si>
  <si>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</si>
  <si>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</si>
  <si>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</si>
  <si>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</si>
  <si>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</si>
  <si>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</si>
  <si>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</si>
  <si>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</si>
  <si>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</si>
  <si>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</si>
  <si>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</si>
  <si>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</si>
  <si>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</si>
  <si>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</si>
  <si>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</si>
  <si>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</si>
  <si>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</si>
  <si>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</si>
  <si>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</si>
  <si>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</si>
  <si>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</si>
  <si>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</si>
  <si>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</si>
  <si>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</si>
  <si>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</si>
  <si>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</si>
  <si>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</si>
  <si>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</si>
  <si>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</si>
  <si>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</si>
  <si>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</si>
  <si>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</si>
  <si>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</si>
  <si>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</si>
  <si>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</si>
  <si>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</si>
  <si>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</si>
  <si>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</si>
  <si>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</si>
  <si>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</si>
  <si>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</si>
  <si>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</si>
  <si>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</si>
  <si>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</si>
  <si>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</si>
  <si>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</si>
  <si>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</si>
  <si>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</si>
  <si>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</si>
  <si>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</si>
  <si>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</si>
  <si>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</si>
  <si>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</si>
  <si>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</si>
  <si>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</si>
  <si>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</si>
  <si>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</si>
  <si>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</si>
  <si>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</si>
  <si>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</si>
  <si>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</si>
  <si>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</si>
  <si>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</si>
  <si>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</si>
  <si>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</si>
  <si>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</si>
  <si>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</si>
  <si>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</si>
  <si>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</si>
  <si>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</si>
  <si>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</si>
  <si>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</si>
  <si>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</si>
  <si>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</si>
  <si>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</si>
  <si>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</si>
  <si>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</si>
  <si>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</si>
  <si>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</si>
  <si>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</si>
  <si>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</si>
  <si>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</si>
  <si>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</si>
  <si>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</si>
  <si>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</si>
  <si>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</si>
  <si>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</si>
  <si>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</si>
  <si>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</si>
  <si>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</si>
  <si>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</si>
  <si>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</si>
  <si>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</si>
  <si>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</si>
  <si>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</si>
  <si>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</si>
  <si>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</si>
  <si>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</si>
  <si>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</si>
  <si>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</si>
  <si>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</si>
  <si>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</si>
  <si>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</si>
  <si>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</si>
  <si>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</si>
  <si>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</si>
  <si>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</si>
  <si>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</si>
  <si>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</si>
  <si>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</si>
  <si>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</si>
  <si>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</si>
  <si>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</si>
  <si>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</si>
  <si>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</si>
  <si>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</si>
  <si>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</si>
  <si>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</si>
  <si>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</si>
  <si>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</si>
  <si>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</si>
  <si>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</si>
  <si>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</si>
  <si>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</si>
  <si>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</si>
  <si>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</si>
  <si>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</si>
  <si>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</si>
  <si>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</si>
  <si>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</si>
  <si>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</si>
  <si>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</si>
  <si>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</si>
  <si>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</si>
  <si>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</si>
  <si>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</si>
  <si>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</si>
  <si>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</si>
  <si>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</si>
  <si>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</si>
  <si>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</si>
  <si>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</si>
  <si>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</si>
  <si>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</si>
  <si>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</si>
  <si>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</si>
  <si>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</si>
  <si>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</si>
  <si>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</si>
  <si>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</si>
  <si>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</si>
  <si>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</si>
  <si>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</si>
  <si>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</si>
  <si>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</si>
  <si>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</si>
  <si>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</si>
  <si>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</si>
  <si>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</si>
  <si>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</si>
  <si>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</si>
  <si>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</si>
  <si>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</si>
  <si>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</si>
  <si>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</si>
  <si>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</si>
  <si>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</si>
  <si>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</si>
  <si>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</si>
  <si>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</si>
  <si>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</si>
  <si>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</si>
  <si>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</si>
  <si>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</si>
  <si>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</si>
  <si>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</si>
  <si>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</si>
  <si>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</si>
  <si>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</si>
  <si>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</si>
  <si>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</si>
  <si>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</si>
  <si>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</si>
  <si>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</si>
  <si>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</si>
  <si>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</si>
  <si>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</si>
  <si>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</si>
  <si>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</si>
  <si>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</si>
  <si>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</si>
  <si>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</si>
  <si>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</si>
  <si>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</si>
  <si>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</si>
  <si>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</si>
  <si>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</si>
  <si>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</si>
  <si>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</si>
  <si>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</si>
  <si>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</si>
  <si>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</si>
  <si>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</si>
  <si>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</si>
  <si>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</si>
  <si>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</si>
  <si>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</si>
  <si>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</si>
  <si>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</si>
  <si>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</si>
  <si>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</si>
  <si>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</si>
  <si>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</si>
  <si>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</si>
  <si>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</si>
  <si>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</si>
  <si>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</si>
  <si>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</si>
  <si>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</si>
  <si>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</si>
  <si>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</si>
  <si>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</si>
  <si>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</si>
  <si>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</si>
  <si>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</si>
  <si>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</si>
  <si>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</si>
  <si>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</si>
  <si>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</si>
  <si>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</si>
  <si>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</si>
  <si>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</si>
  <si>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</si>
  <si>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</si>
  <si>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</si>
  <si>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</si>
  <si>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</si>
  <si>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</si>
  <si>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</si>
  <si>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</si>
  <si>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</si>
  <si>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</si>
  <si>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</si>
  <si>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</si>
  <si>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</si>
  <si>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</si>
  <si>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</si>
  <si>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</si>
  <si>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</si>
  <si>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</si>
  <si>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</si>
  <si>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</si>
  <si>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</si>
  <si>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</si>
  <si>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</si>
  <si>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</si>
  <si>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</si>
  <si>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</si>
  <si>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</si>
  <si>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</si>
  <si>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</si>
  <si>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</si>
  <si>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</si>
  <si>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</si>
  <si>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</si>
  <si>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</si>
  <si>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</si>
  <si>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</si>
  <si>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</si>
  <si>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</si>
  <si>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</si>
  <si>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</si>
  <si>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</si>
  <si>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</si>
  <si>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</si>
  <si>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</si>
  <si>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</si>
  <si>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</si>
  <si>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</si>
  <si>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</si>
  <si>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</si>
  <si>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</si>
  <si>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</si>
  <si>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</si>
  <si>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</si>
  <si>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</si>
  <si>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</si>
  <si>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</si>
  <si>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</si>
  <si>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</si>
  <si>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</si>
  <si>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</si>
  <si>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</si>
  <si>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</si>
  <si>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</si>
  <si>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</si>
  <si>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</si>
  <si>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</si>
  <si>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</si>
  <si>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</si>
  <si>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</si>
  <si>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</si>
  <si>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</si>
  <si>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</si>
  <si>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</si>
  <si>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</si>
  <si>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</si>
  <si>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</si>
  <si>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</si>
  <si>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</si>
  <si>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</si>
  <si>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</si>
  <si>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</si>
  <si>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</si>
  <si>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</si>
  <si>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</si>
  <si>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</si>
  <si>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</si>
  <si>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</si>
  <si>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</si>
  <si>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</si>
  <si>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</si>
  <si>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</si>
  <si>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</si>
  <si>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</si>
  <si>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</si>
  <si>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</si>
  <si>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</si>
  <si>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</si>
  <si>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</si>
  <si>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</si>
  <si>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</si>
  <si>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</si>
  <si>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</si>
  <si>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</si>
  <si>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</si>
  <si>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</si>
  <si>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</si>
  <si>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</si>
  <si>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</si>
  <si>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</si>
  <si>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</si>
  <si>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</si>
  <si>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</si>
  <si>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</si>
  <si>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</si>
  <si>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</si>
  <si>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</si>
  <si>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</si>
  <si>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</si>
  <si>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</si>
  <si>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</si>
  <si>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</si>
  <si>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</si>
  <si>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</si>
  <si>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</si>
  <si>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</si>
  <si>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</si>
  <si>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</si>
  <si>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</si>
  <si>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</si>
  <si>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</si>
  <si>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</si>
  <si>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</si>
  <si>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</si>
  <si>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</si>
  <si>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</si>
  <si>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</si>
  <si>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</si>
  <si>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</si>
  <si>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</si>
  <si>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</si>
  <si>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</si>
  <si>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</si>
  <si>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</si>
  <si>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</si>
  <si>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</si>
  <si>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</si>
  <si>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</si>
  <si>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</si>
  <si>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</si>
  <si>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</si>
  <si>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</si>
  <si>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</si>
  <si>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</si>
  <si>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</si>
  <si>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</si>
  <si>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</si>
  <si>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</si>
  <si>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</si>
  <si>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</si>
  <si>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</si>
  <si>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</si>
  <si>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</si>
  <si>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</si>
  <si>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</si>
  <si>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</si>
  <si>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</si>
  <si>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</si>
  <si>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</si>
  <si>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</si>
  <si>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</si>
  <si>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</si>
  <si>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</si>
  <si>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</si>
  <si>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</si>
  <si>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</si>
  <si>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</si>
  <si>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</si>
  <si>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</si>
  <si>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</si>
  <si>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</si>
  <si>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</si>
  <si>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</si>
  <si>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</si>
  <si>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</si>
  <si>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</si>
  <si>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</si>
  <si>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</si>
  <si>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</si>
  <si>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</si>
  <si>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</si>
  <si>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</si>
  <si>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</si>
  <si>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</si>
  <si>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</si>
  <si>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</si>
  <si>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</si>
  <si>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</si>
  <si>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</si>
  <si>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</si>
  <si>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</si>
  <si>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</si>
  <si>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</si>
  <si>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</si>
  <si>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</si>
  <si>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</si>
  <si>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</si>
  <si>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</si>
  <si>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</si>
  <si>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</si>
  <si>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</si>
  <si>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</si>
  <si>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</si>
  <si>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</si>
  <si>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</si>
  <si>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</si>
  <si>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</si>
  <si>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</si>
  <si>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</si>
  <si>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</si>
  <si>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</si>
  <si>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</si>
  <si>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</si>
  <si>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</si>
  <si>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</si>
  <si>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</si>
  <si>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</si>
  <si>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</si>
  <si>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</si>
  <si>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</si>
  <si>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</si>
  <si>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</si>
  <si>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</si>
  <si>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</si>
  <si>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</si>
  <si>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</si>
  <si>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</si>
  <si>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</si>
  <si>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</si>
  <si>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</si>
  <si>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</si>
  <si>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</si>
  <si>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</si>
  <si>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</si>
  <si>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</si>
  <si>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</si>
  <si>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</si>
  <si>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</si>
  <si>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</si>
  <si>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</si>
  <si>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</si>
  <si>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</si>
  <si>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</si>
  <si>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</si>
  <si>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</si>
  <si>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</si>
  <si>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</si>
  <si>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</si>
  <si>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</si>
  <si>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</si>
  <si>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</si>
  <si>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</si>
  <si>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</si>
  <si>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</si>
  <si>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</si>
  <si>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</si>
  <si>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</si>
  <si>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</si>
  <si>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</si>
  <si>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</si>
  <si>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</si>
  <si>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</si>
  <si>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</si>
  <si>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</si>
  <si>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</si>
  <si>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</si>
  <si>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</si>
  <si>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</si>
  <si>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</si>
  <si>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</si>
  <si>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</si>
  <si>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</si>
  <si>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</si>
  <si>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</si>
  <si>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</si>
  <si>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</si>
  <si>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</si>
  <si>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</si>
  <si>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</si>
  <si>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</si>
  <si>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</si>
  <si>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</si>
  <si>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</si>
  <si>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</si>
  <si>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</si>
  <si>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</si>
  <si>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</si>
  <si>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</si>
  <si>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</si>
  <si>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</si>
  <si>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</si>
  <si>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</si>
  <si>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</si>
  <si>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</si>
  <si>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</si>
  <si>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</si>
  <si>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</si>
  <si>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</si>
  <si>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</si>
  <si>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</si>
  <si>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</si>
  <si>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</si>
  <si>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</si>
  <si>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</si>
  <si>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</si>
  <si>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</si>
  <si>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</si>
  <si>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</si>
  <si>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</si>
  <si>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</si>
  <si>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</si>
  <si>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</si>
  <si>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</si>
  <si>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</si>
  <si>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</si>
  <si>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</si>
  <si>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</si>
  <si>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</si>
  <si>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</si>
  <si>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</si>
  <si>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</si>
  <si>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</si>
  <si>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</si>
  <si>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</si>
  <si>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</si>
  <si>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</si>
  <si>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</si>
  <si>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</si>
  <si>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</si>
  <si>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</si>
  <si>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</si>
  <si>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</si>
  <si>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</si>
  <si>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</si>
  <si>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</si>
  <si>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</si>
  <si>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</si>
  <si>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</si>
  <si>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</si>
  <si>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</si>
  <si>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</si>
  <si>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</si>
  <si>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</si>
  <si>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</si>
  <si>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</si>
  <si>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</si>
  <si>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</si>
  <si>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</si>
  <si>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</si>
  <si>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</si>
  <si>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</si>
  <si>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</si>
  <si>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</si>
  <si>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</si>
  <si>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</si>
  <si>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</si>
  <si>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</si>
  <si>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</si>
  <si>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</si>
  <si>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</si>
  <si>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</si>
  <si>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</si>
  <si>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</si>
  <si>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</si>
  <si>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</si>
  <si>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</si>
  <si>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</si>
  <si>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</si>
  <si>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</si>
  <si>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</si>
  <si>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</si>
  <si>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</si>
  <si>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</si>
  <si>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</si>
  <si>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</si>
  <si>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</si>
  <si>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</si>
  <si>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</si>
  <si>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</si>
  <si>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</si>
  <si>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</si>
  <si>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</si>
  <si>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</si>
  <si>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</si>
  <si>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</si>
  <si>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</si>
  <si>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</si>
  <si>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</si>
  <si>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</si>
  <si>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</si>
  <si>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</si>
  <si>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</si>
  <si>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</si>
  <si>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</si>
  <si>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</si>
  <si>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</si>
  <si>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</si>
  <si>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</si>
  <si>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</si>
  <si>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</si>
  <si>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</si>
  <si>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</si>
  <si>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</si>
  <si>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</si>
  <si>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</si>
  <si>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</si>
  <si>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</si>
  <si>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</si>
  <si>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</si>
  <si>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</si>
  <si>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</si>
  <si>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</si>
  <si>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</si>
  <si>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</si>
  <si>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</si>
  <si>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</si>
  <si>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</si>
  <si>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</si>
  <si>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</si>
  <si>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</si>
  <si>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</si>
  <si>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</si>
  <si>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</si>
  <si>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</si>
  <si>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</si>
  <si>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</si>
  <si>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</si>
  <si>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</si>
  <si>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</si>
  <si>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</si>
  <si>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</si>
  <si>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</si>
  <si>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</si>
  <si>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</si>
  <si>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</si>
  <si>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</si>
  <si>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</si>
  <si>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</si>
  <si>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</si>
  <si>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</si>
  <si>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</si>
  <si>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</si>
  <si>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</si>
  <si>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</si>
  <si>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</si>
  <si>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</si>
  <si>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</si>
  <si>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</si>
  <si>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</si>
  <si>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</si>
  <si>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</si>
  <si>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</si>
  <si>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</si>
  <si>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</si>
  <si>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</si>
  <si>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</si>
  <si>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</si>
  <si>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</si>
  <si>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</si>
  <si>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</si>
  <si>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</si>
  <si>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</si>
  <si>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</si>
  <si>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</si>
  <si>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</si>
  <si>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</si>
  <si>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</si>
  <si>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</si>
  <si>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</si>
  <si>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</si>
  <si>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</si>
  <si>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</si>
  <si>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</si>
  <si>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</si>
  <si>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</si>
  <si>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</si>
  <si>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</si>
  <si>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</si>
  <si>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</si>
  <si>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</si>
  <si>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</si>
  <si>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</si>
  <si>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</si>
  <si>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</si>
  <si>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</si>
  <si>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</si>
  <si>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</si>
  <si>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</si>
  <si>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</si>
  <si>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</si>
  <si>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</si>
  <si>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</si>
  <si>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</si>
  <si>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</si>
  <si>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</si>
  <si>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</si>
  <si>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</si>
  <si>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</si>
  <si>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</si>
  <si>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</si>
  <si>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</si>
  <si>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</si>
  <si>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</si>
  <si>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</si>
  <si>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</si>
  <si>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</si>
  <si>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</si>
  <si>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</si>
  <si>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</si>
  <si>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</si>
  <si>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</si>
  <si>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</si>
  <si>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</si>
  <si>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</si>
  <si>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</si>
  <si>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</si>
  <si>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</si>
  <si>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</si>
  <si>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</si>
  <si>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</si>
  <si>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</si>
  <si>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</si>
  <si>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</si>
  <si>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</si>
  <si>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</si>
  <si>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</si>
  <si>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</si>
  <si>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</si>
  <si>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</si>
  <si>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</si>
  <si>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</si>
  <si>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</si>
  <si>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</si>
  <si>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</si>
  <si>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</si>
  <si>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</si>
  <si>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</si>
  <si>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</si>
  <si>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</si>
  <si>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</si>
  <si>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</si>
  <si>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</si>
  <si>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</si>
  <si>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</si>
  <si>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</si>
  <si>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</si>
  <si>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</si>
  <si>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</si>
  <si>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</si>
  <si>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</si>
  <si>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</si>
  <si>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</si>
  <si>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</si>
  <si>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</si>
  <si>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</si>
  <si>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</si>
  <si>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</si>
  <si>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</si>
  <si>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</si>
  <si>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</si>
  <si>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</si>
  <si>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</si>
  <si>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</si>
  <si>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</si>
  <si>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</si>
  <si>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</si>
  <si>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</si>
  <si>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</si>
  <si>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</si>
  <si>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</si>
  <si>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</si>
  <si>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</si>
  <si>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</si>
  <si>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</si>
  <si>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</si>
  <si>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</si>
  <si>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</si>
  <si>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</si>
  <si>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</si>
  <si>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</si>
  <si>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</si>
  <si>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</si>
  <si>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</si>
  <si>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</si>
  <si>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</si>
  <si>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</si>
  <si>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</si>
  <si>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</si>
  <si>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</si>
  <si>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</si>
  <si>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</si>
  <si>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</si>
  <si>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</si>
  <si>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</si>
  <si>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</si>
  <si>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</si>
  <si>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</si>
  <si>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</si>
  <si>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</si>
  <si>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</si>
  <si>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</si>
  <si>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</si>
  <si>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</si>
  <si>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</si>
  <si>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</si>
  <si>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</si>
  <si>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</si>
  <si>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</si>
  <si>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</si>
  <si>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</si>
  <si>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</si>
  <si>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</si>
  <si>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</si>
  <si>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</si>
  <si>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</si>
  <si>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</si>
  <si>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</si>
  <si>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</si>
  <si>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</si>
  <si>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</si>
  <si>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</si>
  <si>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</si>
  <si>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</si>
  <si>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</si>
  <si>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</si>
  <si>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</si>
  <si>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</si>
  <si>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</si>
  <si>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</si>
  <si>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</si>
  <si>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</si>
  <si>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</si>
  <si>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</si>
  <si>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</si>
  <si>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</si>
  <si>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</si>
  <si>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</si>
  <si>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</si>
  <si>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</si>
  <si>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</si>
  <si>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</si>
  <si>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</si>
  <si>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</si>
  <si>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</si>
  <si>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</si>
  <si>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</si>
  <si>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</si>
  <si>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</si>
  <si>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</si>
  <si>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</si>
  <si>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</si>
  <si>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</si>
  <si>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</si>
  <si>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</si>
  <si>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</si>
  <si>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</si>
  <si>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</si>
  <si>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</si>
  <si>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</si>
  <si>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</si>
  <si>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</si>
  <si>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</si>
  <si>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</si>
  <si>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</si>
  <si>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</si>
  <si>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</si>
  <si>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</si>
  <si>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</si>
  <si>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</si>
  <si>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</si>
  <si>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</si>
  <si>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</si>
  <si>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</si>
  <si>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</si>
  <si>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</si>
  <si>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</si>
  <si>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</si>
  <si>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</si>
  <si>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</si>
  <si>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</si>
  <si>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</si>
  <si>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</si>
  <si>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</si>
  <si>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</si>
  <si>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</si>
  <si>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</si>
  <si>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</si>
  <si>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</si>
  <si>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</si>
  <si>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</si>
  <si>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</si>
  <si>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</si>
  <si>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</si>
  <si>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</si>
  <si>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</si>
  <si>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</si>
  <si>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</si>
  <si>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</si>
  <si>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</si>
  <si>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</si>
  <si>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</si>
  <si>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</si>
  <si>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</si>
  <si>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</si>
  <si>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</si>
  <si>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</si>
  <si>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</si>
  <si>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</si>
  <si>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</si>
  <si>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</si>
  <si>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</si>
  <si>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</si>
  <si>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</si>
  <si>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</si>
  <si>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</si>
  <si>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</si>
  <si>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</si>
  <si>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</si>
  <si>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</si>
  <si>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</si>
  <si>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</si>
  <si>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</si>
  <si>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</si>
  <si>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</si>
  <si>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</si>
  <si>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</si>
  <si>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</si>
  <si>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</si>
  <si>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</si>
  <si>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</si>
  <si>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</si>
  <si>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</si>
  <si>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</si>
  <si>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</si>
  <si>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</si>
  <si>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</si>
  <si>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</si>
  <si>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</si>
  <si>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</si>
  <si>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</si>
  <si>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</si>
  <si>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</si>
  <si>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</si>
  <si>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</si>
  <si>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</si>
  <si>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</si>
  <si>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</si>
  <si>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</si>
  <si>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</si>
  <si>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</si>
  <si>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</si>
  <si>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</si>
  <si>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</si>
  <si>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</si>
  <si>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</si>
  <si>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</si>
  <si>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</si>
  <si>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</si>
  <si>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</si>
  <si>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</si>
  <si>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</si>
  <si>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</si>
  <si>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</si>
  <si>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</si>
  <si>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</si>
  <si>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</si>
  <si>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</si>
  <si>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</si>
  <si>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</si>
  <si>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</si>
  <si>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</si>
  <si>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</si>
  <si>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</si>
  <si>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</si>
  <si>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</si>
  <si>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</si>
  <si>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</si>
  <si>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</si>
  <si>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</si>
  <si>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</si>
  <si>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</si>
  <si>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</si>
  <si>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</si>
  <si>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</si>
  <si>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</si>
  <si>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</si>
  <si>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</si>
  <si>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</si>
  <si>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</si>
  <si>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</si>
  <si>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</si>
  <si>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</si>
  <si>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</si>
  <si>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</si>
  <si>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</si>
  <si>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</si>
  <si>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</si>
  <si>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</si>
  <si>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</si>
  <si>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</si>
  <si>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</si>
  <si>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</si>
  <si>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</si>
  <si>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</si>
  <si>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</si>
  <si>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</si>
  <si>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</si>
  <si>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</si>
  <si>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</si>
  <si>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</si>
  <si>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</si>
  <si>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</si>
  <si>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</si>
  <si>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</si>
  <si>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</si>
  <si>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</si>
  <si>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</si>
  <si>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</si>
  <si>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</si>
  <si>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</si>
  <si>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</si>
  <si>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</si>
  <si>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</si>
  <si>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</si>
  <si>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</si>
  <si>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</si>
  <si>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</si>
  <si>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</si>
  <si>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</si>
  <si>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</si>
  <si>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</si>
  <si>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</si>
  <si>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</si>
  <si>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</si>
  <si>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</si>
  <si>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</si>
  <si>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</si>
  <si>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</si>
  <si>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</si>
  <si>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</si>
  <si>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</si>
  <si>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</si>
  <si>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</si>
  <si>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</si>
  <si>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</si>
  <si>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</si>
  <si>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</si>
  <si>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</si>
  <si>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</si>
  <si>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</si>
  <si>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</si>
  <si>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</si>
  <si>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</si>
  <si>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</si>
  <si>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</si>
  <si>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</si>
  <si>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</si>
  <si>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</si>
  <si>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</si>
  <si>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</si>
  <si>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</si>
  <si>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</si>
  <si>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</si>
  <si>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</si>
  <si>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</si>
  <si>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</si>
  <si>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</si>
  <si>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</si>
  <si>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</si>
  <si>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</si>
  <si>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</si>
  <si>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</si>
  <si>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</si>
  <si>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</si>
  <si>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</si>
  <si>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</si>
  <si>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</si>
  <si>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</si>
  <si>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</si>
  <si>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</si>
  <si>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</si>
  <si>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</si>
  <si>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</si>
  <si>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</si>
  <si>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</si>
  <si>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</si>
  <si>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</si>
  <si>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</si>
  <si>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</si>
  <si>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</si>
  <si>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</si>
  <si>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</si>
  <si>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</si>
  <si>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</si>
  <si>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</si>
  <si>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</si>
  <si>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</si>
  <si>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</si>
  <si>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</si>
  <si>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</si>
  <si>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</si>
  <si>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</si>
  <si>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</si>
  <si>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</si>
  <si>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</si>
  <si>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</si>
  <si>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</si>
  <si>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</si>
  <si>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</si>
  <si>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</si>
  <si>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</si>
  <si>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</si>
  <si>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</si>
  <si>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</si>
  <si>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</si>
  <si>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</si>
  <si>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</si>
  <si>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</si>
  <si>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</si>
  <si>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</si>
  <si>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</si>
  <si>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</si>
  <si>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</si>
  <si>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</si>
  <si>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</si>
  <si>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</si>
  <si>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</si>
  <si>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</si>
  <si>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</si>
  <si>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</si>
  <si>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</si>
  <si>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</si>
  <si>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</si>
  <si>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</si>
  <si>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</si>
  <si>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</si>
  <si>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</si>
  <si>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</si>
  <si>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</si>
  <si>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</si>
  <si>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</si>
  <si>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</si>
  <si>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</si>
  <si>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</si>
  <si>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</si>
  <si>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</si>
  <si>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</si>
  <si>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</si>
  <si>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</si>
  <si>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</si>
  <si>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</si>
  <si>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</si>
  <si>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</si>
  <si>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</si>
  <si>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</si>
  <si>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</si>
  <si>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</si>
  <si>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</si>
  <si>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</si>
  <si>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</si>
  <si>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</si>
  <si>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</si>
  <si>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</si>
  <si>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</si>
  <si>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</si>
  <si>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</si>
  <si>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</si>
  <si>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</si>
  <si>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</si>
  <si>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</si>
  <si>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</si>
  <si>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</si>
  <si>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</si>
  <si>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</si>
  <si>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</si>
  <si>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</si>
  <si>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</si>
  <si>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</si>
  <si>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</si>
  <si>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</si>
  <si>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</si>
  <si>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</si>
  <si>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</si>
  <si>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</si>
  <si>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</si>
  <si>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</si>
  <si>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</si>
  <si>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</si>
  <si>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</si>
  <si>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</si>
  <si>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</si>
  <si>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</si>
  <si>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</si>
  <si>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</si>
  <si>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</si>
  <si>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</si>
  <si>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</si>
  <si>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</si>
  <si>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</si>
  <si>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</si>
  <si>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</si>
  <si>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</si>
  <si>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</si>
  <si>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</si>
  <si>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</si>
  <si>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</si>
  <si>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</si>
  <si>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</si>
  <si>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</si>
  <si>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</si>
  <si>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</si>
  <si>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</si>
  <si>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</si>
  <si>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</si>
  <si>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</si>
  <si>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</si>
  <si>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</si>
  <si>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</si>
  <si>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</si>
  <si>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</si>
  <si>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</si>
  <si>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</si>
  <si>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</si>
  <si>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</si>
  <si>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</si>
  <si>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</si>
  <si>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</si>
  <si>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</si>
  <si>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</si>
  <si>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</si>
  <si>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</si>
  <si>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</si>
  <si>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</si>
  <si>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</si>
  <si>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</si>
  <si>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</si>
  <si>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</si>
  <si>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</si>
  <si>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</si>
  <si>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</si>
  <si>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</si>
  <si>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</si>
  <si>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</si>
  <si>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</si>
  <si>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</si>
  <si>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</si>
  <si>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</si>
  <si>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</si>
  <si>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</si>
  <si>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</si>
  <si>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</si>
  <si>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</si>
  <si>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</si>
  <si>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</si>
  <si>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</si>
  <si>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</si>
  <si>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</si>
  <si>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</si>
  <si>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</si>
  <si>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</si>
  <si>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</si>
  <si>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</si>
  <si>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</si>
  <si>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</si>
  <si>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</si>
  <si>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</si>
  <si>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</si>
  <si>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</si>
  <si>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</si>
  <si>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</si>
  <si>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</si>
  <si>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</si>
  <si>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</si>
  <si>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</si>
  <si>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</si>
  <si>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</si>
  <si>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</si>
  <si>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</si>
  <si>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</si>
  <si>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</si>
  <si>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</si>
  <si>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</si>
  <si>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</si>
  <si>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</si>
  <si>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</si>
  <si>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</si>
  <si>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</si>
  <si>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</si>
  <si>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</si>
  <si>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</si>
  <si>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</si>
  <si>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</si>
  <si>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</si>
  <si>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</si>
  <si>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</si>
  <si>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</si>
  <si>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</si>
  <si>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</si>
  <si>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</si>
  <si>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</si>
  <si>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</si>
  <si>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</si>
  <si>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</si>
  <si>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</si>
  <si>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</si>
  <si>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</si>
  <si>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</si>
  <si>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</si>
  <si>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</si>
  <si>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</si>
  <si>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</si>
  <si>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</si>
  <si>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</si>
  <si>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</si>
  <si>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</si>
  <si>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</si>
  <si>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</si>
  <si>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</si>
  <si>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</si>
  <si>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</si>
  <si>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</si>
  <si>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</si>
  <si>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</si>
  <si>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</si>
  <si>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</si>
  <si>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</si>
  <si>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</si>
  <si>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</si>
  <si>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</si>
  <si>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</si>
  <si>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</si>
  <si>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</si>
  <si>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</si>
  <si>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</si>
  <si>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</si>
  <si>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</si>
  <si>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</si>
  <si>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</si>
  <si>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</si>
  <si>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</si>
  <si>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</si>
  <si>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</si>
  <si>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</si>
  <si>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</si>
  <si>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</si>
  <si>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</si>
  <si>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</si>
  <si>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</si>
  <si>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</si>
  <si>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</si>
  <si>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</si>
  <si>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</si>
  <si>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</si>
  <si>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</si>
  <si>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</si>
  <si>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</si>
  <si>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</si>
  <si>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</si>
  <si>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</si>
  <si>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</si>
  <si>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</si>
  <si>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</si>
  <si>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</si>
  <si>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</si>
  <si>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</si>
  <si>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</si>
  <si>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</si>
  <si>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</si>
  <si>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</si>
  <si>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</si>
  <si>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</si>
  <si>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</si>
  <si>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</si>
  <si>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</si>
  <si>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</si>
  <si>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</si>
  <si>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</si>
  <si>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</si>
  <si>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</si>
  <si>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</si>
  <si>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</si>
  <si>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</si>
  <si>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</si>
  <si>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</si>
  <si>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</si>
  <si>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</si>
  <si>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</si>
  <si>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</si>
  <si>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</si>
  <si>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</si>
  <si>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</si>
  <si>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</si>
  <si>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</si>
  <si>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</si>
  <si>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</si>
  <si>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</si>
  <si>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</si>
  <si>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</si>
  <si>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</si>
  <si>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</si>
  <si>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</si>
  <si>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</si>
  <si>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</si>
  <si>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</si>
  <si>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</si>
  <si>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</si>
  <si>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</si>
  <si>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</si>
  <si>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</si>
  <si>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</si>
  <si>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</si>
  <si>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</si>
  <si>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</si>
  <si>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</si>
  <si>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</si>
  <si>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</si>
  <si>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</si>
  <si>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</si>
  <si>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</si>
  <si>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</si>
  <si>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</si>
  <si>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</si>
  <si>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</si>
  <si>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</si>
  <si>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</si>
  <si>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</si>
  <si>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</si>
  <si>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</si>
  <si>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</si>
  <si>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</si>
  <si>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</si>
  <si>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</si>
  <si>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</si>
  <si>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</si>
  <si>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</si>
  <si>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</si>
  <si>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</si>
  <si>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</si>
  <si>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</si>
  <si>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</si>
  <si>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</si>
  <si>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</si>
  <si>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</si>
  <si>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</si>
  <si>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</si>
  <si>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</si>
  <si>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</si>
  <si>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</si>
  <si>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</si>
  <si>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</si>
  <si>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</si>
  <si>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</si>
  <si>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</si>
  <si>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</si>
  <si>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</si>
  <si>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</si>
  <si>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</si>
  <si>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</si>
  <si>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</si>
  <si>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</si>
  <si>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</si>
  <si>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</si>
  <si>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</si>
  <si>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</si>
  <si>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</si>
  <si>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</si>
  <si>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</si>
  <si>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</si>
  <si>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</si>
  <si>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</si>
  <si>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</si>
  <si>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</si>
  <si>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</si>
  <si>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</si>
  <si>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</si>
  <si>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</si>
  <si>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</si>
  <si>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</si>
  <si>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</si>
  <si>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</si>
  <si>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</si>
  <si>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</si>
  <si>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</si>
  <si>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</si>
  <si>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</si>
  <si>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</si>
  <si>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</si>
  <si>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</si>
  <si>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</si>
  <si>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</si>
  <si>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</si>
  <si>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</si>
  <si>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</si>
  <si>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</si>
  <si>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</si>
  <si>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</si>
  <si>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</si>
  <si>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</si>
  <si>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</si>
  <si>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</si>
  <si>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</si>
  <si>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</si>
  <si>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</si>
  <si>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</si>
  <si>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</si>
  <si>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</si>
  <si>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</si>
  <si>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</si>
  <si>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</si>
  <si>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</si>
  <si>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</si>
  <si>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</si>
  <si>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</si>
  <si>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</si>
  <si>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</si>
  <si>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</si>
  <si>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</si>
  <si>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</si>
  <si>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</si>
  <si>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</si>
  <si>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</si>
  <si>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</si>
  <si>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</si>
  <si>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</si>
  <si>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</si>
  <si>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</si>
  <si>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</si>
  <si>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</si>
  <si>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</si>
  <si>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</si>
  <si>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</si>
  <si>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</si>
  <si>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</si>
  <si>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</si>
  <si>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</si>
  <si>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</si>
  <si>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</si>
  <si>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</si>
  <si>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</si>
  <si>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</si>
  <si>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</si>
  <si>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</si>
  <si>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</si>
  <si>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</si>
  <si>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</si>
  <si>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</si>
  <si>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</si>
  <si>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</si>
  <si>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</si>
  <si>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</si>
  <si>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</si>
  <si>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</si>
  <si>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</si>
  <si>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</si>
  <si>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</si>
  <si>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</si>
  <si>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</si>
  <si>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</si>
  <si>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</si>
  <si>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</si>
  <si>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</si>
  <si>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</si>
  <si>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</si>
  <si>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</si>
  <si>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</si>
  <si>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</si>
  <si>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</si>
  <si>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</si>
  <si>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</si>
  <si>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</si>
  <si>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</si>
  <si>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</si>
  <si>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</si>
  <si>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</si>
  <si>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</si>
  <si>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</si>
  <si>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</si>
  <si>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</si>
  <si>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</si>
  <si>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</si>
  <si>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</si>
  <si>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</si>
  <si>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</si>
  <si>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</si>
  <si>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</si>
  <si>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</si>
  <si>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</si>
  <si>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</si>
  <si>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</si>
  <si>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</si>
  <si>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</si>
  <si>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</si>
  <si>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</si>
  <si>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</si>
  <si>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</si>
  <si>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</si>
  <si>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</si>
  <si>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</si>
  <si>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</si>
  <si>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</si>
  <si>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</si>
  <si>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</si>
  <si>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</si>
  <si>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</si>
  <si>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</si>
  <si>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</si>
  <si>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</si>
  <si>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</si>
  <si>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</si>
  <si>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</si>
  <si>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</si>
  <si>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</si>
  <si>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</si>
  <si>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</si>
  <si>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</si>
  <si>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</si>
  <si>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</si>
  <si>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</si>
  <si>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</si>
  <si>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</si>
  <si>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</si>
  <si>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</si>
  <si>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</si>
  <si>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</si>
  <si>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</si>
  <si>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</si>
  <si>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</si>
  <si>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</si>
  <si>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</si>
  <si>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</si>
  <si>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</si>
  <si>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</si>
  <si>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</si>
  <si>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</si>
  <si>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</si>
  <si>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</si>
  <si>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</si>
  <si>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</si>
  <si>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</si>
  <si>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</si>
  <si>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</si>
  <si>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</si>
  <si>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</si>
  <si>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</si>
  <si>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</si>
  <si>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</si>
  <si>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</si>
  <si>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</si>
  <si>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</si>
  <si>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</si>
  <si>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</si>
  <si>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</si>
  <si>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</si>
  <si>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</si>
  <si>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</si>
  <si>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</si>
  <si>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</si>
  <si>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</si>
  <si>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</si>
  <si>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</si>
  <si>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</si>
  <si>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</si>
  <si>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</si>
  <si>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</si>
  <si>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</si>
  <si>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</si>
  <si>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</si>
  <si>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</si>
  <si>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</si>
  <si>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</si>
  <si>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</si>
  <si>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</si>
  <si>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</si>
  <si>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</si>
  <si>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</si>
  <si>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</si>
  <si>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</si>
  <si>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</si>
  <si>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</si>
  <si>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</si>
  <si>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</si>
  <si>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</si>
  <si>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</si>
  <si>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</si>
  <si>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</si>
  <si>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</si>
  <si>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</si>
  <si>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</si>
  <si>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</si>
  <si>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</si>
  <si>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</si>
  <si>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</si>
  <si>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</si>
  <si>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</si>
  <si>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</si>
  <si>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</si>
  <si>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</si>
  <si>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</si>
  <si>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</si>
  <si>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</si>
  <si>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</si>
  <si>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</si>
  <si>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</si>
  <si>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</si>
  <si>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</si>
  <si>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</si>
  <si>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</si>
  <si>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</si>
  <si>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</si>
  <si>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</si>
  <si>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</si>
  <si>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</si>
  <si>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</si>
  <si>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</si>
  <si>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</si>
  <si>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</si>
  <si>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</si>
  <si>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</si>
  <si>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</si>
  <si>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</si>
  <si>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</si>
  <si>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</si>
  <si>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</si>
  <si>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</si>
  <si>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</si>
  <si>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</si>
  <si>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</si>
  <si>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</si>
  <si>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</si>
  <si>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</si>
  <si>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</si>
  <si>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</si>
  <si>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</si>
  <si>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</si>
  <si>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</si>
  <si>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</si>
  <si>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</si>
  <si>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</si>
  <si>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</si>
  <si>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</si>
  <si>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</si>
  <si>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</si>
  <si>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</si>
  <si>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</si>
  <si>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</si>
  <si>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</si>
  <si>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</si>
  <si>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</si>
  <si>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</si>
  <si>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</si>
  <si>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</si>
  <si>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</si>
  <si>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</si>
  <si>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</si>
  <si>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</si>
  <si>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</si>
  <si>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</si>
  <si>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</si>
  <si>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</si>
  <si>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</si>
  <si>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</si>
  <si>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</si>
  <si>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</si>
  <si>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</si>
  <si>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</si>
  <si>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</si>
  <si>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</si>
  <si>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</si>
  <si>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</si>
  <si>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</si>
  <si>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</si>
  <si>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</si>
  <si>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</si>
  <si>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</si>
  <si>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</si>
  <si>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</si>
  <si>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</si>
  <si>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</si>
  <si>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</si>
  <si>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</si>
  <si>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</si>
  <si>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</si>
  <si>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</si>
  <si>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</si>
  <si>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</si>
  <si>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</si>
  <si>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</si>
  <si>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</si>
  <si>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</si>
  <si>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</si>
  <si>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</si>
  <si>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</si>
  <si>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</si>
  <si>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</si>
  <si>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</si>
  <si>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</si>
  <si>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</si>
  <si>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</si>
  <si>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</si>
  <si>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</si>
  <si>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</si>
  <si>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</si>
  <si>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</si>
  <si>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</si>
  <si>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</si>
  <si>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</si>
  <si>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</si>
  <si>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</si>
  <si>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</si>
  <si>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</si>
  <si>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</si>
  <si>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</si>
  <si>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</si>
  <si>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</si>
  <si>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</si>
  <si>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</si>
  <si>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</si>
  <si>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</si>
  <si>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</si>
  <si>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</si>
  <si>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</si>
  <si>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</si>
  <si>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</si>
  <si>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</si>
  <si>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</si>
  <si>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</si>
  <si>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</si>
  <si>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</si>
  <si>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</si>
  <si>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</si>
  <si>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</si>
  <si>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</si>
  <si>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</si>
  <si>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</si>
  <si>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</si>
  <si>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</si>
  <si>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</si>
  <si>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</si>
  <si>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</si>
  <si>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</si>
  <si>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</si>
  <si>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</si>
  <si>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</si>
  <si>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</si>
  <si>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</si>
  <si>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</si>
  <si>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</si>
  <si>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</si>
  <si>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</si>
  <si>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</si>
  <si>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</si>
  <si>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</si>
  <si>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</si>
  <si>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</si>
  <si>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</si>
  <si>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</si>
  <si>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</si>
  <si>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</si>
  <si>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</si>
  <si>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</si>
  <si>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</si>
  <si>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</si>
  <si>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</si>
  <si>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</si>
  <si>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</si>
  <si>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</si>
  <si>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</si>
  <si>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</si>
  <si>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</si>
  <si>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</si>
  <si>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</si>
  <si>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</si>
  <si>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</si>
  <si>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</si>
  <si>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</si>
  <si>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</si>
  <si>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</si>
  <si>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</si>
  <si>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</si>
  <si>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</si>
  <si>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</si>
  <si>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</si>
  <si>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</si>
  <si>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</si>
  <si>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</si>
  <si>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</si>
  <si>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</si>
  <si>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</si>
  <si>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</si>
  <si>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</si>
  <si>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</si>
  <si>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</si>
  <si>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</si>
  <si>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</si>
  <si>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</si>
  <si>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</si>
  <si>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</si>
  <si>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</si>
  <si>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</si>
  <si>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</si>
  <si>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</si>
  <si>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</si>
  <si>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</si>
  <si>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</si>
  <si>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</si>
  <si>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</si>
  <si>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</si>
  <si>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</si>
  <si>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</si>
  <si>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</si>
  <si>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</si>
  <si>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</si>
  <si>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</si>
  <si>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</si>
  <si>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</si>
  <si>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</si>
  <si>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</si>
  <si>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</si>
  <si>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</si>
  <si>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</si>
  <si>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</si>
  <si>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</si>
  <si>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</si>
  <si>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</si>
  <si>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</si>
  <si>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</si>
  <si>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</si>
  <si>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</si>
  <si>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</si>
  <si>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</si>
  <si>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</si>
  <si>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</si>
  <si>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</si>
  <si>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</si>
  <si>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</si>
  <si>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</si>
  <si>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</si>
  <si>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</si>
  <si>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</si>
  <si>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</si>
  <si>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</si>
  <si>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</si>
  <si>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</si>
  <si>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</si>
  <si>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</si>
  <si>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</si>
  <si>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</si>
  <si>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</si>
  <si>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</si>
  <si>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</si>
  <si>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</si>
  <si>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</si>
  <si>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</si>
  <si>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</si>
  <si>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</si>
  <si>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</si>
  <si>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</si>
  <si>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</si>
  <si>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</si>
  <si>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</si>
  <si>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</si>
  <si>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</si>
  <si>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</si>
  <si>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</si>
  <si>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</si>
  <si>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</si>
  <si>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</si>
  <si>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</si>
  <si>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</si>
  <si>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</si>
  <si>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</si>
  <si>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</si>
  <si>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</si>
  <si>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</si>
  <si>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</si>
  <si>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</si>
  <si>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</si>
  <si>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</si>
  <si>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</si>
  <si>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</si>
  <si>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</si>
  <si>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</si>
  <si>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</si>
  <si>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</si>
  <si>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</si>
  <si>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</si>
  <si>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</si>
  <si>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</si>
  <si>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</si>
  <si>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</si>
  <si>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</si>
  <si>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</si>
  <si>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</si>
  <si>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</si>
  <si>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</si>
  <si>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</si>
  <si>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</si>
  <si>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</si>
  <si>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</si>
  <si>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</si>
  <si>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</si>
  <si>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</si>
  <si>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</si>
  <si>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</si>
  <si>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</si>
  <si>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</si>
  <si>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</si>
  <si>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</si>
  <si>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</si>
  <si>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</si>
  <si>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</si>
  <si>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</si>
  <si>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</si>
  <si>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</si>
  <si>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</si>
  <si>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</si>
  <si>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</si>
  <si>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</si>
  <si>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</si>
  <si>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</si>
  <si>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</si>
  <si>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</si>
  <si>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</si>
  <si>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</si>
  <si>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</si>
  <si>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</si>
  <si>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</si>
  <si>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</si>
  <si>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</si>
  <si>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</si>
  <si>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</si>
  <si>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</si>
  <si>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</si>
  <si>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</si>
  <si>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</si>
  <si>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</si>
  <si>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</si>
  <si>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</si>
  <si>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</si>
  <si>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</si>
  <si>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</si>
  <si>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</si>
  <si>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</si>
  <si>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</si>
  <si>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</si>
  <si>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</si>
  <si>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</si>
  <si>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</si>
  <si>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</si>
  <si>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</si>
  <si>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</si>
  <si>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</si>
  <si>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</si>
  <si>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</si>
  <si>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</si>
  <si>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</si>
  <si>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</si>
  <si>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</si>
  <si>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</si>
  <si>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</si>
  <si>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</si>
  <si>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</si>
  <si>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</si>
  <si>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</si>
  <si>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</si>
  <si>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</si>
  <si>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</si>
  <si>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</si>
  <si>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</si>
  <si>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</si>
  <si>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</si>
  <si>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</si>
  <si>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</si>
  <si>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</si>
  <si>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</si>
  <si>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</si>
  <si>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</si>
  <si>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</si>
  <si>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</si>
  <si>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</si>
  <si>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</si>
  <si>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</si>
  <si>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</si>
  <si>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</si>
  <si>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</si>
  <si>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</si>
  <si>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</si>
  <si>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</si>
  <si>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</si>
  <si>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</si>
  <si>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</si>
  <si>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</si>
  <si>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</si>
  <si>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</si>
  <si>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</si>
  <si>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</si>
  <si>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</si>
  <si>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</si>
  <si>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</si>
  <si>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</si>
  <si>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</si>
  <si>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</si>
  <si>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</si>
  <si>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</si>
  <si>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</si>
  <si>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</si>
  <si>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</si>
  <si>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</si>
  <si>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</si>
  <si>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</si>
  <si>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</si>
  <si>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</si>
  <si>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</si>
  <si>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</si>
  <si>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</si>
  <si>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</si>
  <si>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</si>
  <si>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</si>
  <si>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</si>
  <si>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</si>
  <si>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</si>
  <si>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</si>
  <si>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</si>
  <si>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</si>
  <si>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</si>
  <si>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</si>
  <si>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</si>
  <si>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</si>
  <si>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</si>
  <si>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</si>
  <si>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</si>
  <si>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</si>
  <si>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</si>
  <si>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</si>
  <si>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</si>
  <si>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</si>
  <si>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</si>
  <si>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</si>
  <si>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</si>
  <si>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</si>
  <si>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</si>
  <si>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</si>
  <si>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</si>
  <si>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</si>
  <si>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</si>
  <si>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</si>
  <si>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</si>
  <si>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</si>
  <si>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</si>
  <si>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</si>
  <si>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</si>
  <si>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</si>
  <si>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</si>
  <si>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</si>
  <si>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</si>
  <si>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</si>
  <si>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</si>
  <si>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</si>
  <si>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</si>
  <si>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</si>
  <si>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</si>
  <si>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</si>
  <si>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</si>
  <si>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</si>
  <si>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</si>
  <si>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</si>
  <si>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</si>
  <si>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</si>
  <si>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</si>
  <si>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</si>
  <si>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</si>
  <si>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</si>
  <si>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</si>
  <si>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</si>
  <si>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</si>
  <si>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</si>
  <si>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</si>
  <si>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</si>
  <si>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</si>
  <si>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</si>
  <si>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</si>
  <si>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</si>
  <si>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</si>
  <si>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</si>
  <si>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</si>
  <si>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</si>
  <si>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</si>
  <si>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</si>
  <si>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</si>
  <si>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</si>
  <si>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</si>
  <si>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</si>
  <si>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</si>
  <si>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</si>
  <si>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</si>
  <si>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</si>
  <si>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</si>
  <si>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</si>
  <si>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</si>
  <si>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</si>
  <si>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</si>
  <si>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</si>
  <si>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</si>
  <si>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</si>
  <si>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</si>
  <si>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</si>
  <si>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</si>
  <si>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</si>
  <si>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</si>
  <si>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</si>
  <si>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</si>
  <si>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</si>
  <si>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</si>
  <si>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</si>
  <si>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</si>
  <si>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</si>
  <si>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</si>
  <si>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</si>
  <si>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</si>
  <si>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</si>
  <si>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</si>
  <si>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</si>
  <si>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</si>
  <si>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</si>
  <si>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</si>
  <si>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</si>
  <si>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</si>
  <si>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</si>
  <si>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</si>
  <si>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</si>
  <si>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</si>
  <si>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</si>
  <si>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</si>
  <si>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</si>
  <si>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</si>
  <si>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</si>
  <si>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</si>
  <si>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</si>
  <si>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</si>
  <si>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</si>
  <si>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</si>
  <si>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</si>
  <si>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</si>
  <si>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</si>
  <si>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</si>
  <si>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</si>
  <si>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</si>
  <si>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</si>
  <si>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</si>
  <si>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</si>
  <si>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</si>
  <si>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</si>
  <si>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</si>
  <si>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</si>
  <si>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</si>
  <si>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</si>
  <si>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</si>
  <si>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</si>
  <si>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</si>
  <si>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</si>
  <si>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</si>
  <si>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</si>
  <si>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</si>
  <si>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</si>
  <si>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</si>
  <si>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</si>
  <si>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</si>
  <si>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</si>
  <si>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</si>
  <si>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</si>
  <si>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</si>
  <si>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</si>
  <si>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</si>
  <si>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</si>
  <si>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</si>
  <si>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</si>
  <si>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</si>
  <si>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</si>
  <si>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</si>
  <si>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</si>
  <si>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</si>
  <si>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</si>
  <si>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</si>
  <si>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</si>
  <si>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</si>
  <si>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</si>
  <si>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</si>
  <si>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</si>
  <si>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</si>
  <si>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</si>
  <si>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</si>
  <si>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</si>
  <si>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</si>
  <si>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</si>
  <si>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</si>
  <si>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</si>
  <si>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</si>
  <si>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</si>
  <si>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</si>
  <si>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</si>
  <si>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</si>
  <si>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</si>
  <si>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</si>
  <si>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</si>
  <si>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</si>
  <si>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</si>
  <si>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</si>
  <si>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</si>
  <si>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</si>
  <si>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</si>
  <si>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</si>
  <si>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</si>
  <si>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</si>
  <si>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</si>
  <si>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</si>
  <si>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</si>
  <si>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</si>
  <si>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</si>
  <si>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</si>
  <si>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</si>
  <si>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</si>
  <si>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</si>
  <si>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</si>
  <si>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</si>
  <si>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</si>
  <si>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</si>
  <si>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</si>
  <si>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</si>
  <si>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</si>
  <si>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</si>
  <si>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</si>
  <si>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</si>
  <si>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</si>
  <si>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</si>
  <si>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</si>
  <si>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</si>
  <si>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</si>
  <si>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</si>
  <si>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</si>
  <si>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</si>
  <si>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</si>
  <si>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</si>
  <si>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</si>
  <si>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</si>
  <si>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</si>
  <si>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</si>
  <si>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</si>
  <si>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</si>
  <si>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</si>
  <si>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</si>
  <si>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</si>
  <si>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</si>
  <si>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</si>
  <si>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</si>
  <si>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</si>
  <si>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</si>
  <si>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</si>
  <si>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</si>
  <si>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</si>
  <si>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</si>
  <si>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</si>
  <si>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</si>
  <si>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</si>
  <si>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</si>
  <si>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</si>
  <si>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</si>
  <si>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</si>
  <si>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</si>
  <si>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</si>
  <si>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</si>
  <si>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</si>
  <si>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</si>
  <si>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</si>
  <si>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</si>
  <si>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</si>
  <si>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</si>
  <si>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</si>
  <si>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</si>
  <si>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</si>
  <si>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</si>
  <si>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</si>
  <si>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</si>
  <si>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</si>
  <si>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</si>
  <si>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</si>
  <si>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</si>
  <si>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</si>
  <si>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</si>
  <si>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</si>
  <si>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</si>
  <si>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</si>
  <si>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</si>
  <si>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</si>
  <si>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</si>
  <si>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</si>
  <si>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</si>
  <si>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</si>
  <si>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</si>
  <si>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</si>
  <si>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</si>
  <si>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</si>
  <si>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</si>
  <si>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</si>
  <si>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</si>
  <si>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</si>
  <si>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</si>
  <si>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</si>
  <si>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</si>
  <si>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</si>
  <si>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</si>
  <si>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</si>
  <si>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</si>
  <si>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</si>
  <si>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</si>
  <si>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</si>
  <si>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</si>
  <si>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</si>
  <si>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</si>
  <si>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</si>
  <si>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</si>
  <si>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</si>
  <si>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</si>
  <si>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</si>
  <si>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</si>
  <si>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</si>
  <si>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</si>
  <si>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</si>
  <si>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</si>
  <si>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</si>
  <si>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</si>
  <si>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</si>
  <si>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</si>
  <si>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</si>
  <si>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</si>
  <si>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</si>
  <si>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</si>
  <si>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</si>
  <si>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</si>
  <si>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</si>
  <si>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</si>
  <si>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</si>
  <si>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</si>
  <si>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</si>
  <si>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</si>
  <si>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</si>
  <si>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</si>
  <si>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</si>
  <si>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</si>
  <si>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</si>
  <si>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</si>
  <si>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</si>
  <si>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</si>
  <si>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</si>
  <si>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</si>
  <si>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</si>
  <si>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</si>
  <si>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</si>
  <si>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</si>
  <si>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</si>
  <si>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</si>
  <si>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</si>
  <si>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</si>
  <si>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</si>
  <si>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</si>
  <si>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</si>
  <si>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</si>
  <si>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</si>
  <si>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</si>
  <si>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</si>
  <si>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</si>
  <si>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</si>
  <si>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</si>
  <si>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</si>
  <si>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</si>
  <si>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</si>
  <si>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</si>
  <si>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</si>
  <si>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</si>
  <si>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</si>
  <si>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</si>
  <si>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</si>
  <si>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</si>
  <si>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</si>
  <si>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</si>
  <si>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</si>
  <si>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</si>
  <si>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</si>
  <si>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</si>
  <si>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</si>
  <si>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</si>
  <si>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</si>
  <si>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</si>
  <si>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</si>
  <si>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</si>
  <si>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</si>
  <si>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</si>
  <si>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</si>
  <si>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</si>
  <si>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</si>
  <si>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</si>
  <si>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</si>
  <si>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</si>
  <si>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</si>
  <si>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</si>
  <si>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</si>
  <si>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</si>
  <si>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</si>
  <si>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</si>
  <si>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</si>
  <si>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</si>
  <si>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</si>
  <si>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</si>
  <si>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</si>
  <si>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</si>
  <si>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</si>
  <si>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</si>
  <si>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</si>
  <si>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</si>
  <si>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</si>
  <si>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</si>
  <si>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</si>
  <si>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</si>
  <si>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</si>
  <si>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</si>
  <si>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</si>
  <si>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</si>
  <si>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</si>
  <si>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</si>
  <si>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</si>
  <si>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</si>
  <si>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</si>
  <si>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</si>
  <si>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</si>
  <si>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</si>
  <si>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</si>
  <si>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</si>
  <si>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</si>
  <si>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</si>
  <si>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</si>
  <si>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</si>
  <si>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</si>
  <si>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</si>
  <si>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</si>
  <si>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</si>
  <si>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</si>
  <si>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</si>
  <si>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</si>
  <si>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</si>
  <si>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</si>
  <si>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</si>
  <si>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</si>
  <si>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</si>
  <si>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</si>
  <si>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</si>
  <si>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</si>
  <si>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</si>
  <si>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</si>
  <si>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</si>
  <si>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</si>
  <si>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</si>
  <si>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</si>
  <si>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</si>
  <si>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</si>
  <si>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</si>
  <si>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</si>
  <si>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</si>
  <si>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</si>
  <si>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</si>
  <si>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</si>
  <si>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</si>
  <si>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</si>
  <si>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</si>
  <si>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</si>
  <si>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</si>
  <si>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</si>
  <si>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</si>
  <si>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</si>
  <si>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</si>
  <si>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</si>
  <si>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</si>
  <si>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</si>
  <si>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</si>
  <si>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</si>
  <si>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</si>
  <si>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</si>
  <si>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</si>
  <si>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</si>
  <si>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</si>
  <si>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</si>
  <si>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</si>
  <si>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</si>
  <si>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</si>
  <si>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</si>
  <si>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</si>
  <si>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</si>
  <si>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</si>
  <si>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</si>
  <si>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</si>
  <si>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</si>
  <si>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</si>
  <si>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</si>
  <si>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</si>
  <si>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</si>
  <si>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</si>
  <si>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</si>
  <si>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</si>
  <si>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</si>
  <si>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</si>
  <si>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</si>
  <si>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</si>
  <si>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</si>
  <si>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</si>
  <si>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</si>
  <si>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</si>
  <si>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</si>
  <si>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</si>
  <si>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</si>
  <si>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</si>
  <si>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</si>
  <si>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</si>
  <si>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</si>
  <si>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</si>
  <si>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</si>
  <si>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</si>
  <si>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</si>
  <si>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</si>
  <si>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</si>
  <si>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</si>
  <si>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</si>
  <si>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</si>
  <si>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</si>
  <si>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</si>
  <si>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</si>
  <si>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</si>
  <si>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</si>
  <si>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</si>
  <si>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</si>
  <si>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</si>
  <si>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</si>
  <si>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</si>
  <si>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</si>
  <si>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</si>
  <si>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</si>
  <si>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</si>
  <si>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</si>
  <si>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</si>
  <si>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</si>
  <si>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</si>
  <si>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</si>
  <si>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</si>
  <si>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</si>
  <si>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</si>
  <si>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</si>
  <si>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</si>
  <si>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</si>
  <si>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</si>
  <si>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</si>
  <si>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</si>
  <si>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</si>
  <si>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</si>
  <si>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</si>
  <si>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</si>
  <si>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</si>
  <si>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</si>
  <si>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</si>
  <si>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</si>
  <si>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</si>
  <si>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</si>
  <si>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</si>
  <si>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</si>
  <si>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</si>
  <si>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</si>
  <si>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</si>
  <si>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</si>
  <si>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</si>
  <si>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</si>
  <si>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</si>
  <si>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</si>
  <si>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</si>
  <si>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</si>
  <si>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</si>
  <si>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</si>
  <si>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</si>
  <si>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</si>
  <si>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</si>
  <si>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</si>
  <si>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</si>
  <si>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</si>
  <si>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</si>
  <si>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</si>
  <si>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</si>
  <si>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</si>
  <si>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</si>
  <si>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</si>
  <si>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</si>
  <si>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</si>
  <si>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</si>
  <si>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</si>
  <si>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</si>
  <si>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</si>
  <si>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</si>
  <si>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</si>
  <si>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</si>
  <si>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</si>
  <si>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</si>
  <si>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</si>
  <si>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</si>
  <si>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</si>
  <si>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</si>
  <si>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</si>
  <si>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</si>
  <si>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</si>
  <si>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</si>
  <si>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</si>
  <si>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</si>
  <si>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</si>
  <si>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</si>
  <si>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</si>
  <si>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</si>
  <si>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</si>
  <si>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</si>
  <si>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</si>
  <si>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</si>
  <si>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</si>
  <si>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</si>
  <si>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</si>
  <si>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</si>
  <si>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</si>
  <si>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</si>
  <si>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</si>
  <si>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</si>
  <si>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</si>
  <si>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</si>
  <si>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</si>
  <si>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</si>
  <si>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</si>
  <si>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</si>
  <si>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</si>
  <si>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</si>
  <si>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</si>
  <si>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</si>
  <si>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</si>
  <si>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</si>
  <si>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</si>
  <si>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</si>
  <si>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</si>
  <si>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</si>
  <si>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</si>
  <si>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</si>
  <si>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</si>
  <si>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</si>
  <si>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</si>
  <si>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</si>
  <si>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</si>
  <si>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</si>
  <si>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</si>
  <si>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</si>
  <si>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</si>
  <si>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</si>
  <si>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</si>
  <si>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</si>
  <si>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</si>
  <si>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</si>
  <si>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</si>
  <si>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</si>
  <si>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</si>
  <si>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</si>
  <si>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</si>
  <si>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</si>
  <si>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</si>
  <si>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</si>
  <si>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</si>
  <si>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</si>
  <si>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</si>
  <si>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</si>
  <si>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</si>
  <si>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</si>
  <si>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</si>
  <si>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</si>
  <si>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</si>
  <si>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</si>
  <si>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</si>
  <si>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</si>
  <si>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</si>
  <si>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</si>
  <si>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</si>
  <si>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</si>
  <si>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</si>
  <si>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</si>
  <si>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</si>
  <si>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</si>
  <si>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</si>
  <si>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</si>
  <si>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</si>
  <si>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</si>
  <si>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</si>
  <si>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</si>
  <si>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</si>
  <si>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</si>
  <si>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</si>
  <si>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</si>
  <si>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</si>
  <si>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</si>
  <si>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</si>
  <si>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</si>
  <si>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</si>
  <si>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</si>
  <si>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</si>
  <si>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</si>
  <si>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</si>
  <si>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</si>
  <si>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</si>
  <si>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</si>
  <si>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</si>
  <si>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</si>
  <si>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</si>
  <si>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</si>
  <si>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</si>
  <si>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</si>
  <si>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</si>
  <si>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</si>
  <si>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</si>
  <si>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</si>
  <si>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</si>
  <si>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</si>
  <si>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</si>
  <si>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</si>
  <si>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</si>
  <si>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</si>
  <si>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</si>
  <si>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</si>
  <si>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</si>
  <si>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</si>
  <si>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</si>
  <si>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</si>
  <si>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</si>
  <si>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</si>
  <si>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</si>
  <si>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</si>
  <si>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</si>
  <si>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</si>
  <si>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</si>
  <si>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</si>
  <si>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</si>
  <si>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</si>
  <si>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</si>
  <si>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</si>
  <si>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</si>
  <si>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</si>
  <si>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</si>
  <si>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</si>
  <si>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</si>
  <si>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</si>
  <si>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</si>
  <si>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</si>
  <si>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</si>
  <si>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</si>
  <si>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</si>
  <si>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</si>
  <si>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</si>
  <si>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</si>
  <si>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</si>
  <si>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</si>
  <si>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</si>
  <si>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</si>
  <si>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</si>
  <si>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</si>
  <si>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</si>
  <si>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</si>
  <si>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</si>
  <si>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</si>
  <si>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</si>
  <si>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</si>
  <si>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</si>
  <si>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</si>
  <si>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</si>
  <si>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</si>
  <si>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</si>
  <si>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</si>
  <si>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</si>
  <si>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</si>
  <si>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</si>
  <si>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</si>
  <si>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</si>
  <si>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</si>
  <si>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</si>
  <si>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</si>
  <si>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</si>
  <si>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</si>
  <si>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</si>
  <si>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</si>
  <si>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</si>
  <si>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</si>
  <si>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</si>
  <si>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</si>
  <si>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</si>
  <si>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</si>
  <si>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</si>
  <si>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</si>
  <si>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</si>
  <si>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</si>
  <si>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</si>
  <si>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</si>
  <si>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</si>
  <si>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</si>
  <si>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</si>
  <si>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</si>
  <si>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</si>
  <si>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</si>
  <si>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</si>
  <si>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</si>
  <si>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</si>
  <si>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</si>
  <si>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</si>
  <si>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</si>
  <si>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</si>
  <si>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</si>
  <si>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</si>
  <si>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</si>
  <si>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</si>
  <si>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</si>
  <si>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</si>
  <si>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</si>
  <si>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</si>
  <si>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</si>
  <si>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</si>
  <si>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</si>
  <si>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</si>
  <si>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</si>
  <si>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</si>
  <si>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</si>
  <si>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</si>
  <si>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</si>
  <si>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</si>
  <si>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</si>
  <si>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</si>
  <si>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</si>
  <si>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</si>
  <si>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</si>
  <si>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</si>
  <si>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</si>
  <si>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</si>
  <si>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</si>
  <si>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</si>
  <si>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</si>
  <si>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</si>
  <si>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</si>
  <si>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</si>
  <si>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</si>
  <si>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</si>
  <si>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</si>
  <si>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</si>
  <si>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</si>
  <si>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</si>
  <si>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</si>
  <si>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</si>
  <si>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</si>
  <si>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</si>
  <si>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</si>
  <si>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</si>
  <si>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</si>
  <si>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</si>
  <si>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</si>
  <si>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</si>
  <si>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</si>
  <si>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</si>
  <si>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</si>
  <si>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</si>
  <si>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</si>
  <si>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</si>
  <si>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</si>
  <si>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</si>
  <si>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</si>
  <si>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</si>
  <si>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</si>
  <si>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</si>
  <si>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</si>
  <si>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</si>
  <si>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</si>
  <si>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</si>
  <si>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</si>
  <si>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</si>
  <si>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</si>
  <si>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</si>
  <si>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</si>
  <si>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</si>
  <si>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</si>
  <si>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</si>
  <si>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</si>
  <si>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</si>
  <si>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</si>
  <si>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</si>
  <si>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</si>
  <si>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</si>
  <si>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</si>
  <si>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</si>
  <si>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</si>
  <si>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</si>
  <si>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</si>
  <si>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</si>
  <si>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</si>
  <si>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</si>
  <si>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</si>
  <si>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</si>
  <si>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</si>
  <si>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</si>
  <si>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</si>
  <si>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</si>
  <si>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</si>
  <si>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</si>
  <si>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</si>
  <si>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</si>
  <si>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</si>
  <si>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</si>
  <si>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</si>
  <si>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</si>
  <si>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</si>
  <si>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</si>
  <si>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</si>
  <si>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</si>
  <si>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</si>
  <si>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</si>
  <si>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</si>
  <si>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</si>
  <si>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</si>
  <si>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</si>
  <si>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</si>
  <si>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</si>
  <si>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</si>
  <si>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</si>
  <si>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</si>
  <si>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</si>
  <si>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</si>
  <si>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</si>
  <si>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</si>
  <si>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</si>
  <si>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</si>
  <si>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</si>
  <si>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</si>
  <si>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</si>
  <si>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</si>
  <si>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</si>
  <si>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</si>
  <si>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</si>
  <si>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</si>
  <si>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</si>
  <si>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</si>
  <si>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</si>
  <si>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</si>
  <si>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</si>
  <si>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</si>
  <si>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</si>
  <si>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</si>
  <si>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</si>
  <si>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</si>
  <si>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</si>
  <si>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</si>
  <si>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</si>
  <si>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</si>
  <si>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</si>
  <si>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</si>
  <si>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</si>
  <si>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</si>
  <si>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</si>
  <si>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</si>
  <si>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</si>
  <si>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</si>
  <si>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</si>
  <si>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</si>
  <si>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</si>
  <si>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</si>
  <si>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</si>
  <si>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</si>
  <si>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</si>
  <si>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</si>
  <si>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</si>
  <si>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</si>
  <si>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</si>
  <si>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</si>
  <si>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</si>
  <si>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</si>
  <si>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</si>
  <si>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</si>
  <si>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</si>
  <si>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</si>
  <si>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</si>
  <si>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</si>
  <si>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</si>
  <si>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</si>
  <si>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</si>
  <si>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</si>
  <si>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</si>
  <si>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</si>
  <si>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</si>
  <si>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</si>
  <si>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</si>
  <si>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</si>
  <si>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</si>
  <si>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</si>
  <si>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</si>
  <si>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</si>
  <si>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</si>
  <si>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</si>
  <si>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</si>
  <si>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</si>
  <si>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</si>
  <si>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</si>
  <si>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</si>
  <si>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</si>
  <si>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</si>
  <si>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</si>
  <si>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</si>
  <si>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</si>
  <si>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</si>
  <si>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</si>
  <si>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</si>
  <si>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</si>
  <si>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</si>
  <si>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</si>
  <si>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</si>
  <si>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</si>
  <si>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</si>
  <si>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</si>
  <si>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</si>
  <si>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</si>
  <si>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</si>
  <si>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</si>
  <si>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</si>
  <si>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</si>
  <si>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</si>
  <si>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</si>
  <si>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</si>
  <si>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</si>
  <si>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</si>
  <si>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</si>
  <si>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</si>
  <si>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</si>
  <si>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</si>
  <si>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</si>
  <si>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</si>
  <si>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</si>
  <si>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</si>
  <si>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</si>
  <si>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</si>
  <si>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</si>
  <si>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</si>
  <si>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</si>
  <si>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</si>
  <si>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</si>
  <si>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</si>
  <si>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</si>
  <si>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</si>
  <si>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</si>
  <si>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</si>
  <si>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</si>
  <si>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</si>
  <si>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</si>
  <si>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</si>
  <si>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</si>
  <si>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</si>
  <si>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</si>
  <si>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</si>
  <si>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</si>
  <si>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</si>
  <si>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</si>
  <si>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</si>
  <si>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</si>
  <si>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</si>
  <si>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</si>
  <si>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</si>
  <si>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</si>
  <si>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</si>
  <si>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</si>
  <si>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</si>
  <si>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</si>
  <si>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</si>
  <si>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</si>
  <si>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</si>
  <si>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</si>
  <si>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</si>
  <si>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</si>
  <si>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</si>
  <si>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</si>
  <si>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</si>
  <si>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</si>
  <si>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</si>
  <si>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</si>
  <si>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</si>
  <si>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</si>
  <si>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</si>
  <si>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</si>
  <si>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</si>
  <si>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</si>
  <si>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</si>
  <si>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</si>
  <si>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</si>
  <si>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</si>
  <si>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</si>
  <si>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</si>
  <si>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</si>
  <si>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</si>
  <si>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</si>
  <si>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</si>
  <si>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</si>
  <si>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</si>
  <si>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</si>
  <si>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</si>
  <si>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</si>
  <si>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</si>
  <si>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</si>
  <si>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</si>
  <si>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</si>
  <si>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</si>
  <si>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</si>
  <si>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</si>
  <si>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</si>
  <si>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</si>
  <si>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</si>
  <si>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</si>
  <si>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</si>
  <si>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</si>
  <si>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</si>
  <si>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</si>
  <si>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</si>
  <si>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</si>
  <si>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</si>
  <si>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</si>
  <si>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</si>
  <si>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</si>
  <si>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</si>
  <si>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</si>
  <si>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</si>
  <si>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</si>
  <si>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</si>
  <si>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</si>
  <si>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</si>
  <si>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</si>
  <si>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</si>
  <si>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</si>
  <si>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</si>
  <si>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</si>
  <si>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</si>
  <si>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</si>
  <si>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</si>
  <si>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</si>
  <si>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</si>
  <si>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</si>
  <si>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</si>
  <si>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</si>
  <si>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</si>
  <si>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</si>
  <si>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</si>
  <si>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</si>
  <si>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</si>
  <si>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</si>
  <si>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</si>
  <si>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</si>
  <si>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</si>
  <si>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</si>
  <si>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</si>
  <si>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</si>
  <si>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</si>
  <si>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</si>
  <si>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</si>
  <si>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</si>
  <si>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</si>
  <si>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</si>
  <si>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</si>
  <si>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</si>
  <si>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</si>
  <si>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</si>
  <si>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</si>
  <si>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</si>
  <si>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</si>
  <si>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</si>
  <si>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</si>
  <si>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</si>
  <si>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</si>
  <si>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</si>
  <si>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</si>
  <si>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</si>
  <si>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</si>
  <si>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</si>
  <si>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</si>
  <si>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</si>
  <si>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</si>
  <si>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</si>
  <si>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</si>
  <si>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</si>
  <si>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</si>
  <si>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</si>
  <si>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</si>
  <si>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</si>
  <si>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</si>
  <si>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</si>
  <si>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</si>
  <si>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</si>
  <si>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</si>
  <si>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</si>
  <si>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</si>
  <si>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</si>
  <si>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</si>
  <si>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</si>
  <si>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</si>
  <si>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</si>
  <si>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</si>
  <si>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</si>
  <si>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</si>
  <si>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</si>
  <si>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</si>
  <si>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</si>
  <si>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</si>
  <si>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</si>
  <si>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</si>
  <si>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</si>
  <si>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</si>
  <si>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</si>
  <si>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</si>
  <si>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</si>
  <si>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</si>
  <si>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</si>
  <si>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</si>
  <si>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</si>
  <si>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</si>
  <si>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</si>
  <si>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</si>
  <si>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</si>
  <si>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</si>
  <si>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</si>
  <si>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</si>
  <si>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</si>
  <si>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</si>
  <si>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</si>
  <si>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</si>
  <si>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</si>
  <si>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</si>
  <si>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</si>
  <si>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</si>
  <si>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</si>
  <si>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</si>
  <si>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</si>
  <si>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</si>
  <si>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</si>
  <si>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</si>
  <si>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</si>
  <si>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</si>
  <si>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</si>
  <si>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</si>
  <si>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</si>
  <si>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</si>
  <si>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</si>
  <si>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</si>
  <si>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</si>
  <si>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</si>
  <si>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</si>
  <si>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</si>
  <si>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</si>
  <si>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</si>
  <si>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</si>
  <si>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</si>
  <si>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</si>
  <si>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</si>
  <si>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</si>
  <si>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</si>
  <si>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</si>
  <si>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</si>
  <si>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</si>
  <si>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</si>
  <si>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</si>
  <si>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</si>
  <si>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</si>
  <si>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</si>
  <si>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</si>
  <si>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</si>
  <si>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</si>
  <si>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</si>
  <si>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</si>
  <si>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</si>
  <si>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</si>
  <si>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</si>
  <si>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</si>
  <si>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</si>
  <si>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</si>
  <si>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</si>
  <si>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</si>
  <si>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</si>
  <si>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</si>
  <si>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</si>
  <si>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</si>
  <si>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</si>
  <si>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</si>
  <si>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</si>
  <si>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</si>
  <si>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</si>
  <si>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</si>
  <si>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</si>
  <si>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</si>
  <si>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</si>
  <si>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</si>
  <si>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</si>
  <si>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</si>
  <si>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</si>
  <si>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</si>
  <si>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</si>
  <si>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</si>
  <si>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</si>
  <si>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</si>
  <si>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</si>
  <si>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</si>
  <si>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</si>
  <si>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</si>
  <si>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</si>
  <si>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</si>
  <si>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</si>
  <si>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</si>
  <si>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</si>
  <si>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</si>
  <si>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</si>
  <si>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</si>
  <si>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</si>
  <si>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</si>
  <si>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</si>
  <si>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</si>
  <si>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</si>
  <si>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</si>
  <si>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</si>
  <si>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</si>
  <si>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</si>
  <si>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</si>
  <si>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</si>
  <si>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</si>
  <si>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</si>
  <si>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</si>
  <si>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</si>
  <si>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</si>
  <si>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</si>
  <si>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</si>
  <si>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</si>
  <si>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</si>
  <si>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</si>
  <si>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</si>
  <si>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</si>
  <si>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</si>
  <si>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</si>
  <si>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</si>
  <si>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</si>
  <si>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</si>
  <si>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</si>
  <si>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</si>
  <si>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</si>
  <si>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</si>
  <si>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</si>
  <si>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</si>
  <si>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</si>
  <si>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</si>
  <si>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</si>
  <si>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</si>
  <si>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</si>
  <si>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</si>
  <si>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</si>
  <si>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</si>
  <si>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</si>
  <si>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</si>
  <si>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</si>
  <si>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</si>
  <si>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</si>
  <si>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</si>
  <si>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</si>
  <si>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</si>
  <si>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</si>
  <si>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</si>
  <si>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</si>
  <si>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</si>
  <si>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</si>
  <si>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</si>
  <si>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</si>
  <si>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</si>
  <si>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</si>
  <si>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</si>
  <si>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</si>
  <si>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</si>
  <si>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</si>
  <si>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</si>
  <si>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</si>
  <si>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</si>
  <si>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</si>
  <si>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</si>
  <si>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</si>
  <si>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</si>
  <si>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</si>
  <si>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</si>
  <si>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</si>
  <si>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</si>
  <si>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</si>
  <si>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</si>
  <si>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</si>
  <si>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</si>
  <si>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</si>
  <si>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</si>
  <si>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</si>
  <si>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</si>
  <si>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</si>
  <si>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</si>
  <si>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</si>
  <si>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</si>
  <si>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</si>
  <si>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</si>
  <si>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</si>
  <si>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</si>
  <si>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</si>
  <si>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</si>
  <si>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</si>
  <si>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</si>
  <si>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</si>
  <si>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</si>
  <si>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</si>
  <si>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</si>
  <si>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</si>
  <si>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</si>
  <si>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</si>
  <si>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</si>
  <si>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</si>
  <si>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</si>
  <si>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</si>
  <si>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</si>
  <si>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</si>
  <si>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</si>
  <si>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</si>
  <si>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</si>
  <si>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</si>
  <si>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</si>
  <si>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</si>
  <si>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</si>
  <si>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</si>
  <si>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</si>
  <si>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</si>
  <si>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</si>
  <si>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</si>
  <si>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</si>
  <si>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</si>
  <si>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</si>
  <si>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</si>
  <si>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</si>
  <si>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</si>
  <si>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</si>
  <si>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</si>
  <si>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</si>
  <si>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</si>
  <si>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</si>
  <si>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</si>
  <si>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</si>
  <si>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</si>
  <si>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</si>
  <si>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</si>
  <si>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</si>
  <si>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</si>
  <si>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</si>
  <si>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</si>
  <si>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</si>
  <si>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</si>
  <si>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</si>
  <si>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</si>
  <si>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</si>
  <si>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</si>
  <si>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</si>
  <si>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</si>
  <si>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</si>
  <si>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</si>
  <si>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</si>
  <si>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</si>
  <si>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</si>
  <si>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</si>
  <si>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</si>
  <si>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</si>
  <si>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</si>
  <si>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</si>
  <si>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</si>
  <si>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</si>
  <si>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</si>
  <si>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</si>
  <si>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</si>
  <si>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</si>
  <si>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</si>
  <si>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</si>
  <si>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</si>
  <si>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</si>
  <si>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</si>
  <si>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</si>
  <si>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</si>
  <si>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</si>
  <si>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</si>
  <si>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</si>
  <si>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</si>
  <si>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</si>
  <si>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</si>
  <si>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</si>
  <si>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</si>
  <si>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</si>
  <si>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</si>
  <si>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</si>
  <si>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</si>
  <si>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</si>
  <si>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</si>
  <si>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</si>
  <si>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</si>
  <si>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</si>
  <si>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</si>
  <si>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</si>
  <si>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</si>
  <si>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</si>
  <si>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</si>
  <si>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</si>
  <si>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</si>
  <si>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</si>
  <si>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</si>
  <si>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</si>
  <si>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</si>
  <si>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</si>
  <si>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</si>
  <si>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</si>
  <si>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</si>
  <si>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</si>
  <si>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</si>
  <si>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</si>
  <si>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</si>
  <si>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</si>
  <si>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</si>
  <si>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</si>
  <si>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</si>
  <si>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</si>
  <si>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</si>
  <si>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</si>
  <si>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</si>
  <si>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</si>
  <si>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</si>
  <si>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</si>
  <si>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</si>
  <si>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</si>
  <si>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</si>
  <si>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</si>
  <si>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</si>
  <si>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</si>
  <si>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</si>
  <si>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</si>
  <si>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</si>
  <si>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</si>
  <si>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</si>
  <si>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</si>
  <si>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</si>
  <si>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</si>
  <si>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</si>
  <si>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</si>
  <si>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</si>
  <si>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</si>
  <si>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</si>
  <si>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</si>
  <si>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</si>
  <si>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</si>
  <si>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</si>
  <si>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</si>
  <si>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</si>
  <si>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</si>
  <si>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</si>
  <si>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</si>
  <si>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</si>
  <si>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</si>
  <si>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</si>
  <si>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</si>
  <si>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</si>
  <si>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</si>
  <si>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</si>
  <si>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</si>
  <si>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</si>
  <si>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</si>
  <si>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</si>
  <si>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</si>
  <si>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</si>
  <si>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</si>
  <si>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</si>
  <si>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</si>
  <si>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</si>
  <si>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</si>
  <si>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</si>
  <si>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</si>
  <si>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</si>
  <si>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</si>
  <si>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</si>
  <si>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</si>
  <si>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</si>
  <si>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</si>
  <si>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</si>
  <si>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</si>
  <si>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</si>
  <si>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</si>
  <si>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</si>
  <si>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</si>
  <si>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</si>
  <si>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</si>
  <si>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</si>
  <si>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</si>
  <si>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</si>
  <si>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</si>
  <si>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</si>
  <si>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</si>
  <si>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</si>
  <si>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</si>
  <si>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</si>
  <si>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</si>
  <si>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</si>
  <si>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</si>
  <si>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</si>
  <si>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</si>
  <si>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</si>
  <si>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</si>
  <si>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</si>
  <si>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</si>
  <si>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</si>
  <si>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</si>
  <si>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</si>
  <si>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</si>
  <si>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</si>
  <si>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</si>
  <si>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</si>
  <si>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</si>
  <si>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</si>
  <si>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</si>
  <si>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</si>
  <si>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</si>
  <si>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</si>
  <si>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</si>
  <si>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</si>
  <si>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</si>
  <si>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</si>
  <si>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</si>
  <si>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</si>
  <si>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</si>
  <si>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</si>
  <si>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</si>
  <si>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</si>
  <si>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</si>
  <si>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</si>
  <si>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</si>
  <si>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</si>
  <si>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</si>
  <si>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</si>
  <si>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</si>
  <si>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</si>
  <si>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</si>
  <si>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</si>
  <si>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</si>
  <si>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</si>
  <si>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</si>
  <si>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</si>
  <si>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</si>
  <si>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</si>
  <si>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</si>
  <si>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</si>
  <si>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</si>
  <si>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</si>
  <si>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</si>
  <si>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</si>
  <si>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</si>
  <si>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</si>
  <si>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</si>
  <si>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</si>
  <si>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</si>
  <si>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</si>
  <si>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</si>
  <si>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</si>
  <si>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</si>
  <si>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</si>
  <si>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</si>
  <si>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</si>
  <si>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</si>
  <si>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</si>
  <si>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</si>
  <si>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</si>
  <si>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</si>
  <si>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</si>
  <si>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</si>
  <si>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</si>
  <si>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</si>
  <si>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</si>
  <si>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</si>
  <si>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</si>
  <si>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</si>
  <si>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</si>
  <si>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</si>
  <si>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</si>
  <si>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</si>
  <si>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</si>
  <si>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</si>
  <si>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</si>
  <si>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</si>
  <si>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</si>
  <si>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</si>
  <si>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</si>
  <si>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</si>
  <si>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</si>
  <si>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</si>
  <si>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</si>
  <si>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</si>
  <si>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</si>
  <si>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</si>
  <si>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</si>
  <si>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</si>
  <si>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</si>
  <si>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</si>
  <si>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</si>
  <si>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</si>
  <si>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</si>
  <si>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</si>
  <si>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</si>
  <si>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</si>
  <si>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</si>
  <si>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</si>
  <si>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</si>
  <si>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</si>
  <si>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</si>
  <si>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</si>
  <si>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</si>
  <si>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</si>
  <si>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</si>
  <si>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</si>
  <si>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</si>
  <si>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</si>
  <si>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</si>
  <si>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</si>
  <si>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</si>
  <si>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</si>
  <si>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</si>
  <si>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</si>
  <si>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</si>
  <si>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</si>
  <si>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</si>
  <si>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</si>
  <si>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</si>
  <si>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</si>
  <si>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</si>
  <si>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</si>
  <si>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</si>
  <si>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</si>
  <si>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</si>
  <si>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</si>
  <si>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</si>
  <si>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</si>
  <si>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</si>
  <si>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</si>
  <si>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</si>
  <si>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</si>
  <si>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</si>
  <si>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</si>
  <si>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</si>
  <si>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</si>
  <si>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</si>
  <si>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</si>
  <si>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</si>
  <si>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</si>
  <si>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</si>
  <si>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</si>
  <si>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</si>
  <si>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</si>
  <si>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</si>
  <si>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</si>
  <si>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</si>
  <si>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</si>
  <si>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</si>
  <si>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</si>
  <si>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</si>
  <si>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</si>
  <si>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</si>
  <si>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</si>
  <si>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</si>
  <si>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</si>
  <si>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</si>
  <si>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</si>
  <si>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</si>
  <si>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</si>
  <si>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</si>
  <si>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</si>
  <si>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</si>
  <si>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</si>
  <si>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</si>
  <si>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</si>
  <si>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</si>
  <si>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</si>
  <si>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</si>
  <si>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</si>
  <si>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</si>
  <si>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</si>
  <si>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</si>
  <si>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</si>
  <si>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</si>
  <si>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</si>
  <si>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</si>
  <si>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</si>
  <si>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</si>
  <si>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</si>
  <si>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</si>
  <si>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</si>
  <si>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</si>
  <si>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</si>
  <si>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</si>
  <si>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</si>
  <si>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</si>
  <si>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</si>
  <si>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</si>
  <si>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</si>
  <si>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</si>
  <si>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</si>
  <si>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</si>
  <si>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</si>
  <si>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</si>
  <si>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</si>
  <si>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</si>
  <si>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</si>
  <si>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</si>
  <si>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</si>
  <si>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</si>
  <si>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</si>
  <si>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</si>
  <si>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</si>
  <si>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</si>
  <si>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</si>
  <si>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</si>
  <si>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</si>
  <si>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</si>
  <si>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</si>
  <si>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</si>
  <si>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</si>
  <si>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</si>
  <si>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</si>
  <si>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</si>
  <si>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</si>
  <si>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</si>
  <si>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</si>
  <si>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</si>
  <si>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</si>
  <si>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</si>
  <si>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</si>
  <si>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</si>
  <si>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</si>
  <si>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</si>
  <si>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</si>
  <si>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</si>
  <si>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</si>
  <si>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</si>
  <si>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</si>
  <si>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</si>
  <si>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</si>
  <si>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</si>
  <si>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</si>
  <si>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</si>
  <si>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</si>
  <si>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</si>
  <si>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</si>
  <si>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</si>
  <si>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</si>
  <si>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</si>
  <si>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</si>
  <si>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</si>
  <si>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</si>
  <si>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</si>
  <si>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</si>
  <si>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</si>
  <si>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</si>
  <si>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</si>
  <si>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</si>
  <si>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</si>
  <si>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</si>
  <si>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</si>
  <si>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</si>
  <si>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</si>
  <si>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</si>
  <si>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</si>
  <si>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</si>
  <si>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</si>
  <si>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</si>
  <si>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</si>
  <si>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</si>
  <si>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</si>
  <si>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</si>
  <si>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</si>
  <si>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</si>
  <si>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</si>
  <si>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</si>
  <si>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</si>
  <si>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</si>
  <si>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</si>
  <si>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</si>
  <si>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</si>
  <si>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</si>
  <si>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</si>
  <si>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</si>
  <si>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</si>
  <si>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</si>
  <si>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</si>
  <si>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</si>
  <si>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</si>
  <si>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</si>
  <si>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</si>
  <si>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</si>
  <si>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</si>
  <si>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</si>
  <si>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</si>
  <si>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</si>
  <si>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</si>
  <si>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</si>
  <si>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</si>
  <si>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</si>
  <si>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</si>
  <si>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</si>
  <si>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</si>
  <si>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</si>
  <si>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</si>
  <si>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</si>
  <si>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</si>
  <si>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</si>
  <si>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</si>
  <si>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</si>
  <si>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</si>
  <si>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</si>
  <si>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</si>
  <si>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</si>
  <si>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</si>
  <si>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</si>
  <si>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</si>
  <si>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</si>
  <si>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</si>
  <si>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</si>
  <si>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</si>
  <si>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</si>
  <si>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</si>
  <si>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</si>
  <si>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</si>
  <si>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</si>
  <si>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</si>
  <si>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</si>
  <si>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</si>
  <si>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</si>
  <si>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</si>
  <si>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</si>
  <si>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</si>
  <si>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</si>
  <si>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</si>
  <si>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</si>
  <si>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</si>
  <si>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</si>
  <si>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</si>
  <si>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</si>
  <si>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</si>
  <si>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</si>
  <si>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</si>
  <si>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</si>
  <si>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</si>
  <si>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</si>
  <si>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</si>
  <si>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</si>
  <si>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</si>
  <si>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</si>
  <si>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</si>
  <si>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</si>
  <si>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</si>
  <si>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</si>
  <si>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</si>
  <si>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</si>
  <si>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</si>
  <si>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</si>
  <si>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</si>
  <si>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</si>
  <si>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</si>
  <si>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</si>
  <si>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</si>
  <si>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</si>
  <si>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</si>
  <si>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</si>
  <si>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</si>
  <si>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</si>
  <si>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</si>
  <si>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</si>
  <si>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</si>
  <si>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</si>
  <si>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</si>
  <si>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</si>
  <si>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</si>
  <si>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</si>
  <si>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</si>
  <si>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</si>
  <si>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</si>
  <si>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</si>
  <si>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</si>
  <si>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</si>
  <si>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</si>
  <si>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</si>
  <si>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</si>
  <si>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</si>
  <si>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</si>
  <si>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</si>
  <si>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</si>
  <si>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</si>
  <si>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</si>
  <si>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</si>
  <si>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</si>
  <si>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</si>
  <si>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</si>
  <si>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</si>
  <si>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</si>
  <si>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</si>
  <si>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</si>
  <si>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</si>
  <si>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</si>
  <si>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</si>
  <si>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</si>
  <si>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</si>
  <si>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</si>
  <si>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</si>
  <si>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</si>
  <si>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</si>
  <si>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</si>
  <si>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</si>
  <si>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</si>
  <si>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</si>
  <si>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</si>
  <si>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</si>
  <si>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</si>
  <si>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</si>
  <si>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</si>
  <si>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</si>
  <si>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</si>
  <si>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</si>
  <si>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</si>
  <si>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</si>
  <si>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</si>
  <si>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</si>
  <si>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</si>
  <si>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</si>
  <si>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</si>
  <si>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</si>
  <si>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</si>
  <si>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</si>
  <si>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</si>
  <si>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</si>
  <si>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</si>
  <si>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</si>
  <si>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</si>
  <si>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</si>
  <si>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</si>
  <si>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</si>
  <si>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</si>
  <si>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</si>
  <si>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</si>
  <si>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</si>
  <si>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</si>
  <si>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</si>
  <si>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</si>
  <si>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</si>
  <si>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</si>
  <si>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</si>
  <si>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</si>
  <si>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</si>
  <si>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</si>
  <si>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</si>
  <si>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</si>
  <si>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</si>
  <si>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</si>
  <si>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</si>
  <si>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</si>
  <si>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</si>
  <si>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</si>
  <si>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</si>
  <si>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</si>
  <si>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</si>
  <si>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</si>
  <si>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</si>
  <si>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</si>
  <si>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</si>
  <si>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</si>
  <si>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</si>
  <si>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</si>
  <si>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</si>
  <si>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</si>
  <si>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</si>
  <si>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</si>
  <si>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</si>
  <si>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</si>
  <si>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</si>
  <si>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</si>
  <si>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</si>
  <si>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</si>
  <si>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</si>
  <si>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</si>
  <si>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</si>
  <si>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</si>
  <si>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</si>
  <si>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</si>
  <si>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</si>
  <si>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</si>
  <si>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</si>
  <si>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</si>
  <si>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</si>
  <si>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</si>
  <si>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</si>
  <si>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</si>
  <si>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</si>
  <si>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</si>
  <si>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</si>
  <si>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</si>
  <si>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</si>
  <si>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</si>
  <si>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</si>
  <si>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</si>
  <si>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</si>
  <si>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</si>
  <si>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</si>
  <si>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</si>
  <si>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</si>
  <si>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</si>
  <si>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</si>
  <si>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</si>
  <si>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</si>
  <si>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</si>
  <si>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</si>
  <si>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</si>
  <si>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</si>
  <si>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</si>
  <si>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</si>
  <si>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</si>
  <si>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</si>
  <si>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</si>
  <si>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</si>
  <si>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</si>
  <si>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</si>
  <si>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</si>
  <si>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</si>
  <si>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</si>
  <si>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</si>
  <si>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</si>
  <si>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</si>
  <si>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</si>
  <si>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</si>
  <si>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</si>
  <si>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</si>
  <si>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</si>
  <si>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</si>
  <si>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</si>
  <si>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</si>
  <si>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</si>
  <si>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</si>
  <si>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</si>
  <si>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</si>
  <si>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</si>
  <si>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</si>
  <si>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</si>
  <si>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</si>
  <si>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</si>
  <si>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</si>
  <si>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</si>
  <si>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</si>
  <si>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</si>
  <si>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</si>
  <si>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</si>
  <si>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</si>
  <si>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</si>
  <si>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</si>
  <si>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</si>
  <si>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</si>
  <si>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</si>
  <si>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</si>
  <si>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</si>
  <si>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</si>
  <si>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</si>
  <si>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</si>
  <si>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</si>
  <si>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</si>
  <si>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</si>
  <si>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</si>
  <si>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</si>
  <si>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</si>
  <si>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</si>
  <si>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</si>
  <si>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</si>
  <si>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</si>
  <si>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</si>
  <si>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</si>
  <si>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</si>
  <si>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</si>
  <si>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</si>
  <si>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</si>
  <si>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</si>
  <si>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</si>
  <si>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</si>
  <si>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</si>
  <si>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</si>
  <si>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</si>
  <si>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</si>
  <si>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</si>
  <si>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</si>
  <si>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</si>
  <si>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</si>
  <si>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</si>
  <si>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</si>
  <si>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</si>
  <si>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</si>
  <si>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</si>
  <si>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</si>
  <si>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</si>
  <si>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</si>
  <si>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</si>
  <si>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</si>
  <si>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</si>
  <si>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</si>
  <si>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</si>
  <si>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</si>
  <si>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</si>
  <si>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</si>
  <si>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</si>
  <si>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</si>
  <si>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</si>
  <si>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</si>
  <si>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</si>
  <si>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</si>
  <si>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</si>
  <si>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</si>
  <si>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</si>
  <si>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</si>
  <si>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</si>
  <si>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</si>
  <si>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</si>
  <si>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</si>
  <si>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</si>
  <si>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</si>
  <si>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</si>
  <si>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</si>
  <si>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</si>
  <si>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</si>
  <si>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</si>
  <si>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</si>
  <si>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</si>
  <si>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</si>
  <si>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</si>
  <si>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</si>
  <si>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</si>
  <si>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</si>
  <si>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</si>
  <si>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</si>
  <si>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</si>
  <si>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</si>
  <si>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</si>
  <si>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</si>
  <si>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</si>
  <si>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</si>
  <si>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</si>
  <si>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</si>
  <si>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</si>
  <si>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</si>
  <si>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</si>
  <si>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</si>
  <si>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</si>
  <si>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</si>
  <si>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</si>
  <si>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</si>
  <si>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</si>
  <si>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</si>
  <si>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</si>
  <si>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</si>
  <si>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</si>
  <si>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</si>
  <si>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</si>
  <si>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</si>
  <si>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</si>
  <si>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</si>
  <si>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</si>
  <si>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</si>
  <si>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</si>
  <si>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</si>
  <si>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</si>
  <si>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</si>
  <si>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</si>
  <si>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</si>
  <si>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</si>
  <si>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</si>
  <si>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</si>
  <si>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</si>
  <si>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</si>
  <si>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</si>
  <si>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</si>
  <si>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</si>
  <si>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</si>
  <si>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</si>
  <si>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</si>
  <si>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</si>
  <si>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</si>
  <si>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</si>
  <si>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</si>
  <si>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</si>
  <si>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</si>
  <si>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</si>
  <si>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</si>
  <si>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</si>
  <si>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</si>
  <si>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</si>
  <si>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</si>
  <si>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</si>
  <si>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</si>
  <si>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</si>
  <si>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</si>
  <si>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</si>
  <si>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</si>
  <si>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</si>
  <si>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</si>
  <si>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</si>
  <si>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</si>
  <si>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</si>
  <si>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</si>
  <si>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</si>
  <si>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</si>
  <si>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</si>
  <si>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</si>
  <si>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</si>
  <si>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</si>
  <si>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</si>
  <si>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</si>
  <si>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</si>
  <si>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</si>
  <si>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</si>
  <si>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</si>
  <si>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</si>
  <si>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</si>
  <si>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</si>
  <si>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</si>
  <si>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</si>
  <si>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</si>
  <si>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</si>
  <si>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</si>
  <si>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</si>
  <si>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</si>
  <si>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</si>
  <si>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</si>
  <si>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</si>
  <si>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</si>
  <si>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</si>
  <si>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</si>
  <si>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</si>
  <si>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</si>
  <si>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</si>
  <si>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</si>
  <si>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</si>
  <si>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</si>
  <si>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</si>
  <si>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</si>
  <si>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</si>
  <si>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</si>
  <si>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</si>
  <si>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</si>
  <si>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</si>
  <si>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</si>
  <si>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</si>
  <si>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</si>
  <si>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</si>
  <si>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</si>
  <si>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</si>
  <si>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</si>
  <si>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</si>
  <si>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</si>
  <si>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</si>
  <si>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</si>
  <si>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</si>
  <si>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</si>
  <si>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</si>
  <si>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</si>
  <si>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</si>
  <si>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</si>
  <si>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</si>
  <si>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</si>
  <si>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</si>
  <si>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</si>
  <si>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</si>
  <si>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</si>
  <si>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</si>
  <si>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</si>
  <si>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</si>
  <si>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</si>
  <si>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</si>
  <si>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</si>
  <si>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</si>
  <si>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</si>
  <si>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</si>
  <si>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</si>
  <si>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</si>
  <si>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</si>
  <si>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</si>
  <si>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</si>
  <si>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</si>
  <si>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</si>
  <si>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</si>
  <si>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</si>
  <si>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</si>
  <si>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</si>
  <si>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</si>
  <si>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</si>
  <si>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</si>
  <si>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</si>
  <si>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</si>
  <si>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</si>
  <si>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</si>
  <si>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</si>
  <si>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</si>
  <si>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</si>
  <si>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</si>
  <si>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</si>
  <si>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</si>
  <si>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</si>
  <si>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</si>
  <si>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</si>
  <si>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</si>
  <si>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</si>
  <si>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</si>
  <si>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</si>
  <si>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</si>
  <si>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</si>
  <si>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</si>
  <si>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</si>
  <si>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</si>
  <si>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</si>
  <si>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</si>
  <si>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</si>
  <si>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</si>
  <si>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</si>
  <si>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</si>
  <si>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</si>
  <si>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</si>
  <si>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</si>
  <si>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</si>
  <si>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</si>
  <si>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</si>
  <si>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</si>
  <si>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</si>
  <si>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</si>
  <si>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</si>
  <si>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</si>
  <si>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</si>
  <si>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</si>
  <si>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</si>
  <si>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</si>
  <si>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</si>
  <si>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</si>
  <si>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</si>
  <si>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</si>
  <si>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</si>
  <si>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</si>
  <si>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</si>
  <si>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</si>
  <si>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</si>
  <si>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</si>
  <si>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</si>
  <si>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</si>
  <si>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</si>
  <si>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</si>
  <si>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</si>
  <si>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</si>
  <si>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</si>
  <si>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</si>
  <si>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</si>
  <si>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</si>
  <si>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</si>
  <si>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</si>
  <si>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</si>
  <si>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</si>
  <si>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</si>
  <si>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</si>
  <si>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</si>
  <si>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</si>
  <si>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</si>
  <si>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</si>
  <si>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</si>
  <si>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</si>
  <si>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</si>
  <si>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</si>
  <si>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</si>
  <si>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</si>
  <si>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</si>
  <si>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</si>
  <si>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</si>
  <si>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</si>
  <si>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</si>
  <si>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</si>
  <si>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</si>
  <si>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</si>
  <si>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</si>
  <si>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</si>
  <si>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</si>
  <si>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</si>
  <si>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</si>
  <si>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</si>
  <si>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</si>
  <si>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</si>
  <si>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</si>
  <si>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</si>
  <si>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</si>
  <si>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</si>
  <si>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</si>
  <si>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</si>
  <si>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</si>
  <si>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</si>
  <si>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</si>
  <si>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</si>
  <si>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</si>
  <si>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</si>
  <si>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</si>
  <si>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</si>
  <si>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</si>
  <si>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</si>
  <si>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</si>
  <si>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</si>
  <si>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</si>
  <si>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</si>
  <si>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</si>
  <si>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</si>
  <si>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</si>
  <si>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</si>
  <si>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</si>
  <si>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</si>
  <si>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</si>
  <si>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</si>
  <si>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</si>
  <si>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</si>
  <si>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</si>
  <si>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</si>
  <si>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</si>
  <si>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</si>
  <si>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</si>
  <si>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</si>
  <si>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</si>
  <si>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</si>
  <si>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</si>
  <si>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</si>
  <si>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</si>
  <si>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</si>
  <si>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</si>
  <si>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</si>
  <si>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</si>
  <si>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</si>
  <si>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</si>
  <si>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</si>
  <si>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</si>
  <si>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</si>
  <si>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</si>
  <si>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</si>
  <si>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</si>
  <si>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</si>
  <si>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</si>
  <si>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</si>
  <si>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</si>
  <si>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</si>
  <si>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</si>
  <si>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</si>
  <si>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</si>
  <si>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</si>
  <si>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</si>
  <si>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</si>
  <si>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</si>
  <si>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</si>
  <si>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</si>
  <si>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</si>
  <si>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</si>
  <si>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</si>
  <si>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</si>
  <si>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</si>
  <si>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</si>
  <si>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</si>
  <si>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</si>
  <si>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</si>
  <si>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</si>
  <si>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</si>
  <si>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</si>
  <si>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</si>
  <si>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</si>
  <si>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</si>
  <si>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</si>
  <si>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</si>
  <si>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</si>
  <si>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</si>
  <si>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</si>
  <si>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</si>
  <si>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</si>
  <si>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</si>
  <si>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</si>
  <si>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</si>
  <si>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</si>
  <si>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</si>
  <si>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</si>
  <si>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</si>
  <si>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</si>
  <si>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</si>
  <si>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</si>
  <si>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</si>
  <si>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</si>
  <si>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</si>
  <si>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</si>
  <si>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</si>
  <si>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</si>
  <si>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</si>
  <si>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</si>
  <si>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</si>
  <si>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</si>
  <si>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</si>
  <si>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</si>
  <si>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</si>
  <si>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</si>
  <si>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</si>
  <si>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</si>
  <si>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</si>
  <si>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</si>
  <si>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</si>
  <si>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</si>
  <si>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</si>
  <si>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</si>
  <si>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</si>
  <si>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</si>
  <si>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</si>
  <si>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</si>
  <si>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</si>
  <si>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</si>
  <si>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</si>
  <si>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</si>
  <si>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</si>
  <si>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</si>
  <si>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</si>
  <si>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</si>
  <si>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</si>
  <si>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</si>
  <si>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</si>
  <si>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</si>
  <si>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</si>
  <si>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</si>
  <si>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</si>
  <si>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</si>
  <si>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</si>
  <si>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</si>
  <si>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</si>
  <si>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</si>
  <si>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</si>
  <si>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</si>
  <si>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</si>
  <si>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</si>
  <si>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</si>
  <si>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</si>
  <si>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</si>
  <si>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</si>
  <si>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</si>
  <si>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</si>
  <si>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</si>
  <si>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</si>
  <si>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</si>
  <si>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</si>
  <si>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</si>
  <si>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</si>
  <si>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</si>
  <si>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</si>
  <si>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</si>
  <si>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</si>
  <si>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</si>
  <si>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</si>
  <si>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</si>
  <si>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</si>
  <si>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</si>
  <si>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</si>
  <si>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</si>
  <si>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</si>
  <si>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</si>
  <si>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</si>
  <si>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</si>
  <si>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</si>
  <si>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</si>
  <si>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</si>
  <si>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</si>
  <si>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</si>
  <si>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</si>
  <si>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</si>
  <si>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</si>
  <si>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</si>
  <si>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</si>
  <si>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</si>
  <si>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</si>
  <si>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</si>
  <si>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</si>
  <si>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</si>
  <si>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</si>
  <si>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</si>
  <si>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</si>
  <si>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</si>
  <si>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</si>
  <si>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</si>
  <si>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</si>
  <si>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</si>
  <si>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</si>
  <si>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</si>
  <si>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</si>
  <si>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</si>
  <si>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</si>
  <si>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</si>
  <si>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</si>
  <si>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</si>
  <si>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</si>
  <si>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</si>
  <si>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</si>
  <si>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</si>
  <si>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</si>
  <si>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</si>
  <si>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</si>
  <si>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</si>
  <si>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</si>
  <si>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</si>
  <si>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</si>
  <si>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</si>
  <si>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</si>
  <si>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</si>
  <si>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</si>
  <si>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</si>
  <si>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</si>
  <si>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</si>
  <si>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</si>
  <si>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</si>
  <si>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</si>
  <si>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</si>
  <si>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</si>
  <si>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</si>
  <si>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</si>
  <si>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</si>
  <si>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</si>
  <si>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</si>
  <si>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</si>
  <si>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</si>
  <si>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</si>
  <si>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</si>
  <si>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</si>
  <si>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</si>
  <si>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</si>
  <si>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</si>
  <si>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</si>
  <si>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</si>
  <si>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</si>
  <si>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</si>
  <si>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</si>
  <si>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</si>
  <si>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</si>
  <si>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</si>
  <si>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</si>
  <si>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</si>
  <si>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</si>
  <si>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</si>
  <si>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</si>
  <si>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</si>
  <si>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</si>
  <si>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</si>
  <si>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</si>
  <si>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</si>
  <si>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</si>
  <si>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</si>
  <si>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</si>
  <si>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</si>
  <si>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</si>
  <si>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</si>
  <si>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</si>
  <si>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</si>
  <si>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</si>
  <si>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</si>
  <si>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</si>
  <si>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</si>
  <si>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</si>
  <si>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</si>
  <si>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</si>
  <si>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</si>
  <si>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</si>
  <si>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</si>
  <si>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</si>
  <si>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</si>
  <si>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</si>
  <si>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</si>
  <si>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</si>
  <si>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</si>
  <si>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</si>
  <si>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</si>
  <si>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</si>
  <si>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</si>
  <si>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</si>
  <si>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</si>
  <si>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</si>
  <si>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</si>
  <si>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</si>
  <si>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</si>
  <si>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</si>
  <si>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</si>
  <si>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</si>
  <si>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</si>
  <si>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</si>
  <si>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</si>
  <si>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</si>
  <si>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</si>
  <si>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</si>
  <si>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</si>
  <si>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</si>
  <si>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</si>
  <si>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</si>
  <si>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</si>
  <si>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</si>
  <si>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</si>
  <si>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</si>
  <si>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</si>
  <si>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</si>
  <si>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</si>
  <si>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</si>
  <si>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</si>
  <si>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</si>
  <si>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</si>
  <si>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</si>
  <si>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</si>
  <si>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</si>
  <si>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</si>
  <si>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</si>
  <si>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</si>
  <si>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</si>
  <si>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</si>
  <si>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</si>
  <si>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</si>
  <si>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</si>
  <si>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</si>
  <si>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</si>
  <si>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</si>
  <si>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</si>
  <si>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</si>
  <si>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</si>
  <si>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</si>
  <si>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</si>
  <si>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</si>
  <si>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</si>
  <si>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</si>
  <si>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</si>
  <si>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</si>
  <si>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</si>
  <si>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</si>
  <si>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</si>
  <si>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</si>
  <si>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</si>
  <si>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</si>
  <si>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</si>
  <si>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</si>
  <si>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</si>
  <si>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</si>
  <si>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</si>
  <si>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</si>
  <si>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</si>
  <si>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</si>
  <si>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</si>
  <si>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</si>
  <si>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</si>
  <si>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</si>
  <si>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</si>
  <si>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</si>
  <si>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</si>
  <si>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</si>
  <si>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</si>
  <si>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</si>
  <si>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</si>
  <si>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</si>
  <si>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</si>
  <si>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</si>
  <si>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</si>
  <si>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</si>
  <si>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</si>
  <si>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</si>
  <si>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</si>
  <si>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</si>
  <si>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</si>
  <si>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</si>
  <si>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</si>
  <si>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</si>
  <si>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</si>
  <si>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</si>
  <si>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</si>
  <si>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</si>
  <si>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</si>
  <si>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</si>
  <si>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</si>
  <si>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</si>
  <si>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</si>
  <si>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</si>
  <si>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</si>
  <si>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</si>
  <si>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</si>
  <si>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</si>
  <si>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</si>
  <si>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</si>
  <si>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</si>
  <si>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</si>
  <si>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</si>
  <si>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</si>
  <si>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</si>
  <si>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</si>
  <si>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</si>
  <si>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</si>
  <si>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</si>
  <si>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</si>
  <si>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</si>
  <si>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</si>
  <si>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</si>
  <si>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</si>
  <si>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</si>
  <si>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</si>
  <si>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</si>
  <si>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</si>
  <si>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</si>
  <si>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</si>
  <si>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</si>
  <si>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</si>
  <si>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</si>
  <si>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</si>
  <si>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</si>
  <si>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</si>
  <si>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</si>
  <si>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</si>
  <si>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</si>
  <si>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</si>
  <si>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</si>
  <si>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</si>
  <si>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</si>
  <si>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</si>
  <si>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</si>
  <si>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</si>
  <si>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</si>
  <si>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</si>
  <si>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</si>
  <si>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</si>
  <si>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</si>
  <si>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</si>
  <si>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</si>
  <si>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</si>
  <si>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</si>
  <si>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</si>
  <si>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</si>
  <si>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</si>
  <si>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</si>
  <si>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</si>
  <si>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</si>
  <si>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</si>
  <si>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</si>
  <si>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</si>
  <si>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</si>
  <si>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</si>
  <si>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</si>
  <si>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</si>
  <si>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</si>
  <si>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</si>
  <si>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</si>
  <si>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</si>
  <si>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</si>
  <si>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</si>
  <si>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</si>
  <si>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</si>
  <si>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</si>
  <si>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</si>
  <si>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</si>
  <si>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</si>
  <si>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</si>
  <si>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</si>
  <si>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</si>
  <si>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</si>
  <si>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</si>
  <si>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</si>
  <si>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</si>
  <si>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</si>
  <si>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</si>
  <si>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</si>
  <si>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</si>
  <si>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</si>
  <si>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</si>
  <si>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</si>
  <si>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</si>
  <si>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</si>
  <si>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</si>
  <si>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</si>
  <si>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</si>
  <si>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</si>
  <si>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</si>
  <si>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</si>
  <si>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</si>
  <si>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</si>
  <si>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</si>
  <si>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</si>
  <si>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</si>
  <si>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</si>
  <si>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</si>
  <si>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</si>
  <si>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</si>
  <si>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</si>
  <si>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</si>
  <si>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</si>
  <si>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</si>
  <si>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</si>
  <si>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</si>
  <si>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</si>
  <si>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</si>
  <si>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</si>
  <si>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</si>
  <si>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</si>
  <si>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</si>
  <si>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</si>
  <si>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</si>
  <si>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</si>
  <si>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</si>
  <si>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</si>
  <si>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</si>
  <si>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</si>
  <si>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</si>
  <si>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</si>
  <si>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</si>
  <si>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</si>
  <si>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</si>
  <si>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</si>
  <si>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</si>
  <si>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</si>
  <si>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</si>
  <si>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</si>
  <si>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</si>
  <si>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</si>
  <si>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</si>
  <si>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</si>
  <si>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</si>
  <si>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</si>
  <si>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</si>
  <si>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</si>
  <si>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</si>
  <si>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</si>
  <si>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</si>
  <si>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</si>
  <si>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</si>
  <si>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</si>
  <si>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</si>
  <si>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</si>
  <si>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</si>
  <si>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</si>
  <si>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</si>
  <si>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</si>
  <si>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</si>
  <si>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</si>
  <si>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</si>
  <si>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</si>
  <si>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</si>
  <si>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</si>
  <si>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</si>
  <si>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</si>
  <si>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</si>
  <si>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</si>
  <si>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</si>
  <si>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</si>
  <si>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</si>
  <si>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</si>
  <si>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</si>
  <si>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</si>
  <si>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</si>
  <si>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</si>
  <si>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</si>
  <si>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</si>
  <si>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</si>
  <si>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</si>
  <si>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</si>
  <si>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</si>
  <si>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</si>
  <si>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</si>
  <si>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</si>
  <si>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</si>
  <si>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</si>
  <si>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</si>
  <si>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</si>
  <si>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</si>
  <si>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</si>
  <si>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</si>
  <si>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</si>
  <si>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</si>
  <si>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</si>
  <si>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</si>
  <si>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</si>
  <si>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</si>
  <si>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</si>
  <si>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</si>
  <si>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</si>
  <si>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</si>
  <si>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</si>
  <si>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</si>
  <si>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</si>
  <si>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</si>
  <si>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</si>
  <si>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</si>
  <si>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</si>
  <si>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</si>
  <si>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</si>
  <si>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</si>
  <si>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</si>
  <si>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</si>
  <si>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</si>
  <si>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</si>
  <si>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</si>
  <si>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</si>
  <si>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</si>
  <si>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</si>
  <si>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</si>
  <si>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</si>
  <si>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</si>
  <si>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</si>
  <si>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</si>
  <si>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</si>
  <si>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</si>
  <si>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</si>
  <si>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</si>
  <si>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</si>
  <si>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</si>
  <si>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</si>
  <si>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</si>
  <si>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</si>
  <si>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</si>
  <si>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</si>
  <si>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</si>
  <si>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</si>
  <si>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</si>
  <si>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</si>
  <si>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</si>
  <si>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</si>
  <si>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</si>
  <si>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</si>
  <si>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</si>
  <si>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</si>
  <si>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</si>
  <si>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</si>
  <si>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</si>
  <si>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</si>
  <si>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</si>
  <si>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</si>
  <si>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</si>
  <si>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</si>
  <si>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</si>
  <si>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</si>
  <si>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</si>
  <si>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</si>
  <si>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</si>
  <si>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</si>
  <si>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</si>
  <si>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</si>
  <si>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</si>
  <si>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</si>
  <si>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</si>
  <si>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</si>
  <si>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</si>
  <si>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</si>
  <si>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</si>
  <si>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</si>
  <si>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</si>
  <si>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</si>
  <si>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</si>
  <si>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</si>
  <si>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</si>
  <si>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</si>
  <si>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</si>
  <si>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</si>
  <si>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</si>
  <si>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</si>
  <si>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</si>
  <si>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</si>
  <si>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</si>
  <si>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</si>
  <si>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</si>
  <si>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</si>
  <si>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</si>
  <si>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</si>
  <si>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</si>
  <si>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</si>
  <si>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</si>
  <si>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</si>
  <si>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</si>
  <si>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</si>
  <si>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</si>
  <si>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</si>
  <si>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</si>
  <si>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</si>
  <si>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</si>
  <si>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</si>
  <si>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</si>
  <si>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</si>
  <si>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</si>
  <si>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</si>
  <si>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</si>
  <si>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</si>
  <si>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</si>
  <si>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</si>
  <si>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</si>
  <si>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</si>
  <si>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</si>
  <si>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</si>
  <si>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</si>
  <si>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</si>
  <si>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</si>
  <si>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</si>
  <si>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</si>
  <si>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</si>
  <si>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</si>
  <si>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</si>
  <si>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</si>
  <si>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</si>
  <si>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</si>
  <si>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</si>
  <si>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</si>
  <si>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</si>
  <si>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</si>
  <si>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</si>
  <si>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</si>
  <si>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</si>
  <si>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</si>
  <si>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</si>
  <si>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</si>
  <si>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</si>
  <si>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</si>
  <si>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</si>
  <si>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</si>
  <si>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</si>
  <si>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</si>
  <si>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</si>
  <si>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</si>
  <si>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</si>
  <si>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</si>
  <si>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</si>
  <si>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</si>
  <si>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</si>
  <si>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</si>
  <si>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</si>
  <si>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</si>
  <si>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</si>
  <si>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</si>
  <si>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</si>
  <si>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</si>
  <si>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</si>
  <si>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</si>
  <si>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</si>
  <si>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</si>
  <si>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</si>
  <si>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</si>
  <si>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</si>
  <si>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</si>
  <si>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</si>
  <si>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</si>
  <si>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</si>
  <si>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</si>
  <si>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</si>
  <si>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</si>
  <si>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</si>
  <si>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</si>
  <si>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</si>
  <si>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</si>
  <si>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</si>
  <si>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</si>
  <si>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</si>
  <si>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</si>
  <si>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</si>
  <si>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</si>
  <si>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</si>
  <si>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</si>
  <si>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</si>
  <si>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</si>
  <si>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</si>
  <si>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</si>
  <si>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</si>
  <si>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</si>
  <si>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</si>
  <si>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</si>
  <si>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</si>
  <si>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</si>
  <si>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</si>
  <si>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</si>
  <si>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</si>
  <si>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</si>
  <si>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</si>
  <si>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</si>
  <si>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</si>
  <si>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</si>
  <si>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</si>
  <si>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</si>
  <si>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</si>
  <si>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</si>
  <si>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</si>
  <si>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</si>
  <si>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</si>
  <si>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</si>
  <si>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</si>
  <si>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</si>
  <si>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</si>
  <si>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</si>
  <si>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</si>
  <si>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</si>
  <si>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</si>
  <si>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</si>
  <si>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</si>
  <si>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</si>
  <si>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</si>
  <si>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</si>
  <si>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</si>
  <si>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</si>
  <si>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</si>
  <si>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</si>
  <si>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</si>
  <si>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</si>
  <si>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</si>
  <si>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</si>
  <si>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</si>
  <si>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</si>
  <si>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</si>
  <si>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</si>
  <si>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</si>
  <si>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</si>
  <si>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</si>
  <si>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</si>
  <si>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</si>
  <si>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</si>
  <si>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</si>
  <si>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</si>
  <si>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</si>
  <si>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</si>
  <si>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</si>
  <si>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</si>
  <si>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</si>
  <si>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</si>
  <si>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</si>
  <si>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</si>
  <si>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</si>
  <si>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</si>
  <si>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</si>
  <si>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</si>
  <si>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</si>
  <si>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</si>
  <si>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</si>
  <si>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</si>
  <si>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</si>
  <si>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</si>
  <si>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</si>
  <si>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</si>
  <si>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</si>
  <si>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</si>
  <si>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</si>
  <si>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</si>
  <si>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</si>
  <si>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</si>
  <si>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</si>
  <si>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</si>
  <si>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</si>
  <si>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</si>
  <si>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</si>
  <si>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</si>
  <si>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</si>
  <si>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</si>
  <si>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</si>
  <si>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</si>
  <si>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</si>
  <si>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</si>
  <si>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</si>
  <si>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</si>
  <si>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</si>
  <si>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</si>
  <si>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</si>
  <si>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</si>
  <si>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</si>
  <si>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</si>
  <si>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</si>
  <si>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</si>
  <si>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</si>
  <si>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</si>
  <si>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</si>
  <si>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</si>
  <si>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</si>
  <si>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</si>
  <si>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</si>
  <si>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</si>
  <si>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</si>
  <si>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</si>
  <si>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</si>
  <si>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</si>
  <si>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</si>
  <si>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</si>
  <si>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</si>
  <si>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</si>
  <si>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</si>
  <si>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</si>
  <si>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</si>
  <si>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</si>
  <si>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</si>
  <si>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</si>
  <si>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</si>
  <si>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</si>
  <si>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</si>
  <si>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</si>
  <si>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</si>
  <si>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</si>
  <si>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</si>
  <si>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</si>
  <si>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</si>
  <si>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</si>
  <si>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</si>
  <si>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</si>
  <si>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</si>
  <si>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</si>
  <si>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</si>
  <si>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</si>
  <si>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</si>
  <si>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</si>
  <si>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</si>
  <si>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</si>
  <si>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</si>
  <si>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</si>
  <si>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</si>
  <si>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</si>
  <si>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</si>
  <si>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</si>
  <si>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</si>
  <si>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</si>
  <si>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</si>
  <si>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</si>
  <si>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</si>
  <si>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</si>
  <si>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</si>
  <si>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</si>
  <si>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</si>
  <si>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</si>
  <si>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</si>
  <si>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</si>
  <si>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</si>
  <si>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</si>
  <si>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</si>
  <si>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</si>
  <si>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</si>
  <si>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</si>
  <si>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</si>
  <si>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</si>
  <si>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</si>
  <si>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</si>
  <si>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</si>
  <si>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</si>
  <si>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</si>
  <si>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</si>
  <si>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</si>
  <si>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</si>
  <si>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</si>
  <si>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</si>
  <si>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</si>
  <si>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</si>
  <si>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</si>
  <si>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</si>
  <si>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</si>
  <si>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</si>
  <si>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</si>
  <si>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</si>
  <si>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</si>
  <si>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</si>
  <si>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</si>
  <si>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</si>
  <si>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</si>
  <si>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</si>
  <si>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</si>
  <si>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</si>
  <si>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</si>
  <si>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</si>
  <si>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</si>
  <si>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</si>
  <si>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</si>
  <si>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</si>
  <si>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</si>
  <si>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</si>
  <si>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</si>
  <si>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</si>
  <si>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</si>
  <si>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</si>
  <si>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</si>
  <si>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</si>
  <si>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</si>
  <si>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</si>
  <si>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</si>
  <si>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</si>
  <si>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</si>
  <si>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</si>
  <si>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</si>
  <si>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</si>
  <si>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</si>
  <si>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</si>
  <si>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</si>
  <si>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</si>
  <si>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</si>
  <si>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</si>
  <si>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</si>
  <si>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</si>
  <si>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</si>
  <si>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</si>
  <si>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</si>
  <si>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</si>
  <si>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</si>
  <si>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</si>
  <si>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</si>
  <si>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</si>
  <si>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</si>
  <si>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</si>
  <si>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</si>
  <si>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</si>
  <si>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</si>
  <si>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</si>
  <si>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</si>
  <si>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</si>
  <si>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</si>
  <si>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</si>
  <si>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</si>
  <si>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</si>
  <si>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</si>
  <si>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</si>
  <si>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</si>
  <si>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</si>
  <si>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</si>
  <si>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</si>
  <si>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</si>
  <si>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</si>
  <si>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</si>
  <si>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</si>
  <si>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</si>
  <si>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</si>
  <si>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</si>
  <si>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</si>
  <si>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</si>
  <si>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</si>
  <si>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</si>
  <si>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</si>
  <si>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</si>
  <si>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</si>
  <si>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</si>
  <si>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</si>
  <si>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</si>
  <si>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</si>
  <si>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</si>
  <si>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</si>
  <si>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</si>
  <si>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</si>
  <si>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</si>
  <si>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</si>
  <si>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</si>
  <si>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</si>
  <si>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</si>
  <si>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</si>
  <si>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</si>
  <si>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</si>
  <si>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</si>
  <si>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</si>
  <si>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</si>
  <si>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</si>
  <si>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</si>
  <si>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</si>
  <si>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</si>
  <si>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</si>
  <si>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</si>
  <si>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</si>
  <si>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</si>
  <si>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</si>
  <si>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</si>
  <si>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</si>
  <si>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</si>
  <si>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</si>
  <si>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</si>
  <si>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</si>
  <si>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</si>
  <si>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</si>
  <si>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</si>
  <si>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</si>
  <si>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</si>
  <si>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</si>
  <si>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</si>
  <si>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</si>
  <si>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</si>
  <si>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</si>
  <si>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</si>
  <si>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</si>
  <si>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</si>
  <si>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</si>
  <si>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</si>
  <si>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</si>
  <si>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</si>
  <si>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</si>
  <si>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</si>
  <si>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</si>
  <si>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</si>
  <si>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</si>
  <si>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</si>
  <si>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</si>
  <si>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</si>
  <si>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</si>
  <si>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</si>
  <si>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</si>
  <si>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</si>
  <si>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</si>
  <si>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</si>
  <si>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</si>
  <si>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</si>
  <si>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</si>
  <si>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</si>
  <si>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</si>
  <si>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</si>
  <si>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</si>
  <si>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</si>
  <si>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</si>
  <si>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</si>
  <si>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</si>
  <si>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</si>
  <si>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</si>
  <si>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</si>
  <si>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</si>
  <si>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</si>
  <si>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</si>
  <si>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</si>
  <si>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</si>
  <si>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</si>
  <si>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</si>
  <si>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</si>
  <si>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</si>
  <si>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</si>
  <si>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</si>
  <si>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</si>
  <si>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</si>
  <si>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</si>
  <si>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</si>
  <si>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</si>
  <si>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</si>
  <si>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</si>
  <si>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</si>
  <si>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</si>
  <si>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</si>
  <si>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</si>
  <si>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</si>
  <si>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</si>
  <si>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</si>
  <si>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</si>
  <si>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</si>
  <si>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</si>
  <si>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</si>
  <si>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</si>
  <si>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</si>
  <si>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</si>
  <si>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</si>
  <si>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</si>
  <si>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</si>
  <si>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</si>
  <si>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</si>
  <si>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</si>
  <si>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</si>
  <si>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</si>
  <si>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</si>
  <si>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</si>
  <si>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</si>
  <si>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</si>
  <si>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</si>
  <si>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</si>
  <si>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</si>
  <si>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</si>
  <si>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</si>
  <si>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</si>
  <si>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</si>
  <si>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</si>
  <si>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</si>
  <si>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</si>
  <si>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</si>
  <si>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</si>
  <si>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</si>
  <si>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</si>
  <si>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</si>
  <si>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</si>
  <si>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</si>
  <si>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</si>
  <si>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</si>
  <si>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</si>
  <si>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</si>
  <si>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</si>
  <si>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</si>
  <si>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</si>
  <si>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</si>
  <si>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</si>
  <si>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</si>
  <si>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</si>
  <si>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</si>
  <si>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</si>
  <si>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</si>
  <si>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</si>
  <si>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</si>
  <si>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</si>
  <si>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</si>
  <si>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</si>
  <si>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</si>
  <si>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</si>
  <si>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</si>
  <si>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</si>
  <si>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</si>
  <si>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</si>
  <si>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</si>
  <si>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</si>
  <si>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</si>
  <si>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</si>
  <si>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</si>
  <si>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</si>
  <si>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</si>
  <si>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</si>
  <si>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</si>
  <si>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</si>
  <si>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</si>
  <si>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</si>
  <si>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</si>
  <si>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</si>
  <si>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</si>
  <si>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</si>
  <si>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</si>
  <si>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</si>
  <si>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</si>
  <si>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</si>
  <si>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</si>
  <si>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</si>
  <si>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</si>
  <si>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</si>
  <si>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</si>
  <si>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</si>
  <si>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</si>
  <si>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</si>
  <si>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</si>
  <si>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</si>
  <si>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</si>
  <si>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</si>
  <si>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</si>
  <si>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</si>
  <si>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</si>
  <si>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</si>
  <si>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</si>
  <si>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</si>
  <si>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</si>
  <si>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</si>
  <si>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</si>
  <si>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</si>
  <si>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</si>
  <si>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</si>
  <si>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</si>
  <si>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</si>
  <si>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</si>
  <si>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</si>
  <si>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</si>
  <si>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</si>
  <si>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</si>
  <si>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</si>
  <si>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</si>
  <si>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</si>
  <si>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</si>
  <si>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</si>
  <si>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</si>
  <si>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</si>
  <si>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</si>
  <si>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</si>
  <si>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</si>
  <si>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</si>
  <si>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</si>
  <si>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</si>
  <si>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</si>
  <si>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</si>
  <si>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</si>
  <si>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</si>
  <si>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</si>
  <si>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</si>
  <si>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</si>
  <si>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</si>
  <si>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</si>
  <si>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</si>
  <si>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</si>
  <si>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</si>
  <si>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</si>
  <si>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</si>
  <si>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</si>
  <si>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</si>
  <si>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</si>
  <si>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</si>
  <si>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</si>
  <si>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</si>
  <si>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</si>
  <si>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</si>
  <si>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</si>
  <si>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</si>
  <si>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</si>
  <si>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</si>
  <si>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</si>
  <si>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</si>
  <si>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</si>
  <si>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</si>
  <si>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</si>
  <si>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</si>
  <si>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</si>
  <si>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</si>
  <si>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</si>
  <si>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</si>
  <si>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</si>
  <si>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</si>
  <si>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</si>
  <si>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</si>
  <si>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</si>
  <si>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</si>
  <si>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</si>
  <si>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</si>
  <si>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</si>
  <si>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</si>
  <si>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</si>
  <si>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</si>
  <si>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</si>
  <si>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</si>
  <si>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</si>
  <si>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</si>
  <si>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</si>
  <si>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</si>
  <si>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</si>
  <si>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</si>
  <si>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</si>
  <si>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</si>
  <si>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</si>
  <si>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</si>
  <si>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</si>
  <si>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</si>
  <si>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</si>
  <si>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</si>
  <si>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</si>
  <si>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</si>
  <si>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</si>
  <si>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</si>
  <si>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</si>
  <si>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</si>
  <si>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</si>
  <si>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</si>
  <si>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</si>
  <si>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</si>
  <si>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</si>
  <si>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</si>
  <si>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</si>
  <si>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</si>
  <si>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</si>
  <si>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</si>
  <si>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</si>
  <si>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</si>
  <si>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</si>
  <si>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</si>
  <si>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</si>
  <si>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</si>
  <si>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</si>
  <si>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</si>
  <si>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</si>
  <si>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</si>
  <si>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</si>
  <si>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</si>
  <si>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</si>
  <si>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</si>
  <si>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</si>
  <si>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</si>
  <si>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</si>
  <si>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</si>
  <si>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</si>
  <si>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</si>
  <si>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</si>
  <si>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</si>
  <si>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</si>
  <si>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</si>
  <si>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</si>
  <si>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</si>
  <si>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</si>
  <si>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</si>
  <si>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</si>
  <si>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</si>
  <si>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</si>
  <si>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</si>
  <si>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</si>
  <si>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</si>
  <si>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</si>
  <si>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</si>
  <si>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</si>
  <si>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</si>
  <si>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</si>
  <si>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</si>
  <si>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</si>
  <si>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</si>
  <si>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</si>
  <si>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</si>
  <si>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</si>
  <si>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</si>
  <si>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</si>
  <si>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</si>
  <si>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</si>
  <si>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</si>
  <si>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</si>
  <si>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</si>
  <si>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</si>
  <si>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</si>
  <si>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</si>
  <si>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</si>
  <si>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</si>
  <si>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</si>
  <si>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</si>
  <si>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</si>
  <si>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</si>
  <si>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</si>
  <si>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</si>
  <si>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</si>
  <si>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</si>
  <si>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</si>
  <si>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</si>
  <si>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</si>
  <si>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</si>
  <si>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</si>
  <si>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</si>
  <si>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</si>
  <si>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</si>
  <si>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</si>
  <si>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</si>
  <si>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</si>
  <si>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</si>
  <si>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</si>
  <si>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</si>
  <si>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</si>
  <si>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</si>
  <si>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</si>
  <si>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</si>
  <si>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</si>
  <si>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</si>
  <si>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</si>
  <si>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</si>
  <si>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</si>
  <si>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</si>
  <si>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</si>
  <si>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</si>
  <si>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</si>
  <si>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</si>
  <si>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</si>
  <si>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</si>
  <si>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</si>
  <si>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</si>
  <si>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</si>
  <si>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</si>
  <si>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</si>
  <si>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</si>
  <si>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</si>
  <si>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</si>
  <si>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</si>
  <si>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</si>
  <si>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</si>
  <si>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</si>
  <si>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</si>
  <si>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</si>
  <si>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</si>
  <si>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</si>
  <si>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</si>
  <si>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</si>
  <si>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</si>
  <si>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</si>
  <si>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</si>
  <si>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</si>
  <si>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</si>
  <si>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</si>
  <si>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</si>
  <si>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</si>
  <si>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</si>
  <si>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</si>
  <si>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</si>
  <si>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</si>
  <si>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</si>
  <si>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</si>
  <si>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</si>
  <si>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</si>
  <si>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</si>
  <si>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</si>
  <si>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</si>
  <si>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</si>
  <si>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</si>
  <si>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</si>
  <si>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</si>
  <si>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</si>
  <si>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</si>
  <si>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</si>
  <si>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</si>
  <si>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</si>
  <si>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</si>
  <si>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</si>
  <si>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</si>
  <si>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</si>
  <si>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</si>
  <si>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</si>
  <si>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</si>
  <si>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</si>
  <si>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</si>
  <si>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</si>
  <si>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</si>
  <si>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</si>
  <si>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</si>
  <si>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</si>
  <si>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</si>
  <si>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</si>
  <si>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</si>
  <si>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</si>
  <si>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</si>
  <si>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</si>
  <si>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</si>
  <si>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</si>
  <si>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</si>
  <si>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</si>
  <si>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</si>
  <si>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</si>
  <si>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</si>
  <si>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</si>
  <si>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</si>
  <si>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</si>
  <si>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</si>
  <si>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</si>
  <si>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</si>
  <si>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</si>
  <si>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</si>
  <si>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</si>
  <si>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</si>
  <si>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</si>
  <si>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</si>
  <si>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</si>
  <si>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</si>
  <si>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</si>
  <si>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</si>
  <si>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</si>
  <si>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</si>
  <si>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</si>
  <si>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</si>
  <si>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</si>
  <si>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</si>
  <si>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</si>
  <si>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</si>
  <si>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</si>
  <si>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</si>
  <si>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</si>
  <si>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</si>
  <si>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</si>
  <si>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</si>
  <si>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</si>
  <si>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</si>
  <si>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</si>
  <si>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</si>
  <si>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</si>
  <si>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</si>
  <si>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</si>
  <si>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</si>
  <si>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</si>
  <si>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</si>
  <si>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</si>
  <si>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</si>
  <si>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</si>
  <si>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</si>
  <si>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</si>
  <si>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</si>
  <si>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</si>
  <si>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</si>
  <si>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</si>
  <si>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</si>
  <si>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</si>
  <si>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</si>
  <si>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</si>
  <si>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</si>
  <si>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</si>
  <si>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</si>
  <si>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</si>
  <si>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</si>
  <si>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</si>
  <si>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</si>
  <si>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</si>
  <si>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</si>
  <si>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</si>
  <si>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</si>
  <si>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</si>
  <si>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</si>
  <si>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</si>
  <si>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</si>
  <si>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</si>
  <si>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</si>
  <si>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</si>
  <si>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</si>
  <si>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</si>
  <si>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</si>
  <si>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</si>
  <si>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</si>
  <si>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</si>
  <si>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</si>
  <si>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</si>
  <si>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</si>
  <si>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</si>
  <si>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</si>
  <si>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</si>
  <si>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</si>
  <si>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</si>
  <si>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</si>
  <si>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</si>
  <si>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</si>
  <si>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</si>
  <si>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</si>
  <si>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</si>
  <si>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</si>
  <si>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</si>
  <si>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</si>
  <si>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</si>
  <si>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</si>
  <si>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</si>
  <si>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</si>
  <si>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</si>
  <si>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</si>
  <si>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</si>
  <si>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</si>
  <si>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</si>
  <si>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</si>
  <si>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</si>
  <si>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</si>
  <si>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</si>
  <si>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</si>
  <si>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</si>
  <si>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</si>
  <si>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</si>
  <si>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</si>
  <si>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</si>
  <si>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</si>
  <si>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</si>
  <si>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</si>
  <si>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</si>
  <si>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</si>
  <si>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</si>
  <si>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</si>
  <si>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</si>
  <si>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</si>
  <si>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</si>
  <si>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</si>
  <si>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</si>
  <si>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</si>
  <si>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</si>
  <si>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</si>
  <si>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</si>
  <si>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</si>
  <si>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</si>
  <si>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</si>
  <si>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</si>
  <si>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</si>
  <si>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</si>
  <si>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</si>
  <si>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</si>
  <si>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</si>
  <si>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</si>
  <si>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</si>
  <si>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</si>
  <si>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</si>
  <si>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</si>
  <si>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</si>
  <si>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</si>
  <si>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</si>
  <si>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</si>
  <si>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</si>
  <si>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</si>
  <si>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</si>
  <si>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</si>
  <si>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</si>
  <si>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</si>
  <si>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</si>
  <si>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</si>
  <si>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</si>
  <si>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</si>
  <si>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</si>
  <si>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</si>
  <si>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</si>
  <si>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</si>
  <si>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</si>
  <si>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</si>
  <si>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</si>
  <si>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</si>
  <si>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</si>
  <si>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</si>
  <si>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</si>
  <si>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</si>
  <si>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</si>
  <si>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</si>
  <si>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</si>
  <si>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</si>
  <si>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</si>
  <si>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</si>
  <si>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</si>
  <si>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</si>
  <si>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</si>
  <si>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</si>
  <si>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</si>
  <si>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</si>
  <si>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</si>
  <si>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</si>
  <si>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</si>
  <si>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</si>
  <si>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</si>
  <si>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</si>
  <si>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</si>
  <si>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</si>
  <si>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</si>
  <si>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</si>
  <si>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</si>
  <si>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</si>
  <si>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</si>
  <si>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</si>
  <si>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</si>
  <si>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</si>
  <si>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</si>
  <si>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</si>
  <si>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</si>
  <si>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</si>
  <si>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</si>
  <si>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</si>
  <si>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</si>
  <si>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</si>
  <si>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</si>
  <si>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</si>
  <si>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</si>
  <si>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</si>
  <si>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</si>
  <si>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</si>
  <si>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</si>
  <si>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</si>
  <si>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</si>
  <si>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</si>
  <si>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</si>
  <si>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</si>
  <si>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</si>
  <si>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</si>
  <si>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</si>
  <si>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</si>
  <si>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</si>
  <si>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</si>
  <si>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</si>
  <si>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</si>
  <si>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</si>
  <si>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</si>
  <si>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</si>
  <si>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</si>
  <si>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</si>
  <si>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</si>
  <si>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</si>
  <si>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</si>
  <si>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</si>
  <si>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</si>
  <si>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</si>
  <si>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</si>
  <si>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</si>
  <si>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</si>
  <si>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</si>
  <si>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</si>
  <si>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</si>
  <si>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</si>
  <si>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</si>
  <si>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</si>
  <si>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</si>
  <si>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</si>
  <si>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</si>
  <si>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</si>
  <si>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</si>
  <si>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</si>
  <si>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</si>
  <si>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</si>
  <si>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</si>
  <si>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</si>
  <si>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</si>
  <si>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</si>
  <si>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</si>
  <si>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</si>
  <si>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</si>
  <si>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</si>
  <si>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</si>
  <si>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</si>
  <si>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</si>
  <si>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</si>
  <si>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</si>
  <si>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</si>
  <si>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</si>
  <si>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</si>
  <si>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</si>
  <si>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</si>
  <si>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</si>
  <si>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</si>
  <si>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</si>
  <si>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</si>
  <si>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</si>
  <si>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</si>
  <si>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</si>
  <si>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</si>
  <si>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</si>
  <si>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</si>
  <si>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</si>
  <si>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</si>
  <si>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</si>
  <si>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</si>
  <si>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</si>
  <si>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</si>
  <si>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</si>
  <si>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</si>
  <si>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</si>
  <si>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</si>
  <si>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</si>
  <si>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</si>
  <si>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</si>
  <si>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</si>
  <si>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</si>
  <si>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</si>
  <si>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</si>
  <si>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</si>
  <si>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</si>
  <si>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</si>
  <si>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</si>
  <si>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</si>
  <si>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</si>
  <si>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</si>
  <si>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</si>
  <si>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</si>
  <si>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</si>
  <si>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</si>
  <si>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</si>
  <si>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</si>
  <si>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</si>
  <si>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</si>
  <si>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</si>
  <si>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</si>
  <si>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</si>
  <si>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</si>
  <si>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</si>
  <si>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</si>
  <si>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</si>
  <si>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</si>
  <si>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</si>
  <si>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</si>
  <si>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</si>
  <si>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</si>
  <si>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</si>
  <si>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</si>
  <si>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</si>
  <si>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</si>
  <si>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</si>
  <si>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</si>
  <si>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</si>
  <si>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</si>
  <si>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</si>
  <si>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</si>
  <si>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</si>
  <si>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</si>
  <si>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</si>
  <si>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</si>
  <si>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</si>
  <si>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</si>
  <si>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</si>
  <si>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</si>
  <si>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</si>
  <si>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</si>
  <si>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</si>
  <si>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</si>
  <si>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</si>
  <si>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</si>
  <si>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</si>
  <si>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</si>
  <si>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</si>
  <si>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</si>
  <si>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</si>
  <si>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</si>
  <si>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</si>
  <si>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</si>
  <si>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</si>
  <si>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</si>
  <si>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</si>
  <si>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</si>
  <si>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</si>
  <si>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</si>
  <si>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</si>
  <si>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</si>
  <si>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</si>
  <si>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</si>
  <si>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</si>
  <si>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</si>
  <si>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</si>
  <si>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</si>
  <si>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</si>
  <si>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</si>
  <si>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</si>
  <si>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</si>
  <si>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</si>
  <si>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</si>
  <si>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</si>
  <si>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</si>
  <si>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</si>
  <si>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</si>
  <si>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</si>
  <si>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</si>
  <si>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</si>
  <si>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</si>
  <si>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</si>
  <si>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</si>
  <si>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</si>
  <si>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</si>
  <si>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</si>
  <si>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</si>
  <si>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</si>
  <si>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</si>
  <si>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</si>
  <si>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</si>
  <si>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</si>
  <si>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</si>
  <si>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</si>
  <si>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</si>
  <si>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</si>
  <si>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</si>
  <si>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</si>
  <si>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</si>
  <si>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</si>
  <si>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</si>
  <si>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</si>
  <si>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</si>
  <si>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</si>
  <si>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</si>
  <si>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</si>
  <si>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</si>
  <si>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</si>
  <si>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</si>
  <si>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</si>
  <si>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</si>
  <si>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</si>
  <si>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</si>
  <si>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</si>
  <si>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</si>
  <si>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</si>
  <si>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</si>
  <si>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</si>
  <si>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</si>
  <si>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</si>
  <si>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</si>
  <si>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</si>
  <si>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</si>
  <si>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</si>
  <si>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</si>
  <si>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</si>
  <si>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</si>
  <si>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</si>
  <si>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</si>
  <si>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</si>
  <si>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</si>
  <si>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</si>
  <si>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</si>
  <si>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</si>
  <si>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</si>
  <si>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</si>
  <si>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</si>
  <si>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</si>
  <si>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</si>
  <si>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</si>
  <si>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</si>
  <si>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</si>
  <si>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</si>
  <si>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</si>
  <si>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</si>
  <si>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</si>
  <si>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</si>
  <si>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</si>
  <si>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</si>
  <si>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</si>
  <si>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</si>
  <si>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</si>
  <si>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</si>
  <si>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</si>
  <si>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</si>
  <si>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</si>
  <si>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</si>
  <si>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</si>
  <si>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</si>
  <si>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</si>
  <si>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</si>
  <si>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</si>
  <si>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</si>
  <si>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</si>
  <si>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</si>
  <si>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</si>
  <si>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</si>
  <si>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</si>
  <si>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</si>
  <si>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</si>
  <si>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</si>
  <si>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</si>
  <si>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</si>
  <si>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</si>
  <si>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</si>
  <si>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</si>
  <si>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</si>
  <si>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</si>
  <si>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</si>
  <si>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</si>
  <si>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</si>
  <si>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</si>
  <si>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</si>
  <si>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</si>
  <si>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</si>
  <si>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</si>
  <si>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</si>
  <si>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</si>
  <si>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</si>
  <si>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</si>
  <si>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</si>
  <si>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</si>
  <si>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</si>
  <si>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</si>
  <si>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</si>
  <si>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</si>
  <si>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</si>
  <si>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</si>
  <si>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</si>
  <si>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</si>
  <si>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</si>
  <si>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</si>
  <si>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</si>
  <si>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</si>
  <si>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</si>
  <si>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</si>
  <si>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</si>
  <si>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</si>
  <si>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</si>
  <si>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</si>
  <si>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</si>
  <si>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</si>
  <si>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</si>
  <si>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</si>
  <si>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</si>
  <si>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</si>
  <si>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</si>
  <si>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</si>
  <si>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</si>
  <si>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</si>
  <si>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</si>
  <si>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</si>
  <si>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</si>
  <si>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</si>
  <si>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</si>
  <si>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</si>
  <si>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</si>
  <si>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</si>
  <si>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</si>
  <si>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</si>
  <si>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</si>
  <si>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</si>
  <si>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</si>
  <si>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</si>
  <si>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</si>
  <si>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</si>
  <si>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</si>
  <si>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</si>
  <si>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</si>
  <si>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</si>
  <si>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</si>
  <si>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</si>
  <si>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</si>
  <si>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</si>
  <si>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</si>
  <si>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</si>
  <si>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</si>
  <si>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</si>
  <si>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</si>
  <si>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</si>
  <si>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</si>
  <si>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</si>
  <si>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</si>
  <si>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</si>
  <si>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</si>
  <si>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</si>
  <si>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</si>
  <si>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</si>
  <si>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</si>
  <si>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</si>
  <si>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</si>
  <si>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</si>
  <si>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</si>
  <si>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</si>
  <si>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</si>
  <si>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</si>
  <si>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</si>
  <si>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</si>
  <si>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</si>
  <si>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</si>
  <si>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</si>
  <si>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</si>
  <si>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</si>
  <si>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</si>
  <si>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</si>
  <si>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</si>
  <si>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</si>
  <si>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</si>
  <si>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</si>
  <si>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</si>
  <si>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</si>
  <si>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</si>
  <si>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</si>
  <si>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</si>
  <si>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</si>
  <si>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</si>
  <si>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</si>
  <si>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</si>
  <si>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</si>
  <si>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</si>
  <si>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</si>
  <si>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</si>
  <si>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</si>
  <si>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</si>
  <si>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</si>
  <si>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</si>
  <si>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</si>
  <si>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</si>
  <si>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</si>
  <si>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</si>
  <si>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</si>
  <si>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</si>
  <si>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</si>
  <si>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</si>
  <si>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</si>
  <si>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</si>
  <si>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</si>
  <si>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</si>
  <si>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</si>
  <si>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</si>
  <si>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</si>
  <si>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</si>
  <si>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</si>
  <si>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</si>
  <si>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</si>
  <si>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</si>
  <si>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</si>
  <si>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</si>
  <si>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</si>
  <si>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</si>
  <si>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</si>
  <si>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</si>
  <si>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</si>
  <si>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</si>
  <si>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</si>
  <si>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</si>
  <si>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</si>
  <si>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</si>
  <si>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</si>
  <si>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</si>
  <si>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</si>
  <si>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</si>
  <si>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</si>
  <si>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</si>
  <si>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</si>
  <si>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</si>
  <si>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</si>
  <si>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</si>
  <si>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</si>
  <si>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</si>
  <si>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</si>
  <si>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</si>
  <si>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</si>
  <si>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</si>
  <si>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</si>
  <si>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</si>
  <si>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</si>
  <si>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</si>
  <si>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</si>
  <si>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</si>
  <si>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</si>
  <si>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</si>
  <si>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</si>
  <si>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</si>
  <si>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</si>
  <si>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</si>
  <si>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</si>
  <si>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</si>
  <si>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</si>
  <si>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</si>
  <si>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</si>
  <si>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</si>
  <si>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</si>
  <si>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</si>
  <si>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</si>
  <si>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</si>
  <si>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</si>
  <si>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</si>
  <si>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</si>
  <si>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</si>
  <si>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</si>
  <si>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</si>
  <si>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</si>
  <si>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</si>
  <si>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</si>
  <si>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</si>
  <si>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</si>
  <si>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</si>
  <si>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</si>
  <si>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</si>
  <si>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</si>
  <si>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</si>
  <si>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</si>
  <si>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</si>
  <si>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</si>
  <si>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</si>
  <si>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</si>
  <si>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</si>
  <si>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</si>
  <si>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</si>
  <si>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</si>
  <si>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</si>
  <si>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</si>
  <si>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</si>
  <si>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</si>
  <si>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</si>
  <si>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</si>
  <si>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</si>
  <si>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</si>
  <si>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</si>
  <si>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</si>
  <si>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</si>
  <si>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</si>
  <si>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</si>
  <si>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</si>
  <si>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</si>
  <si>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</si>
  <si>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</si>
  <si>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</si>
  <si>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</si>
  <si>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</si>
  <si>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</si>
  <si>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</si>
  <si>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</si>
  <si>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</si>
  <si>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</si>
  <si>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</si>
  <si>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</si>
  <si>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</si>
  <si>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</si>
  <si>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</si>
  <si>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</si>
  <si>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</si>
  <si>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</si>
  <si>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</si>
  <si>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</si>
  <si>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</si>
  <si>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</si>
  <si>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</si>
  <si>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</si>
  <si>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</si>
  <si>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</si>
  <si>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</si>
  <si>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</si>
  <si>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</si>
  <si>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</si>
  <si>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</si>
  <si>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</si>
  <si>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</si>
  <si>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</si>
  <si>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</si>
  <si>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</si>
  <si>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</si>
  <si>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</si>
  <si>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</si>
  <si>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</si>
  <si>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</si>
  <si>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</si>
  <si>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</si>
  <si>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</si>
  <si>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</si>
  <si>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</si>
  <si>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</si>
  <si>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</si>
  <si>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</si>
  <si>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</si>
  <si>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</si>
  <si>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</si>
  <si>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</si>
  <si>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</si>
  <si>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</si>
  <si>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</si>
  <si>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</si>
  <si>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</si>
  <si>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</si>
  <si>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</si>
  <si>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</si>
  <si>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</si>
  <si>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</si>
  <si>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</si>
  <si>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</si>
  <si>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</si>
  <si>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</si>
  <si>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</si>
  <si>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</si>
  <si>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</si>
  <si>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</si>
  <si>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</si>
  <si>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</si>
  <si>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</si>
  <si>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</si>
  <si>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</si>
  <si>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</si>
  <si>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</si>
  <si>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</si>
  <si>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</si>
  <si>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</si>
  <si>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</si>
  <si>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</si>
  <si>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</si>
  <si>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</si>
  <si>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</si>
  <si>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</si>
  <si>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</si>
  <si>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</si>
  <si>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</si>
  <si>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</si>
  <si>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</si>
  <si>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</si>
  <si>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</si>
  <si>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</si>
  <si>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</si>
  <si>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</si>
  <si>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</si>
  <si>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</si>
  <si>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</si>
  <si>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</si>
  <si>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</si>
  <si>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</si>
  <si>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</si>
  <si>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</si>
  <si>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</si>
  <si>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</si>
  <si>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</si>
  <si>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</si>
  <si>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</si>
  <si>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</si>
  <si>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</si>
  <si>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</si>
  <si>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</si>
  <si>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</si>
  <si>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</si>
  <si>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</si>
  <si>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</si>
  <si>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</si>
  <si>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</si>
  <si>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</si>
  <si>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</si>
  <si>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</si>
  <si>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</si>
  <si>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</si>
  <si>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</si>
  <si>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</si>
  <si>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</si>
  <si>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</si>
  <si>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</si>
  <si>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</si>
  <si>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</si>
  <si>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</si>
  <si>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</si>
  <si>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</si>
  <si>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</si>
  <si>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</si>
  <si>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</si>
  <si>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</si>
  <si>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</si>
  <si>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</si>
  <si>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</si>
  <si>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</si>
  <si>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</si>
  <si>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</si>
  <si>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</si>
  <si>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</si>
  <si>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</si>
  <si>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</si>
  <si>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</si>
  <si>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</si>
  <si>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</si>
  <si>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</si>
  <si>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</si>
  <si>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</si>
  <si>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</si>
  <si>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</si>
  <si>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</si>
  <si>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</si>
  <si>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</si>
  <si>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</si>
  <si>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</si>
  <si>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</si>
  <si>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</si>
  <si>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</si>
  <si>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</si>
  <si>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</si>
  <si>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</si>
  <si>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</si>
  <si>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</si>
  <si>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</si>
  <si>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</si>
  <si>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</si>
  <si>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</si>
  <si>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</si>
  <si>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</si>
  <si>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</si>
  <si>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</si>
  <si>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</si>
  <si>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</si>
  <si>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</si>
  <si>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</si>
  <si>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</si>
  <si>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</si>
  <si>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</si>
  <si>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</si>
  <si>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</si>
  <si>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</si>
  <si>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</si>
  <si>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</si>
  <si>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</si>
  <si>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</si>
  <si>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</si>
  <si>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</si>
  <si>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</si>
  <si>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</si>
  <si>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</si>
  <si>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</si>
  <si>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</si>
  <si>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</si>
  <si>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</si>
  <si>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</si>
  <si>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</si>
  <si>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</si>
  <si>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</si>
  <si>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</si>
  <si>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</si>
  <si>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</si>
  <si>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</si>
  <si>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</si>
  <si>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</si>
  <si>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</si>
  <si>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</si>
  <si>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</si>
  <si>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</si>
  <si>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</si>
  <si>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</si>
  <si>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</si>
  <si>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</si>
  <si>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</si>
  <si>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</si>
  <si>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</si>
  <si>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</si>
  <si>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</si>
  <si>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</si>
  <si>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</si>
  <si>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</si>
  <si>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</si>
  <si>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</si>
  <si>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</si>
  <si>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</si>
  <si>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</si>
  <si>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</si>
  <si>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</si>
  <si>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</si>
  <si>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</si>
  <si>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</si>
  <si>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</si>
  <si>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</si>
  <si>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</si>
  <si>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</si>
  <si>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</si>
  <si>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</si>
  <si>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</si>
  <si>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</si>
  <si>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</si>
  <si>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</si>
  <si>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</si>
  <si>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</si>
  <si>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</si>
  <si>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</si>
  <si>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</si>
  <si>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</si>
  <si>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</si>
  <si>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</si>
  <si>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</si>
  <si>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</si>
  <si>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</si>
  <si>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</si>
  <si>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</si>
  <si>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</si>
  <si>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</si>
  <si>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</si>
  <si>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</si>
  <si>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</si>
  <si>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</si>
  <si>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</si>
  <si>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</si>
  <si>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</si>
  <si>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</si>
  <si>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</si>
  <si>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</si>
  <si>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</si>
  <si>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</si>
  <si>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</si>
  <si>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</si>
  <si>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</si>
  <si>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</si>
  <si>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</si>
  <si>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</si>
  <si>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</si>
  <si>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</si>
  <si>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</si>
  <si>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</si>
  <si>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</si>
  <si>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</si>
  <si>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</si>
  <si>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</si>
  <si>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</si>
  <si>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</si>
  <si>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</si>
  <si>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</si>
  <si>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</si>
  <si>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</si>
  <si>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</si>
  <si>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</si>
  <si>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</si>
  <si>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</si>
  <si>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</si>
  <si>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</si>
  <si>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</si>
  <si>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</si>
  <si>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</si>
  <si>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</si>
  <si>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</si>
  <si>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</si>
  <si>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</si>
  <si>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</si>
  <si>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</si>
  <si>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</si>
  <si>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</si>
  <si>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</si>
  <si>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</si>
  <si>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</si>
  <si>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</si>
  <si>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</si>
  <si>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</si>
  <si>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</si>
  <si>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</si>
  <si>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</si>
  <si>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</si>
  <si>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</si>
  <si>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</si>
  <si>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</si>
  <si>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</si>
  <si>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</si>
  <si>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</si>
  <si>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</si>
  <si>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</si>
  <si>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</si>
  <si>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</si>
  <si>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</si>
  <si>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</si>
  <si>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</si>
  <si>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</si>
  <si>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</si>
  <si>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</si>
  <si>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</si>
  <si>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</si>
  <si>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</si>
  <si>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</si>
  <si>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</si>
  <si>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</si>
  <si>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</si>
  <si>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</si>
  <si>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</si>
  <si>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</si>
  <si>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</si>
  <si>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</si>
  <si>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</si>
  <si>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</si>
  <si>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</si>
  <si>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</si>
  <si>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</si>
  <si>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</si>
  <si>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</si>
  <si>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</si>
  <si>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</si>
  <si>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</si>
  <si>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</si>
  <si>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</si>
  <si>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</si>
  <si>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</si>
  <si>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</si>
  <si>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</si>
  <si>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</si>
  <si>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</si>
  <si>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</si>
  <si>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</si>
  <si>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</si>
  <si>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</si>
  <si>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</si>
  <si>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</si>
  <si>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</si>
  <si>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</si>
  <si>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</si>
  <si>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</si>
  <si>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</si>
  <si>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</si>
  <si>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</si>
  <si>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</si>
  <si>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</si>
  <si>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</si>
  <si>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</si>
  <si>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</si>
  <si>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</si>
  <si>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</si>
  <si>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</si>
  <si>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</si>
  <si>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</si>
  <si>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</si>
  <si>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</si>
  <si>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</si>
  <si>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</si>
  <si>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</si>
  <si>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</si>
  <si>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</si>
  <si>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</si>
  <si>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</si>
  <si>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</si>
  <si>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</si>
  <si>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</si>
  <si>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</si>
  <si>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</si>
  <si>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</si>
  <si>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</si>
  <si>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</si>
  <si>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</si>
  <si>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</si>
  <si>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</si>
  <si>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</si>
  <si>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</si>
  <si>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</si>
  <si>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</si>
  <si>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</si>
  <si>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</si>
  <si>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</si>
  <si>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</si>
  <si>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</si>
  <si>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</si>
  <si>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</si>
  <si>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</si>
  <si>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</si>
  <si>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</si>
  <si>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</si>
  <si>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</si>
  <si>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</si>
  <si>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</si>
  <si>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</si>
  <si>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</si>
  <si>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</si>
  <si>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</si>
  <si>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</si>
  <si>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</si>
  <si>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</si>
  <si>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</si>
  <si>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</si>
  <si>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</si>
  <si>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</si>
  <si>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</si>
  <si>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</si>
  <si>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</si>
  <si>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</si>
  <si>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</si>
  <si>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</si>
  <si>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</si>
  <si>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</si>
  <si>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</si>
  <si>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</si>
  <si>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</si>
  <si>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</si>
  <si>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</si>
  <si>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</si>
  <si>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</si>
  <si>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</si>
  <si>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</si>
  <si>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</si>
  <si>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</si>
  <si>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</si>
  <si>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</si>
  <si>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</si>
  <si>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</si>
  <si>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</si>
  <si>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</si>
  <si>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</si>
  <si>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</si>
  <si>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</si>
  <si>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</si>
  <si>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</si>
  <si>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</si>
  <si>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</si>
  <si>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</si>
  <si>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</si>
  <si>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</si>
  <si>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</si>
  <si>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</si>
  <si>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</si>
  <si>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</si>
  <si>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</si>
  <si>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</si>
  <si>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</si>
  <si>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</si>
  <si>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</si>
  <si>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</si>
  <si>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</si>
  <si>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</si>
  <si>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</si>
  <si>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</si>
  <si>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</si>
  <si>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</si>
  <si>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</si>
  <si>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</si>
  <si>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</si>
  <si>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</si>
  <si>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</si>
  <si>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</si>
  <si>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</si>
  <si>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</si>
  <si>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</si>
  <si>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</si>
  <si>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</si>
  <si>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</si>
  <si>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</si>
  <si>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</si>
  <si>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</si>
  <si>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</si>
  <si>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</si>
  <si>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</si>
  <si>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</si>
  <si>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</si>
  <si>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</si>
  <si>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</si>
  <si>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</si>
  <si>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</si>
  <si>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</si>
  <si>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</si>
  <si>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</si>
  <si>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</si>
  <si>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</si>
  <si>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</si>
  <si>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</si>
  <si>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</si>
  <si>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</si>
  <si>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</si>
  <si>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</si>
  <si>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</si>
  <si>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</si>
  <si>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</si>
  <si>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</si>
  <si>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</si>
  <si>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</si>
  <si>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</si>
  <si>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</si>
  <si>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</si>
  <si>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</si>
  <si>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</si>
  <si>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</si>
  <si>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</si>
  <si>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</si>
  <si>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</si>
  <si>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</si>
  <si>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</si>
  <si>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</si>
  <si>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</si>
  <si>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</si>
  <si>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</si>
  <si>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</si>
  <si>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</si>
  <si>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</si>
  <si>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</si>
  <si>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</si>
  <si>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</si>
  <si>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</si>
  <si>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</si>
  <si>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</si>
  <si>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</si>
  <si>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</si>
  <si>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</si>
  <si>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</si>
  <si>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</si>
  <si>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</si>
  <si>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</si>
  <si>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</si>
  <si>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</si>
  <si>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</si>
  <si>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</si>
  <si>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</si>
  <si>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</si>
  <si>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</si>
  <si>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</si>
  <si>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</si>
  <si>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</si>
  <si>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</si>
  <si>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</si>
  <si>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</si>
  <si>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</si>
  <si>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</si>
  <si>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</si>
  <si>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</si>
  <si>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</si>
  <si>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</si>
  <si>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</si>
  <si>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</si>
  <si>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</si>
  <si>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</si>
  <si>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</si>
  <si>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</si>
  <si>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</si>
  <si>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</si>
  <si>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</si>
  <si>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</si>
  <si>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</si>
  <si>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</si>
  <si>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</si>
  <si>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</si>
  <si>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</si>
  <si>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</si>
  <si>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</si>
  <si>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</si>
  <si>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</si>
  <si>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</si>
  <si>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</si>
  <si>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</si>
  <si>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</si>
  <si>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</si>
  <si>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</si>
  <si>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</si>
  <si>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</si>
  <si>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</si>
  <si>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</si>
  <si>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</si>
  <si>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</si>
  <si>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</si>
  <si>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</si>
  <si>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</si>
  <si>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</si>
  <si>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</si>
  <si>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</si>
  <si>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</si>
  <si>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</si>
  <si>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</si>
  <si>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</si>
  <si>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</si>
  <si>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</si>
  <si>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</si>
  <si>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</si>
  <si>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</si>
  <si>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</si>
  <si>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</si>
  <si>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</si>
  <si>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</si>
  <si>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</si>
  <si>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</si>
  <si>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</si>
  <si>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</si>
  <si>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</si>
  <si>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</si>
  <si>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</si>
  <si>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</si>
  <si>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</si>
  <si>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</si>
  <si>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</si>
  <si>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</si>
  <si>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</si>
  <si>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</si>
  <si>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</si>
  <si>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</si>
  <si>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</si>
  <si>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</si>
  <si>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</si>
  <si>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</si>
  <si>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</si>
  <si>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</si>
  <si>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</si>
  <si>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</si>
  <si>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</si>
  <si>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</si>
  <si>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</si>
  <si>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</si>
  <si>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</si>
  <si>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</si>
  <si>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</si>
  <si>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</si>
  <si>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</si>
  <si>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</si>
  <si>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</si>
  <si>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</si>
  <si>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</si>
  <si>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</si>
  <si>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</si>
  <si>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</si>
  <si>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</si>
  <si>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</si>
  <si>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</si>
  <si>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</si>
  <si>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</si>
  <si>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</si>
  <si>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</si>
  <si>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</si>
  <si>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</si>
  <si>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</si>
  <si>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</si>
  <si>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</si>
  <si>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</si>
  <si>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</si>
  <si>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</si>
  <si>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</si>
  <si>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</si>
  <si>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</si>
  <si>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</si>
  <si>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</si>
  <si>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</si>
  <si>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</si>
  <si>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</si>
  <si>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</si>
  <si>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</si>
  <si>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</si>
  <si>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</si>
  <si>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</si>
  <si>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</si>
  <si>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</si>
  <si>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</si>
  <si>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Number_Backers</t>
  </si>
  <si>
    <t>Average_Donation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</si>
  <si>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</si>
  <si>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</si>
  <si>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</si>
  <si>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</si>
  <si>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</si>
  <si>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</si>
  <si>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</si>
  <si>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MAKERSPACES</t>
  </si>
  <si>
    <t>MUSICALS</t>
  </si>
  <si>
    <t>Standard Deviation of Goal</t>
  </si>
  <si>
    <t>Upper Quartile of Goal</t>
  </si>
  <si>
    <t>Lower Quartile of Goal</t>
  </si>
  <si>
    <t>IQR of Goal</t>
  </si>
  <si>
    <t>Deliverable 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</si>
  <si>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</si>
  <si>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</si>
  <si>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</si>
  <si>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</si>
  <si>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</si>
  <si>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</si>
  <si>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</si>
  <si>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$50,000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</si>
  <si>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</si>
  <si>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</si>
  <si>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</si>
  <si>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</si>
  <si>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</si>
  <si>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</si>
  <si>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</si>
  <si>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</si>
  <si>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</si>
  <si>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</si>
  <si>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Data Based on "Plays"</t>
  </si>
  <si>
    <t>Deliverable 2</t>
  </si>
  <si>
    <t>Less than $1,000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</si>
</sst>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165" fontId="0" fillId="0" borderId="0" xfId="0" pivotButton="1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6" fontId="0" fillId="0" borderId="0" xfId="2" applyNumberFormat="1" applyFont="1"/>
    <xf numFmtId="0" fontId="0" fillId="0" borderId="1" xfId="0" applyBorder="1"/>
    <xf numFmtId="0" fontId="0" fillId="0" borderId="3" xfId="0" applyBorder="1"/>
    <xf numFmtId="44" fontId="0" fillId="0" borderId="1" xfId="2" applyFont="1" applyBorder="1"/>
    <xf numFmtId="166" fontId="0" fillId="0" borderId="3" xfId="2" applyNumberFormat="1" applyFont="1" applyBorder="1"/>
    <xf numFmtId="166" fontId="0" fillId="0" borderId="1" xfId="2" applyNumberFormat="1" applyFont="1" applyBorder="1"/>
    <xf numFmtId="166" fontId="1" fillId="4" borderId="2" xfId="5" applyNumberFormat="1" applyFont="1" applyBorder="1"/>
    <xf numFmtId="0" fontId="4" fillId="4" borderId="2" xfId="5" applyFont="1" applyBorder="1"/>
    <xf numFmtId="166" fontId="1" fillId="3" borderId="2" xfId="4" applyNumberFormat="1" applyFont="1" applyBorder="1"/>
    <xf numFmtId="0" fontId="4" fillId="3" borderId="2" xfId="4" applyFont="1" applyBorder="1"/>
    <xf numFmtId="0" fontId="3" fillId="2" borderId="1" xfId="3" applyBorder="1"/>
    <xf numFmtId="0" fontId="0" fillId="0" borderId="1" xfId="0" applyBorder="1" applyAlignment="1">
      <alignment wrapText="1"/>
    </xf>
    <xf numFmtId="0" fontId="1" fillId="0" borderId="0" xfId="0" applyFont="1"/>
    <xf numFmtId="0" fontId="5" fillId="0" borderId="0" xfId="0" applyFont="1"/>
    <xf numFmtId="0" fontId="1" fillId="5" borderId="4" xfId="0" applyFont="1" applyFill="1" applyBorder="1"/>
    <xf numFmtId="0" fontId="1" fillId="5" borderId="5" xfId="0" applyFont="1" applyFill="1" applyBorder="1"/>
    <xf numFmtId="9" fontId="1" fillId="5" borderId="5" xfId="6" applyFont="1" applyFill="1" applyBorder="1"/>
    <xf numFmtId="9" fontId="1" fillId="5" borderId="6" xfId="6" applyFont="1" applyFill="1" applyBorder="1"/>
    <xf numFmtId="0" fontId="0" fillId="0" borderId="7" xfId="0" applyBorder="1"/>
    <xf numFmtId="0" fontId="0" fillId="0" borderId="0" xfId="0" applyBorder="1"/>
    <xf numFmtId="9" fontId="0" fillId="0" borderId="0" xfId="6" applyFont="1" applyBorder="1"/>
    <xf numFmtId="9" fontId="0" fillId="0" borderId="8" xfId="6" applyFont="1" applyBorder="1"/>
    <xf numFmtId="0" fontId="0" fillId="0" borderId="9" xfId="0" applyBorder="1"/>
    <xf numFmtId="0" fontId="0" fillId="0" borderId="10" xfId="0" applyBorder="1"/>
    <xf numFmtId="9" fontId="0" fillId="0" borderId="10" xfId="6" applyFont="1" applyBorder="1"/>
    <xf numFmtId="9" fontId="0" fillId="0" borderId="11" xfId="6" applyFont="1" applyBorder="1"/>
    <xf numFmtId="0" fontId="4" fillId="0" borderId="0" xfId="0" applyFont="1"/>
    <xf numFmtId="9" fontId="0" fillId="0" borderId="0" xfId="6" applyFont="1"/>
  </cellXfs>
  <cellStyles count="7">
    <cellStyle name="60% - Accent3" xfId="4" builtinId="40"/>
    <cellStyle name="60% - Accent6" xfId="5" builtinId="52"/>
    <cellStyle name="Accent1" xfId="3" builtinId="29"/>
    <cellStyle name="Comma" xfId="1" builtinId="3"/>
    <cellStyle name="Currency" xfId="2" builtinId="4"/>
    <cellStyle name="Normal" xfId="0" builtinId="0"/>
    <cellStyle name="Percent" xfId="6" builtinId="5"/>
  </cellStyles>
  <dxfs count="35">
    <dxf>
      <numFmt numFmtId="165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7C80"/>
            </a:solidFill>
            <a:ln w="9525">
              <a:solidFill>
                <a:srgbClr val="FF7C8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8940291142863586E-2"/>
          <c:y val="0.11572853393325835"/>
          <c:w val="0.93218976330442593"/>
          <c:h val="0.6883159605049370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54-474D-B5F9-A96263EEB800}"/>
              </c:ext>
            </c:extLst>
          </c:dPt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4-474D-B5F9-A96263EEB80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EC-4619-9CA3-AF1AE8C31D5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EC-4619-9CA3-AF1AE8C31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143184"/>
        <c:axId val="1184859440"/>
      </c:lineChart>
      <c:catAx>
        <c:axId val="119214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59440"/>
        <c:crosses val="autoZero"/>
        <c:auto val="1"/>
        <c:lblAlgn val="ctr"/>
        <c:lblOffset val="100"/>
        <c:noMultiLvlLbl val="0"/>
      </c:catAx>
      <c:valAx>
        <c:axId val="11848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1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algn="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921462259376959E-2"/>
          <c:y val="9.6777520572591202E-2"/>
          <c:w val="0.92122678109966327"/>
          <c:h val="0.7010377394849942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C-4A89-A08F-597E6771B0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C-4A89-A08F-597E6771B0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BC-4A89-A08F-597E6771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5280"/>
        <c:axId val="1246285216"/>
      </c:lineChart>
      <c:catAx>
        <c:axId val="1199915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Goal-Amount Ranges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85216"/>
        <c:crosses val="autoZero"/>
        <c:auto val="1"/>
        <c:lblAlgn val="ctr"/>
        <c:lblOffset val="100"/>
        <c:noMultiLvlLbl val="0"/>
      </c:catAx>
      <c:valAx>
        <c:axId val="12462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algn="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Parent Category Outcomes - US</a:t>
            </a:r>
          </a:p>
        </c:rich>
      </c:tx>
      <c:layout>
        <c:manualLayout>
          <c:xMode val="edge"/>
          <c:yMode val="edge"/>
          <c:x val="0.32449801010858004"/>
          <c:y val="5.80715166210097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A-4553-8C84-7BCF1F0725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A-4553-8C84-7BCF1F0725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A-4553-8C84-7BCF1F0725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3A-4553-8C84-7BCF1F07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087647"/>
        <c:axId val="1213359343"/>
      </c:barChart>
      <c:catAx>
        <c:axId val="99508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359343"/>
        <c:crosses val="autoZero"/>
        <c:auto val="1"/>
        <c:lblAlgn val="ctr"/>
        <c:lblOffset val="100"/>
        <c:noMultiLvlLbl val="0"/>
      </c:catAx>
      <c:valAx>
        <c:axId val="12133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876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layout>
        <c:manualLayout>
          <c:xMode val="edge"/>
          <c:yMode val="edge"/>
          <c:x val="0.45643240281865721"/>
          <c:y val="6.358719330124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40706944342235E-2"/>
          <c:y val="0.15251600337288157"/>
          <c:w val="0.9313253366693649"/>
          <c:h val="0.509014382251992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_(* #,##0_);_(* \(#,##0\);_(* "-"??_);_(@_)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D-4E6A-86CE-A93E1167BF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_(* #,##0_);_(* \(#,##0\);_(* "-"??_);_(@_)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D-4E6A-86CE-A93E1167BF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_(* #,##0_);_(* \(#,##0\);_(* "-"??_);_(@_)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D-4E6A-86CE-A93E1167BF5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_(* #,##0_);_(* \(#,##0\);_(* "-"??_);_(@_)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5-4178-98A1-17817BF9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258735"/>
        <c:axId val="1429750639"/>
      </c:barChart>
      <c:catAx>
        <c:axId val="138025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50639"/>
        <c:crosses val="autoZero"/>
        <c:auto val="1"/>
        <c:lblAlgn val="ctr"/>
        <c:lblOffset val="100"/>
        <c:noMultiLvlLbl val="0"/>
      </c:catAx>
      <c:valAx>
        <c:axId val="1429750639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5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Dates</a:t>
            </a:r>
          </a:p>
        </c:rich>
      </c:tx>
      <c:layout>
        <c:manualLayout>
          <c:xMode val="edge"/>
          <c:yMode val="edge"/>
          <c:x val="0.31221142184813105"/>
          <c:y val="4.6663638199071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10214499049689"/>
          <c:y val="0.15592645871189179"/>
          <c:w val="0.81066796995203183"/>
          <c:h val="0.5515623828271466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D4C-B22B-A2A686BE23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8A-4D4C-B22B-A2A686BE23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8A-4D4C-B22B-A2A686BE23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8A-4D4C-B22B-A2A686BE2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54583903"/>
        <c:axId val="1281835775"/>
      </c:lineChart>
      <c:catAx>
        <c:axId val="145458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835775"/>
        <c:crosses val="autoZero"/>
        <c:auto val="1"/>
        <c:lblAlgn val="ctr"/>
        <c:lblOffset val="100"/>
        <c:noMultiLvlLbl val="0"/>
      </c:catAx>
      <c:valAx>
        <c:axId val="1281835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839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64293</xdr:colOff>
      <xdr:row>3</xdr:row>
      <xdr:rowOff>90486</xdr:rowOff>
    </xdr:from>
    <xdr:to>
      <xdr:col>17</xdr:col>
      <xdr:colOff>342899</xdr:colOff>
      <xdr:row>25</xdr:row>
      <xdr:rowOff>109536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B5E92-9C42-43AF-A3C5-C2F801BB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1276350</xdr:colOff>
      <xdr:row>16</xdr:row>
      <xdr:rowOff>76196</xdr:rowOff>
    </xdr:from>
    <xdr:to>
      <xdr:col>8</xdr:col>
      <xdr:colOff>57149</xdr:colOff>
      <xdr:row>44</xdr:row>
      <xdr:rowOff>68451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A99B8-858A-4151-B0A0-981A41C3B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123823</xdr:rowOff>
    </xdr:from>
    <xdr:to>
      <xdr:col>19</xdr:col>
      <xdr:colOff>552450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AA208-C9C8-4F38-BFB5-F9C3F16C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347661</xdr:colOff>
      <xdr:row>1</xdr:row>
      <xdr:rowOff>123825</xdr:rowOff>
    </xdr:from>
    <xdr:to>
      <xdr:col>20</xdr:col>
      <xdr:colOff>195262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C570B-9F41-470C-A49D-71E01EF32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166687</xdr:rowOff>
    </xdr:from>
    <xdr:to>
      <xdr:col>17</xdr:col>
      <xdr:colOff>452436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62041-2B36-4698-9640-CC76218D0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Yoro" refreshedDate="44147.948835416668" createdVersion="6" refreshedVersion="6" minRefreshableVersion="3" recordCount="4114" xr:uid="{E00A0A24-095E-41A2-9C6A-9AF27E7088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Yoro" refreshedDate="44147.972379166669" createdVersion="6" refreshedVersion="6" minRefreshableVersion="3" recordCount="4114" xr:uid="{20C37E4D-A426-4207-9562-89D083BA6A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0736807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ine Yoro" refreshedDate="44148.096229050927" createdVersion="6" refreshedVersion="6" minRefreshableVersion="3" recordCount="4114" xr:uid="{0E5FC5D5-935B-4549-B849-C9E4D39F36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3022294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C6D0F-C454-4662-B542-E7CED356A343}" name="PivotTable1" cacheId="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0">
      <pivotArea dataOnly="0" grandCol="1" outline="0" fieldPosition="0"/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F15EB-D997-4D19-B036-5969F00624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85D2-9CC2-4503-95A2-4B8A64D822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 numFmtId="165"/>
  </dataFields>
  <formats count="6">
    <format dxfId="30">
      <pivotArea grandCol="1" outline="0" collapsedLevelsAreSubtotals="1" fieldPosition="0"/>
    </format>
    <format dxfId="29">
      <pivotArea outline="0" collapsedLevelsAreSubtotals="1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1FD27-BC70-40F6-97ED-75C9DAD8F12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S3" activePane="bottomRight" state="frozen"/>
      <selection pane="topRight" activeCell="D1" sqref="D1"/>
      <selection pane="bottomLeft" activeCell="A2" sqref="A2"/>
      <selection pane="bottomRight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6.0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style="18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  <c r="U1" s="1" t="s">
        <v>8379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s="11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1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s="11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s="11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s="11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s="1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s="11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s="11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s="11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s="11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s="11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s="11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s="11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s="11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s="11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s="1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s="11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s="11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s="11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s="11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s="11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s="11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s="11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s="11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s="11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s="1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s="11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s="11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s="11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s="11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s="11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s="11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s="11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s="11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s="11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s="1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s="11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s="11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s="11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s="11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s="11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s="11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s="11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s="11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s="11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s="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s="11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s="11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s="11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s="11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s="11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s="11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s="11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s="11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s="11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s="1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s="11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s="11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s="11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s="11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s="11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s="11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s="11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s="11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s="11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s="1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s="11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s="11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s="11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s="11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s="11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s="11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s="11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s="11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s="11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s="1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s="11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s="11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s="11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s="11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s="11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s="11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s="11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s="11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s="11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s="1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s="11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s="11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s="11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s="11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s="11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s="11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s="11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s="11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s="11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s="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s="11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s="11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s="11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s="11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s="11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s="11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s="11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s="11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s="11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s="1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s="11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s="11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s="11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s="11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s="11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s="11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s="11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s="11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s="11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s="1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s="11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s="11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s="11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s="11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s="11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s="11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s="11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s="11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s="11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s="1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s="11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s="11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s="11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s="11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1"/>
  </sortState>
  <conditionalFormatting sqref="F1:F1048576">
    <cfRule type="cellIs" dxfId="34" priority="2" operator="equal">
      <formula>"canceled"</formula>
    </cfRule>
    <cfRule type="cellIs" dxfId="33" priority="3" operator="equal">
      <formula>"failed"</formula>
    </cfRule>
    <cfRule type="cellIs" dxfId="32" priority="4" operator="equal">
      <formula>"successful"</formula>
    </cfRule>
    <cfRule type="cellIs" dxfId="31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FE20-1861-4104-AA2B-98E3235E1582}">
  <dimension ref="A1:F19"/>
  <sheetViews>
    <sheetView showGridLines="0" tabSelected="1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1.3984375" bestFit="1" customWidth="1"/>
    <col min="6" max="6" width="10.19921875" bestFit="1" customWidth="1"/>
  </cols>
  <sheetData>
    <row r="1" spans="1:6" ht="15.75" x14ac:dyDescent="0.5">
      <c r="A1" s="34" t="s">
        <v>8399</v>
      </c>
    </row>
    <row r="2" spans="1:6" x14ac:dyDescent="0.45">
      <c r="A2" s="12" t="s">
        <v>8358</v>
      </c>
      <c r="B2" t="s">
        <v>8315</v>
      </c>
    </row>
    <row r="3" spans="1:6" x14ac:dyDescent="0.45">
      <c r="A3" s="12" t="s">
        <v>8379</v>
      </c>
      <c r="B3" t="s">
        <v>8363</v>
      </c>
    </row>
    <row r="5" spans="1:6" x14ac:dyDescent="0.45">
      <c r="A5" s="12" t="s">
        <v>8364</v>
      </c>
      <c r="B5" s="12" t="s">
        <v>8360</v>
      </c>
    </row>
    <row r="6" spans="1:6" x14ac:dyDescent="0.45">
      <c r="A6" s="12" t="s">
        <v>8362</v>
      </c>
      <c r="B6" t="s">
        <v>8218</v>
      </c>
      <c r="C6" t="s">
        <v>8220</v>
      </c>
      <c r="D6" t="s">
        <v>8219</v>
      </c>
      <c r="E6" s="16" t="s">
        <v>8361</v>
      </c>
    </row>
    <row r="7" spans="1:6" x14ac:dyDescent="0.45">
      <c r="A7" s="20" t="s">
        <v>8373</v>
      </c>
      <c r="B7" s="14">
        <v>56</v>
      </c>
      <c r="C7" s="14">
        <v>33</v>
      </c>
      <c r="D7" s="14">
        <v>7</v>
      </c>
      <c r="E7" s="16">
        <v>96</v>
      </c>
      <c r="F7" s="48"/>
    </row>
    <row r="8" spans="1:6" x14ac:dyDescent="0.45">
      <c r="A8" s="20" t="s">
        <v>8374</v>
      </c>
      <c r="B8" s="14">
        <v>71</v>
      </c>
      <c r="C8" s="14">
        <v>39</v>
      </c>
      <c r="D8" s="14">
        <v>3</v>
      </c>
      <c r="E8" s="16">
        <v>113</v>
      </c>
      <c r="F8" s="48"/>
    </row>
    <row r="9" spans="1:6" x14ac:dyDescent="0.45">
      <c r="A9" s="20" t="s">
        <v>8375</v>
      </c>
      <c r="B9" s="14">
        <v>56</v>
      </c>
      <c r="C9" s="14">
        <v>33</v>
      </c>
      <c r="D9" s="14">
        <v>3</v>
      </c>
      <c r="E9" s="16">
        <v>92</v>
      </c>
      <c r="F9" s="48"/>
    </row>
    <row r="10" spans="1:6" x14ac:dyDescent="0.45">
      <c r="A10" s="20" t="s">
        <v>8376</v>
      </c>
      <c r="B10" s="14">
        <v>71</v>
      </c>
      <c r="C10" s="14">
        <v>40</v>
      </c>
      <c r="D10" s="14">
        <v>2</v>
      </c>
      <c r="E10" s="16">
        <v>113</v>
      </c>
      <c r="F10" s="48"/>
    </row>
    <row r="11" spans="1:6" x14ac:dyDescent="0.45">
      <c r="A11" s="20" t="s">
        <v>8367</v>
      </c>
      <c r="B11" s="14">
        <v>111</v>
      </c>
      <c r="C11" s="14">
        <v>52</v>
      </c>
      <c r="D11" s="14">
        <v>3</v>
      </c>
      <c r="E11" s="16">
        <v>166</v>
      </c>
      <c r="F11" s="48"/>
    </row>
    <row r="12" spans="1:6" x14ac:dyDescent="0.45">
      <c r="A12" s="20" t="s">
        <v>8377</v>
      </c>
      <c r="B12" s="14">
        <v>100</v>
      </c>
      <c r="C12" s="14">
        <v>49</v>
      </c>
      <c r="D12" s="14">
        <v>4</v>
      </c>
      <c r="E12" s="16">
        <v>153</v>
      </c>
      <c r="F12" s="48"/>
    </row>
    <row r="13" spans="1:6" x14ac:dyDescent="0.45">
      <c r="A13" s="20" t="s">
        <v>8368</v>
      </c>
      <c r="B13" s="14">
        <v>87</v>
      </c>
      <c r="C13" s="14">
        <v>50</v>
      </c>
      <c r="D13" s="14">
        <v>1</v>
      </c>
      <c r="E13" s="16">
        <v>138</v>
      </c>
      <c r="F13" s="48"/>
    </row>
    <row r="14" spans="1:6" x14ac:dyDescent="0.45">
      <c r="A14" s="20" t="s">
        <v>8369</v>
      </c>
      <c r="B14" s="14">
        <v>72</v>
      </c>
      <c r="C14" s="14">
        <v>47</v>
      </c>
      <c r="D14" s="14">
        <v>4</v>
      </c>
      <c r="E14" s="16">
        <v>123</v>
      </c>
      <c r="F14" s="48"/>
    </row>
    <row r="15" spans="1:6" x14ac:dyDescent="0.45">
      <c r="A15" s="20" t="s">
        <v>8370</v>
      </c>
      <c r="B15" s="14">
        <v>59</v>
      </c>
      <c r="C15" s="14">
        <v>34</v>
      </c>
      <c r="D15" s="14">
        <v>4</v>
      </c>
      <c r="E15" s="16">
        <v>97</v>
      </c>
      <c r="F15" s="48"/>
    </row>
    <row r="16" spans="1:6" x14ac:dyDescent="0.45">
      <c r="A16" s="20" t="s">
        <v>8371</v>
      </c>
      <c r="B16" s="14">
        <v>65</v>
      </c>
      <c r="C16" s="14">
        <v>50</v>
      </c>
      <c r="D16" s="14"/>
      <c r="E16" s="16">
        <v>115</v>
      </c>
      <c r="F16" s="48"/>
    </row>
    <row r="17" spans="1:6" x14ac:dyDescent="0.45">
      <c r="A17" s="20" t="s">
        <v>8372</v>
      </c>
      <c r="B17" s="14">
        <v>54</v>
      </c>
      <c r="C17" s="14">
        <v>31</v>
      </c>
      <c r="D17" s="14">
        <v>3</v>
      </c>
      <c r="E17" s="16">
        <v>88</v>
      </c>
      <c r="F17" s="48"/>
    </row>
    <row r="18" spans="1:6" x14ac:dyDescent="0.45">
      <c r="A18" s="20" t="s">
        <v>8378</v>
      </c>
      <c r="B18" s="14">
        <v>37</v>
      </c>
      <c r="C18" s="14">
        <v>35</v>
      </c>
      <c r="D18" s="14">
        <v>3</v>
      </c>
      <c r="E18" s="16">
        <v>75</v>
      </c>
      <c r="F18" s="48"/>
    </row>
    <row r="19" spans="1:6" x14ac:dyDescent="0.45">
      <c r="A19" s="20" t="s">
        <v>8361</v>
      </c>
      <c r="B19" s="14">
        <v>839</v>
      </c>
      <c r="C19" s="14">
        <v>493</v>
      </c>
      <c r="D19" s="14">
        <v>37</v>
      </c>
      <c r="E19" s="16">
        <v>1369</v>
      </c>
      <c r="F19" s="4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CEA7-1C3D-4128-A106-5CB0DD91CB2C}">
  <dimension ref="A1:H16"/>
  <sheetViews>
    <sheetView showGridLines="0" zoomScaleNormal="100" workbookViewId="0"/>
  </sheetViews>
  <sheetFormatPr defaultRowHeight="14.25" x14ac:dyDescent="0.45"/>
  <cols>
    <col min="1" max="5" width="18.33203125" customWidth="1"/>
    <col min="6" max="6" width="19.3984375" bestFit="1" customWidth="1"/>
    <col min="7" max="8" width="18.33203125" customWidth="1"/>
  </cols>
  <sheetData>
    <row r="1" spans="1:8" ht="14.65" thickBot="1" x14ac:dyDescent="0.5">
      <c r="A1" s="35" t="s">
        <v>8382</v>
      </c>
      <c r="B1" s="36" t="s">
        <v>8400</v>
      </c>
      <c r="C1" s="36" t="s">
        <v>8401</v>
      </c>
      <c r="D1" s="36" t="s">
        <v>8402</v>
      </c>
      <c r="E1" s="36" t="s">
        <v>8403</v>
      </c>
      <c r="F1" s="37" t="s">
        <v>8404</v>
      </c>
      <c r="G1" s="37" t="s">
        <v>8405</v>
      </c>
      <c r="H1" s="38" t="s">
        <v>8406</v>
      </c>
    </row>
    <row r="2" spans="1:8" ht="14.65" thickTop="1" x14ac:dyDescent="0.45">
      <c r="A2" s="39" t="s">
        <v>8420</v>
      </c>
      <c r="B2" s="40">
        <f>COUNTIFS(Kickstarter!D:D,"&lt;1000",Kickstarter!F:F,"Successful",Kickstarter!R:R,"plays")</f>
        <v>141</v>
      </c>
      <c r="C2" s="40">
        <f>COUNTIFS(Kickstarter!D:D,"&lt;1000",Kickstarter!F:F,"Failed",Kickstarter!R:R,"plays")</f>
        <v>45</v>
      </c>
      <c r="D2" s="40">
        <f>COUNTIFS(Kickstarter!D:D,"&lt;1000",Kickstarter!F:F,"Canceled",Kickstarter!R:R,"plays")</f>
        <v>0</v>
      </c>
      <c r="E2" s="40">
        <f>SUM(B2:D2)</f>
        <v>186</v>
      </c>
      <c r="F2" s="41">
        <f>IFERROR(B2/E2,0)</f>
        <v>0.75806451612903225</v>
      </c>
      <c r="G2" s="41">
        <f>IFERROR(C2/E2,0)</f>
        <v>0.24193548387096775</v>
      </c>
      <c r="H2" s="42">
        <f>IFERROR(D2/E2,0)</f>
        <v>0</v>
      </c>
    </row>
    <row r="3" spans="1:8" x14ac:dyDescent="0.45">
      <c r="A3" s="39" t="s">
        <v>8408</v>
      </c>
      <c r="B3" s="40">
        <f>COUNTIFS(Kickstarter!D:D,"&gt;=1000",Kickstarter!D:D,"&lt;=4999",Kickstarter!F:F,"Successful",Kickstarter!R:R,"plays")</f>
        <v>388</v>
      </c>
      <c r="C3" s="40">
        <f>COUNTIFS(Kickstarter!D:D,"&gt;=1000",Kickstarter!D:D,"&lt;=4999",Kickstarter!F:F,"Failed",Kickstarter!R:R,"plays")</f>
        <v>146</v>
      </c>
      <c r="D3" s="40">
        <f>COUNTIFS(Kickstarter!D:D,"&gt;=1000",Kickstarter!D:D,"&lt;=4999",Kickstarter!F:F,"Canceled",Kickstarter!R:R,"plays")</f>
        <v>0</v>
      </c>
      <c r="E3" s="40">
        <f t="shared" ref="E3:E13" si="0">SUM(B3:D3)</f>
        <v>534</v>
      </c>
      <c r="F3" s="41">
        <f t="shared" ref="F3:F13" si="1">IFERROR(B3/E3,0)</f>
        <v>0.72659176029962547</v>
      </c>
      <c r="G3" s="41">
        <f t="shared" ref="G3:G13" si="2">IFERROR(C3/E3,0)</f>
        <v>0.27340823970037453</v>
      </c>
      <c r="H3" s="42">
        <f t="shared" ref="H3:H13" si="3">IFERROR(D3/E3,0)</f>
        <v>0</v>
      </c>
    </row>
    <row r="4" spans="1:8" x14ac:dyDescent="0.45">
      <c r="A4" s="39" t="s">
        <v>8409</v>
      </c>
      <c r="B4" s="40">
        <f>COUNTIFS(Kickstarter!D:D,"&gt;=5000",Kickstarter!D:D,"&lt;=9999",Kickstarter!F:F,"Successful",Kickstarter!R:R,"plays")</f>
        <v>93</v>
      </c>
      <c r="C4" s="40">
        <f>COUNTIFS(Kickstarter!D:D,"&gt;=5000",Kickstarter!D:D,"&lt;=9999",Kickstarter!F:F,"Failed",Kickstarter!R:R,"plays")</f>
        <v>76</v>
      </c>
      <c r="D4" s="40">
        <f>COUNTIFS(Kickstarter!D:D,"&gt;=5000",Kickstarter!D:D,"&lt;=9999",Kickstarter!F:F,"Canceled",Kickstarter!R:R,"plays")</f>
        <v>0</v>
      </c>
      <c r="E4" s="40">
        <f t="shared" si="0"/>
        <v>169</v>
      </c>
      <c r="F4" s="41">
        <f t="shared" si="1"/>
        <v>0.55029585798816572</v>
      </c>
      <c r="G4" s="41">
        <f t="shared" si="2"/>
        <v>0.44970414201183434</v>
      </c>
      <c r="H4" s="42">
        <f t="shared" si="3"/>
        <v>0</v>
      </c>
    </row>
    <row r="5" spans="1:8" x14ac:dyDescent="0.45">
      <c r="A5" s="39" t="s">
        <v>8410</v>
      </c>
      <c r="B5" s="40">
        <f>COUNTIFS(Kickstarter!D:D,"&gt;=10000",Kickstarter!D:D,"&lt;=14999",Kickstarter!F:F,"Successful",Kickstarter!R:R,"plays")</f>
        <v>39</v>
      </c>
      <c r="C5" s="40">
        <f>COUNTIFS(Kickstarter!D:D,"&gt;=10000",Kickstarter!D:D,"&lt;=14999",Kickstarter!F:F,"Failed",Kickstarter!R:R,"plays")</f>
        <v>33</v>
      </c>
      <c r="D5" s="40">
        <f>COUNTIFS(Kickstarter!D:D,"&gt;=10000",Kickstarter!D:D,"&lt;=14999",Kickstarter!F:F,"Canceled",Kickstarter!R:R,"plays")</f>
        <v>0</v>
      </c>
      <c r="E5" s="40">
        <f t="shared" si="0"/>
        <v>72</v>
      </c>
      <c r="F5" s="41">
        <f t="shared" si="1"/>
        <v>0.54166666666666663</v>
      </c>
      <c r="G5" s="41">
        <f t="shared" si="2"/>
        <v>0.45833333333333331</v>
      </c>
      <c r="H5" s="42">
        <f t="shared" si="3"/>
        <v>0</v>
      </c>
    </row>
    <row r="6" spans="1:8" x14ac:dyDescent="0.45">
      <c r="A6" s="39" t="s">
        <v>8411</v>
      </c>
      <c r="B6" s="40">
        <f>COUNTIFS(Kickstarter!D:D,"&gt;=15000",Kickstarter!D:D,"&lt;=19999",Kickstarter!F:F,"Successful",Kickstarter!R:R,"plays")</f>
        <v>12</v>
      </c>
      <c r="C6" s="40">
        <f>COUNTIFS(Kickstarter!D:D,"&gt;=15000",Kickstarter!D:D,"&lt;=19999",Kickstarter!F:F,"Failed",Kickstarter!R:R,"plays")</f>
        <v>12</v>
      </c>
      <c r="D6" s="40">
        <f>COUNTIFS(Kickstarter!D:D,"&gt;=15000",Kickstarter!D:D,"&lt;=19999",Kickstarter!F:F,"Canceled",Kickstarter!R:R,"plays")</f>
        <v>0</v>
      </c>
      <c r="E6" s="40">
        <f t="shared" si="0"/>
        <v>24</v>
      </c>
      <c r="F6" s="41">
        <f t="shared" si="1"/>
        <v>0.5</v>
      </c>
      <c r="G6" s="41">
        <f t="shared" si="2"/>
        <v>0.5</v>
      </c>
      <c r="H6" s="42">
        <f t="shared" si="3"/>
        <v>0</v>
      </c>
    </row>
    <row r="7" spans="1:8" x14ac:dyDescent="0.45">
      <c r="A7" s="39" t="s">
        <v>8412</v>
      </c>
      <c r="B7" s="40">
        <f>COUNTIFS(Kickstarter!D:D,"&gt;=20000",Kickstarter!D:D,"&lt;=24999",Kickstarter!F:F,"Successful",Kickstarter!R:R,"plays")</f>
        <v>9</v>
      </c>
      <c r="C7" s="40">
        <f>COUNTIFS(Kickstarter!D:D,"&gt;=20000",Kickstarter!D:D,"&lt;=24999",Kickstarter!F:F,"Failed",Kickstarter!R:R,"plays")</f>
        <v>11</v>
      </c>
      <c r="D7" s="40">
        <f>COUNTIFS(Kickstarter!D:D,"&gt;=20000",Kickstarter!D:D,"&lt;=24999",Kickstarter!F:F,"Canceled",Kickstarter!R:R,"plays")</f>
        <v>0</v>
      </c>
      <c r="E7" s="40">
        <f t="shared" si="0"/>
        <v>20</v>
      </c>
      <c r="F7" s="41">
        <f t="shared" si="1"/>
        <v>0.45</v>
      </c>
      <c r="G7" s="41">
        <f t="shared" si="2"/>
        <v>0.55000000000000004</v>
      </c>
      <c r="H7" s="42">
        <f t="shared" si="3"/>
        <v>0</v>
      </c>
    </row>
    <row r="8" spans="1:8" x14ac:dyDescent="0.45">
      <c r="A8" s="39" t="s">
        <v>8413</v>
      </c>
      <c r="B8" s="40">
        <f>COUNTIFS(Kickstarter!D:D,"&gt;=25000",Kickstarter!D:D,"&lt;=29999",Kickstarter!F:F,"Successful",Kickstarter!R:R,"plays")</f>
        <v>1</v>
      </c>
      <c r="C8" s="40">
        <f>COUNTIFS(Kickstarter!D:D,"&gt;=25000",Kickstarter!D:D,"&lt;=29999",Kickstarter!F:F,"Failed",Kickstarter!R:R,"plays")</f>
        <v>4</v>
      </c>
      <c r="D8" s="40">
        <f>COUNTIFS(Kickstarter!D:D,"&gt;=25000",Kickstarter!D:D,"&lt;=29999",Kickstarter!F:F,"Canceled",Kickstarter!R:R,"plays")</f>
        <v>0</v>
      </c>
      <c r="E8" s="40">
        <f t="shared" si="0"/>
        <v>5</v>
      </c>
      <c r="F8" s="41">
        <f t="shared" si="1"/>
        <v>0.2</v>
      </c>
      <c r="G8" s="41">
        <f t="shared" si="2"/>
        <v>0.8</v>
      </c>
      <c r="H8" s="42">
        <f t="shared" si="3"/>
        <v>0</v>
      </c>
    </row>
    <row r="9" spans="1:8" x14ac:dyDescent="0.45">
      <c r="A9" s="39" t="s">
        <v>8414</v>
      </c>
      <c r="B9" s="40">
        <f>COUNTIFS(Kickstarter!D:D,"&gt;=30000",Kickstarter!D:D,"&lt;=34999",Kickstarter!F:F,"Successful",Kickstarter!R:R,"plays")</f>
        <v>3</v>
      </c>
      <c r="C9" s="40">
        <f>COUNTIFS(Kickstarter!D:D,"&gt;=30000",Kickstarter!D:D,"&lt;=34999",Kickstarter!F:F,"Failed",Kickstarter!R:R,"plays")</f>
        <v>8</v>
      </c>
      <c r="D9" s="40">
        <f>COUNTIFS(Kickstarter!D:D,"&gt;=30000",Kickstarter!D:D,"&lt;=34999",Kickstarter!F:F,"Canceled",Kickstarter!R:R,"plays")</f>
        <v>0</v>
      </c>
      <c r="E9" s="40">
        <f t="shared" si="0"/>
        <v>11</v>
      </c>
      <c r="F9" s="41">
        <f t="shared" si="1"/>
        <v>0.27272727272727271</v>
      </c>
      <c r="G9" s="41">
        <f t="shared" si="2"/>
        <v>0.72727272727272729</v>
      </c>
      <c r="H9" s="42">
        <f t="shared" si="3"/>
        <v>0</v>
      </c>
    </row>
    <row r="10" spans="1:8" x14ac:dyDescent="0.45">
      <c r="A10" s="39" t="s">
        <v>8415</v>
      </c>
      <c r="B10" s="40">
        <f>COUNTIFS(Kickstarter!D:D,"&gt;=35000",Kickstarter!D:D,"&lt;=39999",Kickstarter!F:F,"Successful",Kickstarter!R:R,"plays")</f>
        <v>4</v>
      </c>
      <c r="C10" s="40">
        <f>COUNTIFS(Kickstarter!D:D,"&gt;=35000",Kickstarter!D:D,"&lt;=39999",Kickstarter!F:F,"Failed",Kickstarter!R:R,"plays")</f>
        <v>2</v>
      </c>
      <c r="D10" s="40">
        <f>COUNTIFS(Kickstarter!D:D,"&gt;=35000",Kickstarter!D:D,"&lt;=39999",Kickstarter!F:F,"Canceled",Kickstarter!R:R,"plays")</f>
        <v>0</v>
      </c>
      <c r="E10" s="40">
        <f t="shared" si="0"/>
        <v>6</v>
      </c>
      <c r="F10" s="41">
        <f t="shared" si="1"/>
        <v>0.66666666666666663</v>
      </c>
      <c r="G10" s="41">
        <f t="shared" si="2"/>
        <v>0.33333333333333331</v>
      </c>
      <c r="H10" s="42">
        <f t="shared" si="3"/>
        <v>0</v>
      </c>
    </row>
    <row r="11" spans="1:8" x14ac:dyDescent="0.45">
      <c r="A11" s="39" t="s">
        <v>8416</v>
      </c>
      <c r="B11" s="40">
        <f>COUNTIFS(Kickstarter!D:D,"&gt;=40000",Kickstarter!D:D,"&lt;=44999",Kickstarter!F:F,"Successful",Kickstarter!R:R,"plays")</f>
        <v>2</v>
      </c>
      <c r="C11" s="40">
        <f>COUNTIFS(Kickstarter!D:D,"&gt;=40000",Kickstarter!D:D,"&lt;=44999",Kickstarter!F:F,"Failed",Kickstarter!R:R,"plays")</f>
        <v>1</v>
      </c>
      <c r="D11" s="40">
        <f>COUNTIFS(Kickstarter!D:D,"&gt;=40000",Kickstarter!D:D,"&lt;=44999",Kickstarter!F:F,"Canceled",Kickstarter!R:R,"plays")</f>
        <v>0</v>
      </c>
      <c r="E11" s="40">
        <f t="shared" si="0"/>
        <v>3</v>
      </c>
      <c r="F11" s="41">
        <f t="shared" si="1"/>
        <v>0.66666666666666663</v>
      </c>
      <c r="G11" s="41">
        <f t="shared" si="2"/>
        <v>0.33333333333333331</v>
      </c>
      <c r="H11" s="42">
        <f t="shared" si="3"/>
        <v>0</v>
      </c>
    </row>
    <row r="12" spans="1:8" x14ac:dyDescent="0.45">
      <c r="A12" s="39" t="s">
        <v>8417</v>
      </c>
      <c r="B12" s="40">
        <f>COUNTIFS(Kickstarter!D:D,"&gt;=45000",Kickstarter!D:D,"&lt;=49999",Kickstarter!F:F,"Successful",Kickstarter!R:R,"plays")</f>
        <v>0</v>
      </c>
      <c r="C12" s="40">
        <f>COUNTIFS(Kickstarter!D:D,"&gt;=45000",Kickstarter!D:D,"&lt;=49999",Kickstarter!F:F,"Failed",Kickstarter!R:R,"plays")</f>
        <v>1</v>
      </c>
      <c r="D12" s="40">
        <f>COUNTIFS(Kickstarter!D:D,"&gt;=45000",Kickstarter!D:D,"&lt;=49999",Kickstarter!F:F,"Canceled",Kickstarter!R:R,"plays")</f>
        <v>0</v>
      </c>
      <c r="E12" s="40">
        <f t="shared" si="0"/>
        <v>1</v>
      </c>
      <c r="F12" s="41">
        <f t="shared" si="1"/>
        <v>0</v>
      </c>
      <c r="G12" s="41">
        <f t="shared" si="2"/>
        <v>1</v>
      </c>
      <c r="H12" s="42">
        <f t="shared" si="3"/>
        <v>0</v>
      </c>
    </row>
    <row r="13" spans="1:8" x14ac:dyDescent="0.45">
      <c r="A13" s="43" t="s">
        <v>8407</v>
      </c>
      <c r="B13" s="44">
        <f>COUNTIFS(Kickstarter!D:D,"&gt;=50000",Kickstarter!F:F,"Successful",Kickstarter!R:R,"plays")</f>
        <v>2</v>
      </c>
      <c r="C13" s="44">
        <f>COUNTIFS(Kickstarter!D:D,"&gt;=50000",Kickstarter!F:F,"Failed",Kickstarter!R:R,"plays")</f>
        <v>14</v>
      </c>
      <c r="D13" s="44">
        <f>COUNTIFS(Kickstarter!D:D,"&gt;=50000",Kickstarter!F:F,"Canceled",Kickstarter!R:R,"plays")</f>
        <v>0</v>
      </c>
      <c r="E13" s="44">
        <f t="shared" si="0"/>
        <v>16</v>
      </c>
      <c r="F13" s="45">
        <f t="shared" si="1"/>
        <v>0.125</v>
      </c>
      <c r="G13" s="45">
        <f t="shared" si="2"/>
        <v>0.875</v>
      </c>
      <c r="H13" s="46">
        <f t="shared" si="3"/>
        <v>0</v>
      </c>
    </row>
    <row r="15" spans="1:8" x14ac:dyDescent="0.45">
      <c r="B15" s="33" t="s">
        <v>8419</v>
      </c>
    </row>
    <row r="16" spans="1:8" x14ac:dyDescent="0.45">
      <c r="B16" s="47" t="s">
        <v>8418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FD49-1F0B-47A4-BCF7-7ADB0DFE90F1}">
  <dimension ref="A1:F6"/>
  <sheetViews>
    <sheetView showGridLines="0" topLeftCell="B1" workbookViewId="0">
      <selection activeCell="G9" sqref="G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8364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0B43-354D-4C11-9596-61ACF549F075}">
  <dimension ref="A1:F47"/>
  <sheetViews>
    <sheetView showGridLines="0"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6" style="15" bestFit="1" customWidth="1"/>
    <col min="3" max="3" width="6.46484375" style="15" bestFit="1" customWidth="1"/>
    <col min="4" max="4" width="4.796875" style="15" bestFit="1" customWidth="1"/>
    <col min="5" max="5" width="10.1328125" style="15" bestFit="1" customWidth="1"/>
    <col min="6" max="6" width="11.3984375" style="15" bestFit="1" customWidth="1"/>
  </cols>
  <sheetData>
    <row r="1" spans="1:6" x14ac:dyDescent="0.45">
      <c r="A1" s="12" t="s">
        <v>8222</v>
      </c>
      <c r="B1" t="s">
        <v>8363</v>
      </c>
    </row>
    <row r="2" spans="1:6" x14ac:dyDescent="0.45">
      <c r="A2" s="12" t="s">
        <v>8358</v>
      </c>
      <c r="B2" t="s">
        <v>8315</v>
      </c>
    </row>
    <row r="4" spans="1:6" x14ac:dyDescent="0.45">
      <c r="A4" s="12" t="s">
        <v>8364</v>
      </c>
      <c r="B4" s="17" t="s">
        <v>8360</v>
      </c>
      <c r="C4" s="16"/>
      <c r="D4" s="16"/>
      <c r="E4" s="16"/>
      <c r="F4" s="16"/>
    </row>
    <row r="5" spans="1:6" x14ac:dyDescent="0.45">
      <c r="A5" s="12" t="s">
        <v>8362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8361</v>
      </c>
    </row>
    <row r="6" spans="1:6" x14ac:dyDescent="0.45">
      <c r="A6" s="13" t="s">
        <v>8357</v>
      </c>
      <c r="B6" s="16">
        <v>20</v>
      </c>
      <c r="C6" s="16">
        <v>60</v>
      </c>
      <c r="D6" s="16"/>
      <c r="E6" s="16">
        <v>60</v>
      </c>
      <c r="F6" s="16">
        <v>140</v>
      </c>
    </row>
    <row r="7" spans="1:6" x14ac:dyDescent="0.45">
      <c r="A7" s="13" t="s">
        <v>8316</v>
      </c>
      <c r="B7" s="16"/>
      <c r="C7" s="16">
        <v>353</v>
      </c>
      <c r="D7" s="16">
        <v>19</v>
      </c>
      <c r="E7" s="16">
        <v>694</v>
      </c>
      <c r="F7" s="16">
        <v>1066</v>
      </c>
    </row>
    <row r="8" spans="1:6" x14ac:dyDescent="0.45">
      <c r="A8" s="13" t="s">
        <v>8355</v>
      </c>
      <c r="B8" s="16">
        <v>17</v>
      </c>
      <c r="C8" s="16">
        <v>80</v>
      </c>
      <c r="D8" s="16">
        <v>5</v>
      </c>
      <c r="E8" s="16">
        <v>85</v>
      </c>
      <c r="F8" s="16">
        <v>187</v>
      </c>
    </row>
    <row r="9" spans="1:6" x14ac:dyDescent="0.45">
      <c r="A9" s="13" t="s">
        <v>8361</v>
      </c>
      <c r="B9" s="16">
        <v>37</v>
      </c>
      <c r="C9" s="16">
        <v>493</v>
      </c>
      <c r="D9" s="16">
        <v>24</v>
      </c>
      <c r="E9" s="16">
        <v>839</v>
      </c>
      <c r="F9" s="16">
        <v>1393</v>
      </c>
    </row>
    <row r="10" spans="1:6" x14ac:dyDescent="0.45">
      <c r="B10"/>
      <c r="C10"/>
      <c r="D10"/>
      <c r="E10"/>
      <c r="F10"/>
    </row>
    <row r="11" spans="1:6" x14ac:dyDescent="0.45">
      <c r="B11"/>
      <c r="C11"/>
      <c r="D11"/>
      <c r="E11"/>
      <c r="F11"/>
    </row>
    <row r="12" spans="1:6" x14ac:dyDescent="0.45">
      <c r="B12"/>
      <c r="C12"/>
      <c r="D12"/>
      <c r="E12"/>
      <c r="F12"/>
    </row>
    <row r="13" spans="1:6" x14ac:dyDescent="0.45">
      <c r="B13"/>
      <c r="C13"/>
      <c r="D13"/>
      <c r="E13"/>
      <c r="F13"/>
    </row>
    <row r="14" spans="1:6" x14ac:dyDescent="0.45">
      <c r="B14"/>
      <c r="C14"/>
      <c r="D14"/>
      <c r="E14"/>
      <c r="F14"/>
    </row>
    <row r="15" spans="1:6" x14ac:dyDescent="0.45">
      <c r="B15"/>
      <c r="C15"/>
      <c r="D15"/>
      <c r="E15"/>
      <c r="F15"/>
    </row>
    <row r="16" spans="1:6" x14ac:dyDescent="0.45">
      <c r="B16"/>
      <c r="C16"/>
      <c r="D16"/>
      <c r="E16"/>
      <c r="F16"/>
    </row>
    <row r="17" spans="2:6" x14ac:dyDescent="0.45">
      <c r="B17"/>
      <c r="C17"/>
      <c r="D17"/>
      <c r="E17"/>
      <c r="F17"/>
    </row>
    <row r="18" spans="2:6" x14ac:dyDescent="0.45">
      <c r="B18"/>
      <c r="C18"/>
      <c r="D18"/>
      <c r="E18"/>
      <c r="F18"/>
    </row>
    <row r="19" spans="2:6" x14ac:dyDescent="0.45">
      <c r="B19"/>
      <c r="C19"/>
      <c r="D19"/>
      <c r="E19"/>
      <c r="F19"/>
    </row>
    <row r="20" spans="2:6" x14ac:dyDescent="0.45">
      <c r="B20"/>
      <c r="C20"/>
      <c r="D20"/>
      <c r="E20"/>
      <c r="F20"/>
    </row>
    <row r="21" spans="2:6" x14ac:dyDescent="0.45">
      <c r="B21"/>
      <c r="C21"/>
      <c r="D21"/>
      <c r="E21"/>
      <c r="F21"/>
    </row>
    <row r="22" spans="2:6" x14ac:dyDescent="0.45">
      <c r="B22"/>
      <c r="C22"/>
      <c r="D22"/>
      <c r="E22"/>
      <c r="F22"/>
    </row>
    <row r="23" spans="2:6" x14ac:dyDescent="0.45">
      <c r="B23"/>
      <c r="C23"/>
      <c r="D23"/>
      <c r="E23"/>
      <c r="F23"/>
    </row>
    <row r="24" spans="2:6" x14ac:dyDescent="0.45">
      <c r="B24"/>
      <c r="C24"/>
      <c r="D24"/>
      <c r="E24"/>
      <c r="F24"/>
    </row>
    <row r="25" spans="2:6" x14ac:dyDescent="0.45">
      <c r="B25"/>
      <c r="C25"/>
      <c r="D25"/>
      <c r="E25"/>
      <c r="F25"/>
    </row>
    <row r="26" spans="2:6" x14ac:dyDescent="0.45">
      <c r="B26"/>
      <c r="C26"/>
      <c r="D26"/>
      <c r="E26"/>
      <c r="F26"/>
    </row>
    <row r="27" spans="2:6" x14ac:dyDescent="0.45">
      <c r="B27"/>
      <c r="C27"/>
      <c r="D27"/>
      <c r="E27"/>
      <c r="F27"/>
    </row>
    <row r="28" spans="2:6" x14ac:dyDescent="0.45">
      <c r="B28"/>
      <c r="C28"/>
      <c r="D28"/>
      <c r="E28"/>
      <c r="F28"/>
    </row>
    <row r="29" spans="2:6" x14ac:dyDescent="0.45">
      <c r="B29"/>
      <c r="C29"/>
      <c r="D29"/>
      <c r="E29"/>
      <c r="F29"/>
    </row>
    <row r="30" spans="2:6" x14ac:dyDescent="0.45">
      <c r="B30"/>
      <c r="C30"/>
      <c r="D30"/>
      <c r="E30"/>
      <c r="F30"/>
    </row>
    <row r="31" spans="2:6" x14ac:dyDescent="0.45">
      <c r="B31"/>
      <c r="C31"/>
      <c r="D31"/>
      <c r="E31"/>
      <c r="F31"/>
    </row>
    <row r="32" spans="2:6" x14ac:dyDescent="0.45">
      <c r="B32"/>
      <c r="C32"/>
      <c r="D32"/>
      <c r="E32"/>
      <c r="F32"/>
    </row>
    <row r="33" spans="2:6" x14ac:dyDescent="0.45">
      <c r="B33"/>
      <c r="C33"/>
      <c r="D33"/>
      <c r="E33"/>
      <c r="F33"/>
    </row>
    <row r="34" spans="2:6" x14ac:dyDescent="0.45">
      <c r="B34"/>
      <c r="C34"/>
      <c r="D34"/>
      <c r="E34"/>
      <c r="F34"/>
    </row>
    <row r="35" spans="2:6" x14ac:dyDescent="0.45">
      <c r="B35"/>
      <c r="C35"/>
      <c r="D35"/>
      <c r="E35"/>
      <c r="F35"/>
    </row>
    <row r="36" spans="2:6" x14ac:dyDescent="0.45">
      <c r="B36"/>
      <c r="C36"/>
      <c r="D36"/>
      <c r="E36"/>
      <c r="F36"/>
    </row>
    <row r="37" spans="2:6" x14ac:dyDescent="0.45">
      <c r="B37"/>
      <c r="C37"/>
      <c r="D37"/>
      <c r="E37"/>
      <c r="F37"/>
    </row>
    <row r="38" spans="2:6" x14ac:dyDescent="0.45">
      <c r="B38"/>
      <c r="C38"/>
      <c r="D38"/>
      <c r="E38"/>
      <c r="F38"/>
    </row>
    <row r="39" spans="2:6" x14ac:dyDescent="0.45">
      <c r="B39"/>
      <c r="C39"/>
      <c r="D39"/>
      <c r="E39"/>
      <c r="F39"/>
    </row>
    <row r="40" spans="2:6" x14ac:dyDescent="0.45">
      <c r="B40"/>
      <c r="C40"/>
      <c r="D40"/>
      <c r="E40"/>
      <c r="F40"/>
    </row>
    <row r="41" spans="2:6" x14ac:dyDescent="0.45">
      <c r="B41"/>
      <c r="C41"/>
      <c r="D41"/>
      <c r="E41"/>
      <c r="F41"/>
    </row>
    <row r="42" spans="2:6" x14ac:dyDescent="0.45">
      <c r="B42"/>
      <c r="C42"/>
      <c r="D42"/>
      <c r="E42"/>
      <c r="F42"/>
    </row>
    <row r="43" spans="2:6" x14ac:dyDescent="0.45">
      <c r="B43"/>
      <c r="C43"/>
      <c r="D43"/>
      <c r="E43"/>
      <c r="F43"/>
    </row>
    <row r="44" spans="2:6" x14ac:dyDescent="0.45">
      <c r="B44"/>
      <c r="C44"/>
      <c r="D44"/>
      <c r="E44"/>
      <c r="F44"/>
    </row>
    <row r="45" spans="2:6" x14ac:dyDescent="0.45">
      <c r="B45"/>
      <c r="C45"/>
      <c r="D45"/>
      <c r="E45"/>
      <c r="F45"/>
    </row>
    <row r="46" spans="2:6" x14ac:dyDescent="0.45">
      <c r="B46"/>
      <c r="C46"/>
      <c r="D46"/>
      <c r="E46"/>
      <c r="F46"/>
    </row>
    <row r="47" spans="2:6" x14ac:dyDescent="0.45"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9EB5-C5B8-40E3-9BD4-5B0749AF8786}">
  <dimension ref="A1:F18"/>
  <sheetViews>
    <sheetView showGridLines="0" workbookViewId="0">
      <selection activeCell="G13" sqref="G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20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20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20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20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20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20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20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20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20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20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20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20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20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2F4C-C563-45F2-8B71-9B7D0BB80D0A}">
  <dimension ref="A1:F6"/>
  <sheetViews>
    <sheetView showGridLines="0" workbookViewId="0">
      <selection activeCell="B13" sqref="B13"/>
    </sheetView>
  </sheetViews>
  <sheetFormatPr defaultRowHeight="14.25" x14ac:dyDescent="0.45"/>
  <cols>
    <col min="1" max="1" width="31.265625" bestFit="1" customWidth="1"/>
    <col min="2" max="2" width="48.33203125" customWidth="1"/>
    <col min="3" max="3" width="7.3984375" bestFit="1" customWidth="1"/>
    <col min="4" max="4" width="7.6640625" customWidth="1"/>
    <col min="5" max="5" width="16.46484375" bestFit="1" customWidth="1"/>
    <col min="6" max="6" width="15" bestFit="1" customWidth="1"/>
  </cols>
  <sheetData>
    <row r="1" spans="1:6" x14ac:dyDescent="0.45">
      <c r="A1" s="31" t="s">
        <v>8380</v>
      </c>
      <c r="B1" s="31" t="s">
        <v>8381</v>
      </c>
      <c r="C1" s="31" t="s">
        <v>8382</v>
      </c>
      <c r="D1" s="31" t="s">
        <v>8383</v>
      </c>
      <c r="E1" s="31" t="s">
        <v>8385</v>
      </c>
      <c r="F1" s="31" t="s">
        <v>8384</v>
      </c>
    </row>
    <row r="2" spans="1:6" ht="42.75" x14ac:dyDescent="0.45">
      <c r="A2" s="22" t="s">
        <v>3473</v>
      </c>
      <c r="B2" s="32" t="str">
        <f>VLOOKUP(A2,Kickstarter!B:C,2,FALSE)</f>
        <v>Help us get actor-writer Ian Bonar's debut play - a hilarious, heartbreaking story of grief and loss - to the 2016 Edinburgh Fringe.</v>
      </c>
      <c r="C2" s="26">
        <f>VLOOKUP(A2,Kickstarter!B:E,3,FALSE)</f>
        <v>2000</v>
      </c>
      <c r="D2" s="26">
        <f>VLOOKUP(A2,Kickstarter!B:E,4,FALSE)</f>
        <v>2020</v>
      </c>
      <c r="E2" s="24">
        <f>VLOOKUP(A2,Kickstarter!B:T,15,FALSE)</f>
        <v>51.79</v>
      </c>
      <c r="F2" s="22">
        <f>VLOOKUP(A2,Kickstarter!B:T,11,FALSE)</f>
        <v>39</v>
      </c>
    </row>
    <row r="3" spans="1:6" ht="42.75" x14ac:dyDescent="0.45">
      <c r="A3" s="22" t="s">
        <v>3616</v>
      </c>
      <c r="B3" s="32" t="str">
        <f>VLOOKUP(A3,Kickstarter!B:C,2,FALSE)</f>
        <v>The play yet to be described as "A surefire Edinburgh Fringe Festival Cult Hit". Coming to the Underbelly, Edinburgh, 5th-30th August.</v>
      </c>
      <c r="C3" s="26">
        <f>VLOOKUP(A3,Kickstarter!B:E,3,FALSE)</f>
        <v>2000</v>
      </c>
      <c r="D3" s="26">
        <f>VLOOKUP(A3,Kickstarter!B:E,4,FALSE)</f>
        <v>2020</v>
      </c>
      <c r="E3" s="24">
        <f>VLOOKUP(A3,Kickstarter!B:T,15,FALSE)</f>
        <v>36.07</v>
      </c>
      <c r="F3" s="22">
        <f>VLOOKUP(A3,Kickstarter!B:T,11,FALSE)</f>
        <v>56</v>
      </c>
    </row>
    <row r="4" spans="1:6" ht="42.75" x14ac:dyDescent="0.45">
      <c r="A4" s="22" t="s">
        <v>3178</v>
      </c>
      <c r="B4" s="32" t="str">
        <f>VLOOKUP(A4,Kickstarter!B:C,2,FALSE)</f>
        <v>Cutting Off Kate Bush is a one-woman show written &amp; performed by Lucy Benson-Brown, premiering at the Edinburgh Fringe Festival 2014</v>
      </c>
      <c r="C4" s="26">
        <f>VLOOKUP(A4,Kickstarter!B:E,3,FALSE)</f>
        <v>1500</v>
      </c>
      <c r="D4" s="26">
        <f>VLOOKUP(A4,Kickstarter!B:E,4,FALSE)</f>
        <v>2576</v>
      </c>
      <c r="E4" s="24">
        <f>VLOOKUP(A4,Kickstarter!B:T,15,FALSE)</f>
        <v>33.03</v>
      </c>
      <c r="F4" s="22">
        <f>VLOOKUP(A4,Kickstarter!B:T,11,FALSE)</f>
        <v>78</v>
      </c>
    </row>
    <row r="5" spans="1:6" ht="28.5" x14ac:dyDescent="0.45">
      <c r="A5" s="22" t="s">
        <v>3329</v>
      </c>
      <c r="B5" s="32" t="str">
        <f>VLOOKUP(A5,Kickstarter!B:C,2,FALSE)</f>
        <v>Jestia and Raedon is a brand new romantic comedy play going to the Edinburgh Fringe Festival this summer.</v>
      </c>
      <c r="C5" s="26">
        <f>VLOOKUP(A5,Kickstarter!B:E,3,FALSE)</f>
        <v>1000</v>
      </c>
      <c r="D5" s="26">
        <f>VLOOKUP(A5,Kickstarter!B:E,4,FALSE)</f>
        <v>1168</v>
      </c>
      <c r="E5" s="24">
        <f>VLOOKUP(A5,Kickstarter!B:T,15,FALSE)</f>
        <v>44.92</v>
      </c>
      <c r="F5" s="22">
        <f>VLOOKUP(A5,Kickstarter!B:T,11,FALSE)</f>
        <v>26</v>
      </c>
    </row>
    <row r="6" spans="1:6" ht="42.75" x14ac:dyDescent="0.45">
      <c r="A6" s="22" t="s">
        <v>3221</v>
      </c>
      <c r="B6" s="32" t="str">
        <f>VLOOKUP(A6,Kickstarter!B:C,2,FALSE)</f>
        <v>A one-man show about love, loss, and motorways, written &amp; performed by Ben Norris. Help us get to the 2015 Edinburgh Fringe and beyond!</v>
      </c>
      <c r="C6" s="26">
        <f>VLOOKUP(A6,Kickstarter!B:E,3,FALSE)</f>
        <v>4000</v>
      </c>
      <c r="D6" s="26">
        <f>VLOOKUP(A6,Kickstarter!B:E,4,FALSE)</f>
        <v>4137</v>
      </c>
      <c r="E6" s="24">
        <f>VLOOKUP(A6,Kickstarter!B:T,15,FALSE)</f>
        <v>36.61</v>
      </c>
      <c r="F6" s="22">
        <f>VLOOKUP(A6,Kickstarter!B:T,11,FALSE)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317E-E150-429C-A139-64C79EC2CE93}">
  <dimension ref="A1:K14"/>
  <sheetViews>
    <sheetView workbookViewId="0">
      <selection activeCell="B10" sqref="B10"/>
    </sheetView>
  </sheetViews>
  <sheetFormatPr defaultRowHeight="14.25" x14ac:dyDescent="0.45"/>
  <cols>
    <col min="1" max="1" width="22.1328125" bestFit="1" customWidth="1"/>
    <col min="2" max="3" width="20.59765625" style="21" customWidth="1"/>
    <col min="5" max="5" width="13.53125" bestFit="1" customWidth="1"/>
    <col min="6" max="6" width="10.265625" bestFit="1" customWidth="1"/>
    <col min="7" max="7" width="9.3984375" customWidth="1"/>
    <col min="8" max="8" width="3.19921875" customWidth="1"/>
    <col min="9" max="9" width="13.53125" bestFit="1" customWidth="1"/>
    <col min="10" max="10" width="10.265625" bestFit="1" customWidth="1"/>
    <col min="11" max="11" width="9.3984375" bestFit="1" customWidth="1"/>
  </cols>
  <sheetData>
    <row r="1" spans="1:11" ht="14.65" thickBot="1" x14ac:dyDescent="0.5">
      <c r="A1" s="28" t="s">
        <v>8392</v>
      </c>
      <c r="B1" s="27" t="s">
        <v>8386</v>
      </c>
      <c r="C1" s="27" t="s">
        <v>8387</v>
      </c>
      <c r="E1" s="30" t="s">
        <v>8393</v>
      </c>
      <c r="F1" s="29" t="s">
        <v>8386</v>
      </c>
      <c r="G1" s="29" t="s">
        <v>8387</v>
      </c>
      <c r="I1" s="30" t="s">
        <v>8394</v>
      </c>
      <c r="J1" s="29" t="s">
        <v>8386</v>
      </c>
      <c r="K1" s="29" t="s">
        <v>8387</v>
      </c>
    </row>
    <row r="2" spans="1:11" ht="14.65" thickTop="1" x14ac:dyDescent="0.45">
      <c r="A2" s="23" t="s">
        <v>8388</v>
      </c>
      <c r="B2" s="25" t="e">
        <f>AVERAGE(#REF!)</f>
        <v>#REF!</v>
      </c>
      <c r="C2" s="25" t="e">
        <f>AVERAGE(#REF!)</f>
        <v>#REF!</v>
      </c>
      <c r="E2" s="23" t="s">
        <v>8388</v>
      </c>
      <c r="F2" s="25">
        <f>AVERAGE(Makerspaces_S!D:D)</f>
        <v>8328.5714285714294</v>
      </c>
      <c r="G2" s="25">
        <f>AVERAGE(Makerspaces_F!D:D)</f>
        <v>27785.714285714286</v>
      </c>
      <c r="I2" s="23" t="s">
        <v>8388</v>
      </c>
      <c r="J2" s="25">
        <f>AVERAGE(Musicals_S!D:D)</f>
        <v>5105.5555555555557</v>
      </c>
      <c r="K2" s="25">
        <f>AVERAGE(Musicals_F!D:D)</f>
        <v>121471.25</v>
      </c>
    </row>
    <row r="3" spans="1:11" x14ac:dyDescent="0.45">
      <c r="A3" s="22" t="s">
        <v>8389</v>
      </c>
      <c r="B3" s="26" t="e">
        <f>MEDIAN(#REF!)</f>
        <v>#REF!</v>
      </c>
      <c r="C3" s="26" t="e">
        <f>MEDIAN(#REF!)</f>
        <v>#REF!</v>
      </c>
      <c r="E3" s="22" t="s">
        <v>8389</v>
      </c>
      <c r="F3" s="26">
        <f>MEDIAN(Makerspaces_S!D:D)</f>
        <v>5000</v>
      </c>
      <c r="G3" s="26">
        <f>MEDIAN(Makerspaces_F!D:D)</f>
        <v>25000</v>
      </c>
      <c r="I3" s="22" t="s">
        <v>8389</v>
      </c>
      <c r="J3" s="26">
        <f>MEDIAN(Musicals_S!D:D)</f>
        <v>3500</v>
      </c>
      <c r="K3" s="26">
        <f>MEDIAN(Musicals_F!D:D)</f>
        <v>7500</v>
      </c>
    </row>
    <row r="4" spans="1:11" x14ac:dyDescent="0.45">
      <c r="A4" s="22" t="s">
        <v>8395</v>
      </c>
      <c r="B4" s="26" t="e">
        <f>_xlfn.STDEV.P(#REF!)</f>
        <v>#REF!</v>
      </c>
      <c r="C4" s="26" t="e">
        <f>_xlfn.STDEV.P(#REF!)</f>
        <v>#REF!</v>
      </c>
      <c r="E4" s="22"/>
      <c r="F4" s="26"/>
      <c r="G4" s="26"/>
      <c r="I4" s="22"/>
      <c r="J4" s="26"/>
      <c r="K4" s="26"/>
    </row>
    <row r="5" spans="1:11" x14ac:dyDescent="0.45">
      <c r="A5" s="22" t="s">
        <v>8396</v>
      </c>
      <c r="B5" s="26" t="e">
        <f>_xlfn.QUARTILE.EXC(#REF!,3)</f>
        <v>#REF!</v>
      </c>
      <c r="C5" s="26" t="e">
        <f>_xlfn.QUARTILE.EXC(#REF!,3)</f>
        <v>#REF!</v>
      </c>
      <c r="E5" s="22" t="s">
        <v>8390</v>
      </c>
      <c r="F5" s="26">
        <f>AVERAGE(Makerspaces_S!E:E)</f>
        <v>9643.6442857142865</v>
      </c>
      <c r="G5" s="26">
        <f>AVERAGE(Makerspaces_F!E:E)</f>
        <v>6375</v>
      </c>
      <c r="I5" s="22" t="s">
        <v>8390</v>
      </c>
      <c r="J5" s="26">
        <f>AVERAGE(Musicals_S!E:E)</f>
        <v>5407.8644444444435</v>
      </c>
      <c r="K5" s="26">
        <f>AVERAGE(Musicals_F!E:E)</f>
        <v>1046.175</v>
      </c>
    </row>
    <row r="6" spans="1:11" x14ac:dyDescent="0.45">
      <c r="A6" s="22" t="s">
        <v>8397</v>
      </c>
      <c r="B6" s="26" t="e">
        <f>_xlfn.QUARTILE.EXC(#REF!,1)</f>
        <v>#REF!</v>
      </c>
      <c r="C6" s="26" t="e">
        <f>_xlfn.QUARTILE.EXC(#REF!,1)</f>
        <v>#REF!</v>
      </c>
      <c r="E6" s="22" t="s">
        <v>8391</v>
      </c>
      <c r="F6" s="26">
        <f>MEDIAN(Makerspaces_S!E:E)</f>
        <v>5145</v>
      </c>
      <c r="G6" s="26">
        <f>MEDIAN(Makerspaces_F!E:E)</f>
        <v>3319</v>
      </c>
      <c r="I6" s="22" t="s">
        <v>8391</v>
      </c>
      <c r="J6" s="26">
        <f>MEDIAN(Musicals_S!E:E)</f>
        <v>3750</v>
      </c>
      <c r="K6" s="26">
        <f>MEDIAN(Musicals_F!E:E)</f>
        <v>326</v>
      </c>
    </row>
    <row r="7" spans="1:11" x14ac:dyDescent="0.45">
      <c r="A7" s="22" t="s">
        <v>8398</v>
      </c>
      <c r="B7" s="26" t="e">
        <f>B5-B6</f>
        <v>#REF!</v>
      </c>
      <c r="C7" s="26" t="e">
        <f>C5-C6</f>
        <v>#REF!</v>
      </c>
      <c r="F7" s="21"/>
      <c r="G7" s="21"/>
    </row>
    <row r="8" spans="1:11" x14ac:dyDescent="0.45">
      <c r="A8" s="22"/>
      <c r="B8" s="26"/>
      <c r="C8" s="26"/>
    </row>
    <row r="9" spans="1:11" x14ac:dyDescent="0.45">
      <c r="A9" s="22" t="s">
        <v>8390</v>
      </c>
      <c r="B9" s="26" t="e">
        <f>AVERAGE(#REF!)</f>
        <v>#REF!</v>
      </c>
      <c r="C9" s="26" t="e">
        <f>AVERAGE(#REF!)</f>
        <v>#REF!</v>
      </c>
    </row>
    <row r="10" spans="1:11" x14ac:dyDescent="0.45">
      <c r="A10" s="22" t="s">
        <v>8391</v>
      </c>
      <c r="B10" s="26" t="e">
        <f>MEDIAN(#REF!)</f>
        <v>#REF!</v>
      </c>
      <c r="C10" s="26" t="e">
        <f>MEDIAN(#REF!)</f>
        <v>#REF!</v>
      </c>
    </row>
    <row r="11" spans="1:11" x14ac:dyDescent="0.45">
      <c r="A11" s="22" t="s">
        <v>8395</v>
      </c>
      <c r="B11" s="26" t="e">
        <f>_xlfn.STDEV.P(#REF!)</f>
        <v>#REF!</v>
      </c>
      <c r="C11" s="26" t="e">
        <f>_xlfn.STDEV.P(#REF!)</f>
        <v>#REF!</v>
      </c>
    </row>
    <row r="12" spans="1:11" x14ac:dyDescent="0.45">
      <c r="A12" s="22" t="s">
        <v>8396</v>
      </c>
      <c r="B12" s="26" t="e">
        <f>_xlfn.QUARTILE.EXC(#REF!,3)</f>
        <v>#REF!</v>
      </c>
      <c r="C12" s="26" t="e">
        <f>_xlfn.QUARTILE.EXC(#REF!,3)</f>
        <v>#REF!</v>
      </c>
    </row>
    <row r="13" spans="1:11" x14ac:dyDescent="0.45">
      <c r="A13" s="22" t="s">
        <v>8397</v>
      </c>
      <c r="B13" s="26" t="e">
        <f>_xlfn.QUARTILE.EXC(#REF!,1)</f>
        <v>#REF!</v>
      </c>
      <c r="C13" s="26" t="e">
        <f>_xlfn.QUARTILE.EXC(#REF!,1)</f>
        <v>#REF!</v>
      </c>
    </row>
    <row r="14" spans="1:11" x14ac:dyDescent="0.45">
      <c r="A14" s="22" t="s">
        <v>8398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57649-50E0-406C-894E-4C9CADD7423A}">
  <dimension ref="A1:T16"/>
  <sheetViews>
    <sheetView topLeftCell="A4" workbookViewId="0">
      <selection activeCell="C20" sqref="C20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f t="shared" ref="O2:O8" si="0">ROUND(E2/D2*100,0)</f>
        <v>103</v>
      </c>
      <c r="P2">
        <f t="shared" ref="P2:P8" si="1">IFERROR(ROUND(E2/L2,2),0)</f>
        <v>85.75</v>
      </c>
      <c r="Q2" s="11" t="s">
        <v>8317</v>
      </c>
      <c r="R2" s="11" t="s">
        <v>8354</v>
      </c>
      <c r="S2" s="18">
        <f t="shared" ref="S2:S8" si="2">(((J2/60)/60)/24)+DATE(1970,1,1)</f>
        <v>41542.958449074074</v>
      </c>
      <c r="T2" s="18">
        <f t="shared" ref="T2:T8" si="3">(((I2/60)/60)/24)+DATE(1970,1,1)</f>
        <v>41572.958449074074</v>
      </c>
    </row>
    <row r="3" spans="1:20" ht="42.75" x14ac:dyDescent="0.45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f t="shared" si="0"/>
        <v>107</v>
      </c>
      <c r="P3">
        <f t="shared" si="1"/>
        <v>267</v>
      </c>
      <c r="Q3" s="11" t="s">
        <v>8317</v>
      </c>
      <c r="R3" s="11" t="s">
        <v>8354</v>
      </c>
      <c r="S3" s="18">
        <f t="shared" si="2"/>
        <v>42207.746678240743</v>
      </c>
      <c r="T3" s="18">
        <f t="shared" si="3"/>
        <v>42237.746678240743</v>
      </c>
    </row>
    <row r="4" spans="1:20" ht="42.75" x14ac:dyDescent="0.45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f t="shared" si="0"/>
        <v>103</v>
      </c>
      <c r="P4">
        <f t="shared" si="1"/>
        <v>174.04</v>
      </c>
      <c r="Q4" s="11" t="s">
        <v>8317</v>
      </c>
      <c r="R4" s="11" t="s">
        <v>8354</v>
      </c>
      <c r="S4" s="18">
        <f t="shared" si="2"/>
        <v>42313.02542824074</v>
      </c>
      <c r="T4" s="18">
        <f t="shared" si="3"/>
        <v>42347.290972222225</v>
      </c>
    </row>
    <row r="5" spans="1:20" ht="42.75" x14ac:dyDescent="0.45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f t="shared" si="0"/>
        <v>123</v>
      </c>
      <c r="P5">
        <f t="shared" si="1"/>
        <v>93.7</v>
      </c>
      <c r="Q5" s="11" t="s">
        <v>8317</v>
      </c>
      <c r="R5" s="11" t="s">
        <v>8354</v>
      </c>
      <c r="S5" s="18">
        <f t="shared" si="2"/>
        <v>42083.895532407405</v>
      </c>
      <c r="T5" s="18">
        <f t="shared" si="3"/>
        <v>42128.895532407405</v>
      </c>
    </row>
    <row r="6" spans="1:20" ht="42.75" x14ac:dyDescent="0.45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f t="shared" si="0"/>
        <v>159</v>
      </c>
      <c r="P6">
        <f t="shared" si="1"/>
        <v>77.33</v>
      </c>
      <c r="Q6" s="11" t="s">
        <v>8317</v>
      </c>
      <c r="R6" s="11" t="s">
        <v>8354</v>
      </c>
      <c r="S6" s="18">
        <f t="shared" si="2"/>
        <v>42235.764340277776</v>
      </c>
      <c r="T6" s="18">
        <f t="shared" si="3"/>
        <v>42272.875</v>
      </c>
    </row>
    <row r="7" spans="1:20" ht="42.75" x14ac:dyDescent="0.45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f t="shared" si="0"/>
        <v>111</v>
      </c>
      <c r="P7">
        <f t="shared" si="1"/>
        <v>92.22</v>
      </c>
      <c r="Q7" s="11" t="s">
        <v>8317</v>
      </c>
      <c r="R7" s="11" t="s">
        <v>8354</v>
      </c>
      <c r="S7" s="18">
        <f t="shared" si="2"/>
        <v>42380.926111111112</v>
      </c>
      <c r="T7" s="18">
        <f t="shared" si="3"/>
        <v>42410.926111111112</v>
      </c>
    </row>
    <row r="8" spans="1:20" ht="42.75" x14ac:dyDescent="0.45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f t="shared" si="0"/>
        <v>125</v>
      </c>
      <c r="P8">
        <f t="shared" si="1"/>
        <v>91</v>
      </c>
      <c r="Q8" s="11" t="s">
        <v>8317</v>
      </c>
      <c r="R8" s="11" t="s">
        <v>8354</v>
      </c>
      <c r="S8" s="18">
        <f t="shared" si="2"/>
        <v>42319.035833333335</v>
      </c>
      <c r="T8" s="18">
        <f t="shared" si="3"/>
        <v>42379.035833333335</v>
      </c>
    </row>
    <row r="9" spans="1:20" x14ac:dyDescent="0.45">
      <c r="A9" s="1"/>
      <c r="B9" s="8"/>
      <c r="C9" s="2"/>
      <c r="D9" s="4"/>
      <c r="E9" s="6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0"/>
      <c r="R9" s="1"/>
      <c r="S9" s="1"/>
      <c r="T9" s="19"/>
    </row>
    <row r="10" spans="1:20" x14ac:dyDescent="0.45">
      <c r="B10" s="9"/>
      <c r="C10" s="3"/>
      <c r="D10" s="5"/>
      <c r="E10" s="7"/>
      <c r="Q10" s="11"/>
      <c r="R10" s="11"/>
      <c r="S10" s="18"/>
      <c r="T10" s="18"/>
    </row>
    <row r="11" spans="1:20" x14ac:dyDescent="0.45">
      <c r="B11" s="9"/>
      <c r="C11" s="3"/>
      <c r="D11" s="5"/>
      <c r="E11" s="7"/>
      <c r="Q11" s="11"/>
      <c r="R11" s="11"/>
      <c r="S11" s="18"/>
      <c r="T11" s="18"/>
    </row>
    <row r="12" spans="1:20" x14ac:dyDescent="0.45">
      <c r="B12" s="9"/>
      <c r="C12" s="3"/>
      <c r="D12" s="5"/>
      <c r="E12" s="7"/>
      <c r="Q12" s="11"/>
      <c r="R12" s="11"/>
      <c r="S12" s="18"/>
      <c r="T12" s="18"/>
    </row>
    <row r="13" spans="1:20" x14ac:dyDescent="0.45">
      <c r="B13" s="9"/>
      <c r="C13" s="3"/>
      <c r="D13" s="5"/>
      <c r="E13" s="7"/>
      <c r="Q13" s="11"/>
      <c r="R13" s="11"/>
      <c r="S13" s="18"/>
      <c r="T13" s="18"/>
    </row>
    <row r="14" spans="1:20" x14ac:dyDescent="0.45">
      <c r="B14" s="9"/>
      <c r="C14" s="3"/>
      <c r="D14" s="5"/>
      <c r="E14" s="7"/>
      <c r="Q14" s="11"/>
      <c r="R14" s="11"/>
      <c r="S14" s="18"/>
      <c r="T14" s="18"/>
    </row>
    <row r="15" spans="1:20" x14ac:dyDescent="0.45">
      <c r="B15" s="9"/>
      <c r="C15" s="3"/>
      <c r="D15" s="5"/>
      <c r="E15" s="7"/>
      <c r="Q15" s="11"/>
      <c r="R15" s="11"/>
      <c r="S15" s="18"/>
      <c r="T15" s="18"/>
    </row>
    <row r="16" spans="1:20" x14ac:dyDescent="0.45">
      <c r="B16" s="9"/>
      <c r="C16" s="3"/>
      <c r="D16" s="5"/>
      <c r="E16" s="7"/>
      <c r="Q16" s="11"/>
      <c r="R16" s="11"/>
      <c r="S16" s="18"/>
      <c r="T16" s="18"/>
    </row>
  </sheetData>
  <conditionalFormatting sqref="F1:F8 F10:F16">
    <cfRule type="cellIs" dxfId="24" priority="7" operator="equal">
      <formula>"canceled"</formula>
    </cfRule>
    <cfRule type="cellIs" dxfId="23" priority="8" operator="equal">
      <formula>"failed"</formula>
    </cfRule>
    <cfRule type="cellIs" dxfId="22" priority="9" operator="equal">
      <formula>"successful"</formula>
    </cfRule>
    <cfRule type="cellIs" dxfId="21" priority="10" operator="equal">
      <formula>"live"</formula>
    </cfRule>
  </conditionalFormatting>
  <conditionalFormatting sqref="O2:O8 O1:P1 R1:T1 O10:O16">
    <cfRule type="colorScale" priority="6">
      <colorScale>
        <cfvo type="min"/>
        <cfvo type="percent" val="90"/>
        <color rgb="FFFF5050"/>
        <color theme="8" tint="-0.249977111117893"/>
      </colorScale>
    </cfRule>
  </conditionalFormatting>
  <conditionalFormatting sqref="F9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"successful"</formula>
    </cfRule>
    <cfRule type="cellIs" dxfId="17" priority="5" operator="equal">
      <formula>"live"</formula>
    </cfRule>
  </conditionalFormatting>
  <conditionalFormatting sqref="O9:P9 R9:T9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F9F2-3B7A-4906-834D-7366E0DB535B}">
  <dimension ref="A1:T8"/>
  <sheetViews>
    <sheetView workbookViewId="0">
      <selection sqref="A1:T8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42.75" x14ac:dyDescent="0.45">
      <c r="A2">
        <v>2671</v>
      </c>
      <c r="B2" s="9" t="s">
        <v>2671</v>
      </c>
      <c r="C2" s="3" t="s">
        <v>6781</v>
      </c>
      <c r="D2" s="5">
        <v>25000</v>
      </c>
      <c r="E2" s="7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f t="shared" ref="O2:O8" si="0">ROUND(E2/D2*100,0)</f>
        <v>11</v>
      </c>
      <c r="P2">
        <f t="shared" ref="P2:P8" si="1">IFERROR(ROUND(E2/L2,2),0)</f>
        <v>33.76</v>
      </c>
      <c r="Q2" s="11" t="s">
        <v>8317</v>
      </c>
      <c r="R2" s="11" t="s">
        <v>8354</v>
      </c>
      <c r="S2" s="18">
        <f t="shared" ref="S2:S8" si="2">(((J2/60)/60)/24)+DATE(1970,1,1)</f>
        <v>41962.749027777783</v>
      </c>
      <c r="T2" s="18">
        <f t="shared" ref="T2:T8" si="3">(((I2/60)/60)/24)+DATE(1970,1,1)</f>
        <v>41992.818055555559</v>
      </c>
    </row>
    <row r="3" spans="1:20" ht="42.75" x14ac:dyDescent="0.45">
      <c r="A3">
        <v>2672</v>
      </c>
      <c r="B3" s="9" t="s">
        <v>2672</v>
      </c>
      <c r="C3" s="3" t="s">
        <v>6782</v>
      </c>
      <c r="D3" s="5">
        <v>10000</v>
      </c>
      <c r="E3" s="7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f t="shared" si="0"/>
        <v>33</v>
      </c>
      <c r="P3">
        <f t="shared" si="1"/>
        <v>70.62</v>
      </c>
      <c r="Q3" s="11" t="s">
        <v>8317</v>
      </c>
      <c r="R3" s="11" t="s">
        <v>8354</v>
      </c>
      <c r="S3" s="18">
        <f t="shared" si="2"/>
        <v>42344.884143518517</v>
      </c>
      <c r="T3" s="18">
        <f t="shared" si="3"/>
        <v>42366.25</v>
      </c>
    </row>
    <row r="4" spans="1:20" ht="42.75" x14ac:dyDescent="0.45">
      <c r="A4">
        <v>2673</v>
      </c>
      <c r="B4" s="9" t="s">
        <v>2673</v>
      </c>
      <c r="C4" s="3" t="s">
        <v>6783</v>
      </c>
      <c r="D4" s="5">
        <v>40000</v>
      </c>
      <c r="E4" s="7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f t="shared" si="0"/>
        <v>28</v>
      </c>
      <c r="P4">
        <f t="shared" si="1"/>
        <v>167.15</v>
      </c>
      <c r="Q4" s="11" t="s">
        <v>8317</v>
      </c>
      <c r="R4" s="11" t="s">
        <v>8354</v>
      </c>
      <c r="S4" s="18">
        <f t="shared" si="2"/>
        <v>41912.541655092595</v>
      </c>
      <c r="T4" s="18">
        <f t="shared" si="3"/>
        <v>41941.947916666664</v>
      </c>
    </row>
    <row r="5" spans="1:20" ht="57" x14ac:dyDescent="0.45">
      <c r="A5">
        <v>2674</v>
      </c>
      <c r="B5" s="9" t="s">
        <v>2674</v>
      </c>
      <c r="C5" s="3" t="s">
        <v>6784</v>
      </c>
      <c r="D5" s="5">
        <v>35000</v>
      </c>
      <c r="E5" s="7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f t="shared" si="0"/>
        <v>63</v>
      </c>
      <c r="P5">
        <f t="shared" si="1"/>
        <v>128.62</v>
      </c>
      <c r="Q5" s="11" t="s">
        <v>8317</v>
      </c>
      <c r="R5" s="11" t="s">
        <v>8354</v>
      </c>
      <c r="S5" s="18">
        <f t="shared" si="2"/>
        <v>42529.632754629631</v>
      </c>
      <c r="T5" s="18">
        <f t="shared" si="3"/>
        <v>42556.207638888889</v>
      </c>
    </row>
    <row r="6" spans="1:20" ht="42.75" x14ac:dyDescent="0.45">
      <c r="A6">
        <v>2675</v>
      </c>
      <c r="B6" s="9" t="s">
        <v>2675</v>
      </c>
      <c r="C6" s="3" t="s">
        <v>6785</v>
      </c>
      <c r="D6" s="5">
        <v>25000</v>
      </c>
      <c r="E6" s="7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f t="shared" si="0"/>
        <v>8</v>
      </c>
      <c r="P6">
        <f t="shared" si="1"/>
        <v>65.41</v>
      </c>
      <c r="Q6" s="11" t="s">
        <v>8317</v>
      </c>
      <c r="R6" s="11" t="s">
        <v>8354</v>
      </c>
      <c r="S6" s="18">
        <f t="shared" si="2"/>
        <v>41923.857511574075</v>
      </c>
      <c r="T6" s="18">
        <f t="shared" si="3"/>
        <v>41953.899178240739</v>
      </c>
    </row>
    <row r="7" spans="1:20" ht="42.75" x14ac:dyDescent="0.45">
      <c r="A7">
        <v>2677</v>
      </c>
      <c r="B7" s="9" t="s">
        <v>2677</v>
      </c>
      <c r="C7" s="3" t="s">
        <v>6787</v>
      </c>
      <c r="D7" s="5">
        <v>19500</v>
      </c>
      <c r="E7" s="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f t="shared" si="0"/>
        <v>18</v>
      </c>
      <c r="P7">
        <f t="shared" si="1"/>
        <v>126.48</v>
      </c>
      <c r="Q7" s="11" t="s">
        <v>8317</v>
      </c>
      <c r="R7" s="11" t="s">
        <v>8354</v>
      </c>
      <c r="S7" s="18">
        <f t="shared" si="2"/>
        <v>41793.029432870368</v>
      </c>
      <c r="T7" s="18">
        <f t="shared" si="3"/>
        <v>41823.029432870368</v>
      </c>
    </row>
    <row r="8" spans="1:20" ht="42.75" x14ac:dyDescent="0.45">
      <c r="A8">
        <v>2679</v>
      </c>
      <c r="B8" s="9" t="s">
        <v>2679</v>
      </c>
      <c r="C8" s="3" t="s">
        <v>6789</v>
      </c>
      <c r="D8" s="5">
        <v>40000</v>
      </c>
      <c r="E8" s="7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f t="shared" si="0"/>
        <v>0</v>
      </c>
      <c r="P8">
        <f t="shared" si="1"/>
        <v>44</v>
      </c>
      <c r="Q8" s="11" t="s">
        <v>8317</v>
      </c>
      <c r="R8" s="11" t="s">
        <v>8354</v>
      </c>
      <c r="S8" s="18">
        <f t="shared" si="2"/>
        <v>42033.001087962963</v>
      </c>
      <c r="T8" s="18">
        <f t="shared" si="3"/>
        <v>42063.001087962963</v>
      </c>
    </row>
  </sheetData>
  <conditionalFormatting sqref="F2:F8">
    <cfRule type="cellIs" dxfId="16" priority="7" operator="equal">
      <formula>"canceled"</formula>
    </cfRule>
    <cfRule type="cellIs" dxfId="15" priority="8" operator="equal">
      <formula>"failed"</formula>
    </cfRule>
    <cfRule type="cellIs" dxfId="14" priority="9" operator="equal">
      <formula>"successful"</formula>
    </cfRule>
    <cfRule type="cellIs" dxfId="13" priority="10" operator="equal">
      <formula>"live"</formula>
    </cfRule>
  </conditionalFormatting>
  <conditionalFormatting sqref="O2:O8">
    <cfRule type="colorScale" priority="6">
      <colorScale>
        <cfvo type="min"/>
        <cfvo type="percent" val="90"/>
        <color rgb="FFFF5050"/>
        <color theme="8" tint="-0.249977111117893"/>
      </colorScale>
    </cfRule>
  </conditionalFormatting>
  <conditionalFormatting sqref="F1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1:P1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C5AA-4E10-43E4-BA3B-CB2628122E7E}">
  <dimension ref="A1:T87"/>
  <sheetViews>
    <sheetView workbookViewId="0">
      <pane ySplit="1" topLeftCell="A37" activePane="bottomLeft" state="frozen"/>
      <selection pane="bottomLeft" activeCell="A47" sqref="A47:T87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9" t="s">
        <v>8366</v>
      </c>
    </row>
    <row r="2" spans="1:20" ht="28.5" x14ac:dyDescent="0.4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f t="shared" ref="O2:O46" si="0">ROUND(E2/D2*100,0)</f>
        <v>129</v>
      </c>
      <c r="P2">
        <f t="shared" ref="P2:P46" si="1">IFERROR(ROUND(E2/L2,2),0)</f>
        <v>43</v>
      </c>
      <c r="Q2" s="11" t="s">
        <v>8315</v>
      </c>
      <c r="R2" s="11" t="s">
        <v>8357</v>
      </c>
      <c r="S2" s="18">
        <f t="shared" ref="S2:S46" si="2">(((J2/60)/60)/24)+DATE(1970,1,1)</f>
        <v>41877.886620370373</v>
      </c>
      <c r="T2" s="18">
        <f t="shared" ref="T2:T46" si="3">(((I2/60)/60)/24)+DATE(1970,1,1)</f>
        <v>41907.886620370373</v>
      </c>
    </row>
    <row r="3" spans="1:20" ht="42.75" x14ac:dyDescent="0.4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f t="shared" si="0"/>
        <v>100</v>
      </c>
      <c r="P3">
        <f t="shared" si="1"/>
        <v>30</v>
      </c>
      <c r="Q3" s="11" t="s">
        <v>8315</v>
      </c>
      <c r="R3" s="11" t="s">
        <v>8357</v>
      </c>
      <c r="S3" s="18">
        <f t="shared" si="2"/>
        <v>42013.15253472222</v>
      </c>
      <c r="T3" s="18">
        <f t="shared" si="3"/>
        <v>42028.125</v>
      </c>
    </row>
    <row r="4" spans="1:20" ht="42.75" x14ac:dyDescent="0.4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f t="shared" si="0"/>
        <v>103</v>
      </c>
      <c r="P4">
        <f t="shared" si="1"/>
        <v>175.51</v>
      </c>
      <c r="Q4" s="11" t="s">
        <v>8315</v>
      </c>
      <c r="R4" s="11" t="s">
        <v>8357</v>
      </c>
      <c r="S4" s="18">
        <f t="shared" si="2"/>
        <v>42103.556828703702</v>
      </c>
      <c r="T4" s="18">
        <f t="shared" si="3"/>
        <v>42133.165972222225</v>
      </c>
    </row>
    <row r="5" spans="1:20" ht="42.75" x14ac:dyDescent="0.4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f t="shared" si="0"/>
        <v>102</v>
      </c>
      <c r="P5">
        <f t="shared" si="1"/>
        <v>231.66</v>
      </c>
      <c r="Q5" s="11" t="s">
        <v>8315</v>
      </c>
      <c r="R5" s="11" t="s">
        <v>8357</v>
      </c>
      <c r="S5" s="18">
        <f t="shared" si="2"/>
        <v>41863.584120370368</v>
      </c>
      <c r="T5" s="18">
        <f t="shared" si="3"/>
        <v>41893.584120370368</v>
      </c>
    </row>
    <row r="6" spans="1:20" ht="42.75" x14ac:dyDescent="0.4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f t="shared" si="0"/>
        <v>125</v>
      </c>
      <c r="P6">
        <f t="shared" si="1"/>
        <v>75</v>
      </c>
      <c r="Q6" s="11" t="s">
        <v>8315</v>
      </c>
      <c r="R6" s="11" t="s">
        <v>8357</v>
      </c>
      <c r="S6" s="18">
        <f t="shared" si="2"/>
        <v>42044.765960648147</v>
      </c>
      <c r="T6" s="18">
        <f t="shared" si="3"/>
        <v>42058.765960648147</v>
      </c>
    </row>
    <row r="7" spans="1:20" ht="42.75" x14ac:dyDescent="0.4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f t="shared" si="0"/>
        <v>131</v>
      </c>
      <c r="P7">
        <f t="shared" si="1"/>
        <v>112.14</v>
      </c>
      <c r="Q7" s="11" t="s">
        <v>8315</v>
      </c>
      <c r="R7" s="11" t="s">
        <v>8357</v>
      </c>
      <c r="S7" s="18">
        <f t="shared" si="2"/>
        <v>41806.669317129628</v>
      </c>
      <c r="T7" s="18">
        <f t="shared" si="3"/>
        <v>41835.208333333336</v>
      </c>
    </row>
    <row r="8" spans="1:20" ht="28.5" x14ac:dyDescent="0.4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f t="shared" si="0"/>
        <v>100</v>
      </c>
      <c r="P8">
        <f t="shared" si="1"/>
        <v>41.67</v>
      </c>
      <c r="Q8" s="11" t="s">
        <v>8315</v>
      </c>
      <c r="R8" s="11" t="s">
        <v>8357</v>
      </c>
      <c r="S8" s="18">
        <f t="shared" si="2"/>
        <v>42403.998217592598</v>
      </c>
      <c r="T8" s="18">
        <f t="shared" si="3"/>
        <v>42433.998217592598</v>
      </c>
    </row>
    <row r="9" spans="1:20" ht="42.75" x14ac:dyDescent="0.4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f t="shared" si="0"/>
        <v>102</v>
      </c>
      <c r="P9">
        <f t="shared" si="1"/>
        <v>255.17</v>
      </c>
      <c r="Q9" s="11" t="s">
        <v>8315</v>
      </c>
      <c r="R9" s="11" t="s">
        <v>8357</v>
      </c>
      <c r="S9" s="18">
        <f t="shared" si="2"/>
        <v>41754.564328703702</v>
      </c>
      <c r="T9" s="18">
        <f t="shared" si="3"/>
        <v>41784.564328703702</v>
      </c>
    </row>
    <row r="10" spans="1:20" ht="42.75" x14ac:dyDescent="0.4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f t="shared" si="0"/>
        <v>103</v>
      </c>
      <c r="P10">
        <f t="shared" si="1"/>
        <v>47.57</v>
      </c>
      <c r="Q10" s="11" t="s">
        <v>8315</v>
      </c>
      <c r="R10" s="11" t="s">
        <v>8357</v>
      </c>
      <c r="S10" s="18">
        <f t="shared" si="2"/>
        <v>42495.956631944442</v>
      </c>
      <c r="T10" s="18">
        <f t="shared" si="3"/>
        <v>42525.956631944442</v>
      </c>
    </row>
    <row r="11" spans="1:20" ht="42.75" x14ac:dyDescent="0.4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f t="shared" si="0"/>
        <v>101</v>
      </c>
      <c r="P11">
        <f t="shared" si="1"/>
        <v>90.54</v>
      </c>
      <c r="Q11" s="11" t="s">
        <v>8315</v>
      </c>
      <c r="R11" s="11" t="s">
        <v>8357</v>
      </c>
      <c r="S11" s="18">
        <f t="shared" si="2"/>
        <v>42553.583425925928</v>
      </c>
      <c r="T11" s="18">
        <f t="shared" si="3"/>
        <v>42611.708333333328</v>
      </c>
    </row>
    <row r="12" spans="1:20" ht="42.75" x14ac:dyDescent="0.4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f t="shared" si="0"/>
        <v>128</v>
      </c>
      <c r="P12">
        <f t="shared" si="1"/>
        <v>37.65</v>
      </c>
      <c r="Q12" s="11" t="s">
        <v>8315</v>
      </c>
      <c r="R12" s="11" t="s">
        <v>8357</v>
      </c>
      <c r="S12" s="18">
        <f t="shared" si="2"/>
        <v>41912.650729166664</v>
      </c>
      <c r="T12" s="18">
        <f t="shared" si="3"/>
        <v>41925.207638888889</v>
      </c>
    </row>
    <row r="13" spans="1:20" ht="42.75" x14ac:dyDescent="0.4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f t="shared" si="0"/>
        <v>101</v>
      </c>
      <c r="P13">
        <f t="shared" si="1"/>
        <v>126.72</v>
      </c>
      <c r="Q13" s="11" t="s">
        <v>8315</v>
      </c>
      <c r="R13" s="11" t="s">
        <v>8357</v>
      </c>
      <c r="S13" s="18">
        <f t="shared" si="2"/>
        <v>42004.703865740739</v>
      </c>
      <c r="T13" s="18">
        <f t="shared" si="3"/>
        <v>42034.703865740739</v>
      </c>
    </row>
    <row r="14" spans="1:20" ht="42.75" x14ac:dyDescent="0.4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f t="shared" si="0"/>
        <v>103</v>
      </c>
      <c r="P14">
        <f t="shared" si="1"/>
        <v>329.2</v>
      </c>
      <c r="Q14" s="11" t="s">
        <v>8315</v>
      </c>
      <c r="R14" s="11" t="s">
        <v>8357</v>
      </c>
      <c r="S14" s="18">
        <f t="shared" si="2"/>
        <v>41845.809166666666</v>
      </c>
      <c r="T14" s="18">
        <f t="shared" si="3"/>
        <v>41879.041666666664</v>
      </c>
    </row>
    <row r="15" spans="1:20" ht="42.75" x14ac:dyDescent="0.4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f t="shared" si="0"/>
        <v>107</v>
      </c>
      <c r="P15">
        <f t="shared" si="1"/>
        <v>81.239999999999995</v>
      </c>
      <c r="Q15" s="11" t="s">
        <v>8315</v>
      </c>
      <c r="R15" s="11" t="s">
        <v>8357</v>
      </c>
      <c r="S15" s="18">
        <f t="shared" si="2"/>
        <v>41982.773356481484</v>
      </c>
      <c r="T15" s="18">
        <f t="shared" si="3"/>
        <v>42022.773356481484</v>
      </c>
    </row>
    <row r="16" spans="1:20" ht="42.75" x14ac:dyDescent="0.4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f t="shared" si="0"/>
        <v>104</v>
      </c>
      <c r="P16">
        <f t="shared" si="1"/>
        <v>99.54</v>
      </c>
      <c r="Q16" s="11" t="s">
        <v>8315</v>
      </c>
      <c r="R16" s="11" t="s">
        <v>8357</v>
      </c>
      <c r="S16" s="18">
        <f t="shared" si="2"/>
        <v>42395.706435185188</v>
      </c>
      <c r="T16" s="18">
        <f t="shared" si="3"/>
        <v>42416.249305555553</v>
      </c>
    </row>
    <row r="17" spans="1:20" ht="42.75" x14ac:dyDescent="0.4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f t="shared" si="0"/>
        <v>105</v>
      </c>
      <c r="P17">
        <f t="shared" si="1"/>
        <v>75</v>
      </c>
      <c r="Q17" s="11" t="s">
        <v>8315</v>
      </c>
      <c r="R17" s="11" t="s">
        <v>8357</v>
      </c>
      <c r="S17" s="18">
        <f t="shared" si="2"/>
        <v>42458.127175925925</v>
      </c>
      <c r="T17" s="18">
        <f t="shared" si="3"/>
        <v>42489.165972222225</v>
      </c>
    </row>
    <row r="18" spans="1:20" ht="85.5" x14ac:dyDescent="0.4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f t="shared" si="0"/>
        <v>100</v>
      </c>
      <c r="P18">
        <f t="shared" si="1"/>
        <v>215.25</v>
      </c>
      <c r="Q18" s="11" t="s">
        <v>8315</v>
      </c>
      <c r="R18" s="11" t="s">
        <v>8357</v>
      </c>
      <c r="S18" s="18">
        <f t="shared" si="2"/>
        <v>42016.981574074074</v>
      </c>
      <c r="T18" s="18">
        <f t="shared" si="3"/>
        <v>42045.332638888889</v>
      </c>
    </row>
    <row r="19" spans="1:20" ht="42.75" x14ac:dyDescent="0.4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f t="shared" si="0"/>
        <v>133</v>
      </c>
      <c r="P19">
        <f t="shared" si="1"/>
        <v>120.55</v>
      </c>
      <c r="Q19" s="11" t="s">
        <v>8315</v>
      </c>
      <c r="R19" s="11" t="s">
        <v>8357</v>
      </c>
      <c r="S19" s="18">
        <f t="shared" si="2"/>
        <v>42403.035567129627</v>
      </c>
      <c r="T19" s="18">
        <f t="shared" si="3"/>
        <v>42462.993900462956</v>
      </c>
    </row>
    <row r="20" spans="1:20" ht="42.75" x14ac:dyDescent="0.4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f t="shared" si="0"/>
        <v>103</v>
      </c>
      <c r="P20">
        <f t="shared" si="1"/>
        <v>172.23</v>
      </c>
      <c r="Q20" s="11" t="s">
        <v>8315</v>
      </c>
      <c r="R20" s="11" t="s">
        <v>8357</v>
      </c>
      <c r="S20" s="18">
        <f t="shared" si="2"/>
        <v>42128.824074074073</v>
      </c>
      <c r="T20" s="18">
        <f t="shared" si="3"/>
        <v>42158</v>
      </c>
    </row>
    <row r="21" spans="1:20" ht="42.75" x14ac:dyDescent="0.4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f t="shared" si="0"/>
        <v>120</v>
      </c>
      <c r="P21">
        <f t="shared" si="1"/>
        <v>111.11</v>
      </c>
      <c r="Q21" s="11" t="s">
        <v>8315</v>
      </c>
      <c r="R21" s="11" t="s">
        <v>8357</v>
      </c>
      <c r="S21" s="18">
        <f t="shared" si="2"/>
        <v>41808.881215277775</v>
      </c>
      <c r="T21" s="18">
        <f t="shared" si="3"/>
        <v>41846.207638888889</v>
      </c>
    </row>
    <row r="22" spans="1:20" ht="42.75" x14ac:dyDescent="0.4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f t="shared" si="0"/>
        <v>101</v>
      </c>
      <c r="P22">
        <f t="shared" si="1"/>
        <v>267.64999999999998</v>
      </c>
      <c r="Q22" s="11" t="s">
        <v>8315</v>
      </c>
      <c r="R22" s="11" t="s">
        <v>8357</v>
      </c>
      <c r="S22" s="18">
        <f t="shared" si="2"/>
        <v>41771.814791666664</v>
      </c>
      <c r="T22" s="18">
        <f t="shared" si="3"/>
        <v>41801.814791666664</v>
      </c>
    </row>
    <row r="23" spans="1:20" ht="42.75" x14ac:dyDescent="0.4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f t="shared" si="0"/>
        <v>109</v>
      </c>
      <c r="P23">
        <f t="shared" si="1"/>
        <v>75.959999999999994</v>
      </c>
      <c r="Q23" s="11" t="s">
        <v>8315</v>
      </c>
      <c r="R23" s="11" t="s">
        <v>8357</v>
      </c>
      <c r="S23" s="18">
        <f t="shared" si="2"/>
        <v>41954.850868055553</v>
      </c>
      <c r="T23" s="18">
        <f t="shared" si="3"/>
        <v>41974.850868055553</v>
      </c>
    </row>
    <row r="24" spans="1:20" ht="28.5" x14ac:dyDescent="0.4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f t="shared" si="0"/>
        <v>102</v>
      </c>
      <c r="P24">
        <f t="shared" si="1"/>
        <v>59.04</v>
      </c>
      <c r="Q24" s="11" t="s">
        <v>8315</v>
      </c>
      <c r="R24" s="11" t="s">
        <v>8357</v>
      </c>
      <c r="S24" s="18">
        <f t="shared" si="2"/>
        <v>41747.471504629626</v>
      </c>
      <c r="T24" s="18">
        <f t="shared" si="3"/>
        <v>41778.208333333336</v>
      </c>
    </row>
    <row r="25" spans="1:20" ht="28.5" x14ac:dyDescent="0.4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f t="shared" si="0"/>
        <v>110</v>
      </c>
      <c r="P25">
        <f t="shared" si="1"/>
        <v>50.11</v>
      </c>
      <c r="Q25" s="11" t="s">
        <v>8315</v>
      </c>
      <c r="R25" s="11" t="s">
        <v>8357</v>
      </c>
      <c r="S25" s="18">
        <f t="shared" si="2"/>
        <v>42182.108252314814</v>
      </c>
      <c r="T25" s="18">
        <f t="shared" si="3"/>
        <v>42242.108252314814</v>
      </c>
    </row>
    <row r="26" spans="1:20" ht="42.75" x14ac:dyDescent="0.4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f t="shared" si="0"/>
        <v>101</v>
      </c>
      <c r="P26">
        <f t="shared" si="1"/>
        <v>55.5</v>
      </c>
      <c r="Q26" s="11" t="s">
        <v>8315</v>
      </c>
      <c r="R26" s="11" t="s">
        <v>8357</v>
      </c>
      <c r="S26" s="18">
        <f t="shared" si="2"/>
        <v>41739.525300925925</v>
      </c>
      <c r="T26" s="18">
        <f t="shared" si="3"/>
        <v>41764.525300925925</v>
      </c>
    </row>
    <row r="27" spans="1:20" ht="28.5" x14ac:dyDescent="0.4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f t="shared" si="0"/>
        <v>100</v>
      </c>
      <c r="P27">
        <f t="shared" si="1"/>
        <v>64.94</v>
      </c>
      <c r="Q27" s="11" t="s">
        <v>8315</v>
      </c>
      <c r="R27" s="11" t="s">
        <v>8357</v>
      </c>
      <c r="S27" s="18">
        <f t="shared" si="2"/>
        <v>42065.750300925924</v>
      </c>
      <c r="T27" s="18">
        <f t="shared" si="3"/>
        <v>42095.708634259259</v>
      </c>
    </row>
    <row r="28" spans="1:20" ht="42.75" x14ac:dyDescent="0.4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f t="shared" si="0"/>
        <v>100</v>
      </c>
      <c r="P28">
        <f t="shared" si="1"/>
        <v>55.56</v>
      </c>
      <c r="Q28" s="11" t="s">
        <v>8315</v>
      </c>
      <c r="R28" s="11" t="s">
        <v>8357</v>
      </c>
      <c r="S28" s="18">
        <f t="shared" si="2"/>
        <v>42499.842962962968</v>
      </c>
      <c r="T28" s="18">
        <f t="shared" si="3"/>
        <v>42519.024999999994</v>
      </c>
    </row>
    <row r="29" spans="1:20" ht="42.75" x14ac:dyDescent="0.4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f t="shared" si="0"/>
        <v>113</v>
      </c>
      <c r="P29">
        <f t="shared" si="1"/>
        <v>74.22</v>
      </c>
      <c r="Q29" s="11" t="s">
        <v>8315</v>
      </c>
      <c r="R29" s="11" t="s">
        <v>8357</v>
      </c>
      <c r="S29" s="18">
        <f t="shared" si="2"/>
        <v>41820.776412037041</v>
      </c>
      <c r="T29" s="18">
        <f t="shared" si="3"/>
        <v>41850.776412037041</v>
      </c>
    </row>
    <row r="30" spans="1:20" ht="42.75" x14ac:dyDescent="0.4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f t="shared" si="0"/>
        <v>103</v>
      </c>
      <c r="P30">
        <f t="shared" si="1"/>
        <v>106.93</v>
      </c>
      <c r="Q30" s="11" t="s">
        <v>8315</v>
      </c>
      <c r="R30" s="11" t="s">
        <v>8357</v>
      </c>
      <c r="S30" s="18">
        <f t="shared" si="2"/>
        <v>41788.167187500003</v>
      </c>
      <c r="T30" s="18">
        <f t="shared" si="3"/>
        <v>41823.167187500003</v>
      </c>
    </row>
    <row r="31" spans="1:20" ht="42.75" x14ac:dyDescent="0.4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f t="shared" si="0"/>
        <v>117</v>
      </c>
      <c r="P31">
        <f t="shared" si="1"/>
        <v>41.7</v>
      </c>
      <c r="Q31" s="11" t="s">
        <v>8315</v>
      </c>
      <c r="R31" s="11" t="s">
        <v>8357</v>
      </c>
      <c r="S31" s="18">
        <f t="shared" si="2"/>
        <v>42050.019641203704</v>
      </c>
      <c r="T31" s="18">
        <f t="shared" si="3"/>
        <v>42064.207638888889</v>
      </c>
    </row>
    <row r="32" spans="1:20" ht="42.75" x14ac:dyDescent="0.4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f t="shared" si="0"/>
        <v>108</v>
      </c>
      <c r="P32">
        <f t="shared" si="1"/>
        <v>74.239999999999995</v>
      </c>
      <c r="Q32" s="11" t="s">
        <v>8315</v>
      </c>
      <c r="R32" s="11" t="s">
        <v>8357</v>
      </c>
      <c r="S32" s="18">
        <f t="shared" si="2"/>
        <v>41772.727893518517</v>
      </c>
      <c r="T32" s="18">
        <f t="shared" si="3"/>
        <v>41802.727893518517</v>
      </c>
    </row>
    <row r="33" spans="1:20" ht="42.75" x14ac:dyDescent="0.4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f t="shared" si="0"/>
        <v>100</v>
      </c>
      <c r="P33">
        <f t="shared" si="1"/>
        <v>73.33</v>
      </c>
      <c r="Q33" s="11" t="s">
        <v>8315</v>
      </c>
      <c r="R33" s="11" t="s">
        <v>8357</v>
      </c>
      <c r="S33" s="18">
        <f t="shared" si="2"/>
        <v>42445.598136574074</v>
      </c>
      <c r="T33" s="18">
        <f t="shared" si="3"/>
        <v>42475.598136574074</v>
      </c>
    </row>
    <row r="34" spans="1:20" ht="28.5" x14ac:dyDescent="0.4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f t="shared" si="0"/>
        <v>146</v>
      </c>
      <c r="P34">
        <f t="shared" si="1"/>
        <v>38.42</v>
      </c>
      <c r="Q34" s="11" t="s">
        <v>8315</v>
      </c>
      <c r="R34" s="11" t="s">
        <v>8357</v>
      </c>
      <c r="S34" s="18">
        <f t="shared" si="2"/>
        <v>42493.857083333336</v>
      </c>
      <c r="T34" s="18">
        <f t="shared" si="3"/>
        <v>42508</v>
      </c>
    </row>
    <row r="35" spans="1:20" ht="42.75" x14ac:dyDescent="0.4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f t="shared" si="0"/>
        <v>110</v>
      </c>
      <c r="P35">
        <f t="shared" si="1"/>
        <v>166.97</v>
      </c>
      <c r="Q35" s="11" t="s">
        <v>8315</v>
      </c>
      <c r="R35" s="11" t="s">
        <v>8357</v>
      </c>
      <c r="S35" s="18">
        <f t="shared" si="2"/>
        <v>42682.616967592592</v>
      </c>
      <c r="T35" s="18">
        <f t="shared" si="3"/>
        <v>42703.25</v>
      </c>
    </row>
    <row r="36" spans="1:20" ht="28.5" x14ac:dyDescent="0.4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f t="shared" si="0"/>
        <v>108</v>
      </c>
      <c r="P36">
        <f t="shared" si="1"/>
        <v>94.91</v>
      </c>
      <c r="Q36" s="11" t="s">
        <v>8315</v>
      </c>
      <c r="R36" s="11" t="s">
        <v>8357</v>
      </c>
      <c r="S36" s="18">
        <f t="shared" si="2"/>
        <v>42656.005173611105</v>
      </c>
      <c r="T36" s="18">
        <f t="shared" si="3"/>
        <v>42689.088888888888</v>
      </c>
    </row>
    <row r="37" spans="1:20" ht="42.75" x14ac:dyDescent="0.4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f t="shared" si="0"/>
        <v>100</v>
      </c>
      <c r="P37">
        <f t="shared" si="1"/>
        <v>143.21</v>
      </c>
      <c r="Q37" s="11" t="s">
        <v>8315</v>
      </c>
      <c r="R37" s="11" t="s">
        <v>8357</v>
      </c>
      <c r="S37" s="18">
        <f t="shared" si="2"/>
        <v>42075.942627314813</v>
      </c>
      <c r="T37" s="18">
        <f t="shared" si="3"/>
        <v>42103.166666666672</v>
      </c>
    </row>
    <row r="38" spans="1:20" ht="57" x14ac:dyDescent="0.4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f t="shared" si="0"/>
        <v>107</v>
      </c>
      <c r="P38">
        <f t="shared" si="1"/>
        <v>90.82</v>
      </c>
      <c r="Q38" s="11" t="s">
        <v>8315</v>
      </c>
      <c r="R38" s="11" t="s">
        <v>8357</v>
      </c>
      <c r="S38" s="18">
        <f t="shared" si="2"/>
        <v>41814.367800925924</v>
      </c>
      <c r="T38" s="18">
        <f t="shared" si="3"/>
        <v>41852.041666666664</v>
      </c>
    </row>
    <row r="39" spans="1:20" ht="42.75" x14ac:dyDescent="0.4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f t="shared" si="0"/>
        <v>143</v>
      </c>
      <c r="P39">
        <f t="shared" si="1"/>
        <v>48.54</v>
      </c>
      <c r="Q39" s="11" t="s">
        <v>8315</v>
      </c>
      <c r="R39" s="11" t="s">
        <v>8357</v>
      </c>
      <c r="S39" s="18">
        <f t="shared" si="2"/>
        <v>41887.111354166671</v>
      </c>
      <c r="T39" s="18">
        <f t="shared" si="3"/>
        <v>41909.166666666664</v>
      </c>
    </row>
    <row r="40" spans="1:20" ht="28.5" x14ac:dyDescent="0.4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f t="shared" si="0"/>
        <v>105</v>
      </c>
      <c r="P40">
        <f t="shared" si="1"/>
        <v>70.03</v>
      </c>
      <c r="Q40" s="11" t="s">
        <v>8315</v>
      </c>
      <c r="R40" s="11" t="s">
        <v>8357</v>
      </c>
      <c r="S40" s="18">
        <f t="shared" si="2"/>
        <v>41989.819212962961</v>
      </c>
      <c r="T40" s="18">
        <f t="shared" si="3"/>
        <v>42049.819212962961</v>
      </c>
    </row>
    <row r="41" spans="1:20" ht="28.5" x14ac:dyDescent="0.4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f t="shared" si="0"/>
        <v>104</v>
      </c>
      <c r="P41">
        <f t="shared" si="1"/>
        <v>135.63</v>
      </c>
      <c r="Q41" s="11" t="s">
        <v>8315</v>
      </c>
      <c r="R41" s="11" t="s">
        <v>8357</v>
      </c>
      <c r="S41" s="18">
        <f t="shared" si="2"/>
        <v>42425.735416666663</v>
      </c>
      <c r="T41" s="18">
        <f t="shared" si="3"/>
        <v>42455.693750000006</v>
      </c>
    </row>
    <row r="42" spans="1:20" ht="42.75" x14ac:dyDescent="0.4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f t="shared" si="0"/>
        <v>120</v>
      </c>
      <c r="P42">
        <f t="shared" si="1"/>
        <v>100</v>
      </c>
      <c r="Q42" s="11" t="s">
        <v>8315</v>
      </c>
      <c r="R42" s="11" t="s">
        <v>8357</v>
      </c>
      <c r="S42" s="18">
        <f t="shared" si="2"/>
        <v>42166.219733796301</v>
      </c>
      <c r="T42" s="18">
        <f t="shared" si="3"/>
        <v>42198.837499999994</v>
      </c>
    </row>
    <row r="43" spans="1:20" ht="42.75" x14ac:dyDescent="0.4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f t="shared" si="0"/>
        <v>110</v>
      </c>
      <c r="P43">
        <f t="shared" si="1"/>
        <v>94.9</v>
      </c>
      <c r="Q43" s="11" t="s">
        <v>8315</v>
      </c>
      <c r="R43" s="11" t="s">
        <v>8357</v>
      </c>
      <c r="S43" s="18">
        <f t="shared" si="2"/>
        <v>41865.882928240739</v>
      </c>
      <c r="T43" s="18">
        <f t="shared" si="3"/>
        <v>41890.882928240739</v>
      </c>
    </row>
    <row r="44" spans="1:20" ht="42.75" x14ac:dyDescent="0.4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f t="shared" si="0"/>
        <v>129</v>
      </c>
      <c r="P44">
        <f t="shared" si="1"/>
        <v>64.459999999999994</v>
      </c>
      <c r="Q44" s="11" t="s">
        <v>8315</v>
      </c>
      <c r="R44" s="11" t="s">
        <v>8357</v>
      </c>
      <c r="S44" s="18">
        <f t="shared" si="2"/>
        <v>42420.140277777777</v>
      </c>
      <c r="T44" s="18">
        <f t="shared" si="3"/>
        <v>42444.666666666672</v>
      </c>
    </row>
    <row r="45" spans="1:20" ht="42.75" x14ac:dyDescent="0.4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f t="shared" si="0"/>
        <v>111</v>
      </c>
      <c r="P45">
        <f t="shared" si="1"/>
        <v>93.77</v>
      </c>
      <c r="Q45" s="11" t="s">
        <v>8315</v>
      </c>
      <c r="R45" s="11" t="s">
        <v>8357</v>
      </c>
      <c r="S45" s="18">
        <f t="shared" si="2"/>
        <v>42487.037905092591</v>
      </c>
      <c r="T45" s="18">
        <f t="shared" si="3"/>
        <v>42517.037905092591</v>
      </c>
    </row>
    <row r="46" spans="1:20" ht="42.75" x14ac:dyDescent="0.4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f t="shared" si="0"/>
        <v>100</v>
      </c>
      <c r="P46">
        <f t="shared" si="1"/>
        <v>35.1</v>
      </c>
      <c r="Q46" s="11" t="s">
        <v>8315</v>
      </c>
      <c r="R46" s="11" t="s">
        <v>8357</v>
      </c>
      <c r="S46" s="18">
        <f t="shared" si="2"/>
        <v>42167.534791666665</v>
      </c>
      <c r="T46" s="18">
        <f t="shared" si="3"/>
        <v>42196.165972222225</v>
      </c>
    </row>
    <row r="47" spans="1:20" x14ac:dyDescent="0.45">
      <c r="B47" s="9"/>
      <c r="C47" s="3"/>
      <c r="D47" s="5"/>
      <c r="E47" s="7"/>
      <c r="Q47" s="11"/>
      <c r="R47" s="11"/>
      <c r="S47" s="18"/>
      <c r="T47" s="18"/>
    </row>
    <row r="48" spans="1:20" x14ac:dyDescent="0.45">
      <c r="B48" s="9"/>
      <c r="C48" s="3"/>
      <c r="D48" s="5"/>
      <c r="E48" s="7"/>
      <c r="Q48" s="11"/>
      <c r="R48" s="11"/>
      <c r="S48" s="18"/>
      <c r="T48" s="18"/>
    </row>
    <row r="49" spans="2:20" x14ac:dyDescent="0.45">
      <c r="B49" s="9"/>
      <c r="C49" s="3"/>
      <c r="D49" s="5"/>
      <c r="E49" s="7"/>
      <c r="Q49" s="11"/>
      <c r="R49" s="11"/>
      <c r="S49" s="18"/>
      <c r="T49" s="18"/>
    </row>
    <row r="50" spans="2:20" x14ac:dyDescent="0.45">
      <c r="B50" s="9"/>
      <c r="C50" s="3"/>
      <c r="D50" s="5"/>
      <c r="E50" s="7"/>
      <c r="Q50" s="11"/>
      <c r="R50" s="11"/>
      <c r="S50" s="18"/>
      <c r="T50" s="18"/>
    </row>
    <row r="51" spans="2:20" x14ac:dyDescent="0.45">
      <c r="B51" s="9"/>
      <c r="C51" s="3"/>
      <c r="D51" s="5"/>
      <c r="E51" s="7"/>
      <c r="Q51" s="11"/>
      <c r="R51" s="11"/>
      <c r="S51" s="18"/>
      <c r="T51" s="18"/>
    </row>
    <row r="52" spans="2:20" x14ac:dyDescent="0.45">
      <c r="B52" s="9"/>
      <c r="C52" s="3"/>
      <c r="D52" s="5"/>
      <c r="E52" s="7"/>
      <c r="Q52" s="11"/>
      <c r="R52" s="11"/>
      <c r="S52" s="18"/>
      <c r="T52" s="18"/>
    </row>
    <row r="53" spans="2:20" x14ac:dyDescent="0.45">
      <c r="B53" s="9"/>
      <c r="C53" s="3"/>
      <c r="D53" s="5"/>
      <c r="E53" s="7"/>
      <c r="Q53" s="11"/>
      <c r="R53" s="11"/>
      <c r="S53" s="18"/>
      <c r="T53" s="18"/>
    </row>
    <row r="54" spans="2:20" x14ac:dyDescent="0.45">
      <c r="B54" s="9"/>
      <c r="C54" s="3"/>
      <c r="D54" s="5"/>
      <c r="E54" s="7"/>
      <c r="Q54" s="11"/>
      <c r="R54" s="11"/>
      <c r="S54" s="18"/>
      <c r="T54" s="18"/>
    </row>
    <row r="55" spans="2:20" x14ac:dyDescent="0.45">
      <c r="B55" s="9"/>
      <c r="C55" s="3"/>
      <c r="D55" s="5"/>
      <c r="E55" s="7"/>
      <c r="Q55" s="11"/>
      <c r="R55" s="11"/>
      <c r="S55" s="18"/>
      <c r="T55" s="18"/>
    </row>
    <row r="56" spans="2:20" x14ac:dyDescent="0.45">
      <c r="B56" s="9"/>
      <c r="C56" s="3"/>
      <c r="D56" s="5"/>
      <c r="E56" s="7"/>
      <c r="Q56" s="11"/>
      <c r="R56" s="11"/>
      <c r="S56" s="18"/>
      <c r="T56" s="18"/>
    </row>
    <row r="57" spans="2:20" x14ac:dyDescent="0.45">
      <c r="B57" s="9"/>
      <c r="C57" s="3"/>
      <c r="D57" s="5"/>
      <c r="E57" s="7"/>
      <c r="Q57" s="11"/>
      <c r="R57" s="11"/>
      <c r="S57" s="18"/>
      <c r="T57" s="18"/>
    </row>
    <row r="58" spans="2:20" x14ac:dyDescent="0.45">
      <c r="B58" s="9"/>
      <c r="C58" s="3"/>
      <c r="D58" s="5"/>
      <c r="E58" s="7"/>
      <c r="Q58" s="11"/>
      <c r="R58" s="11"/>
      <c r="S58" s="18"/>
      <c r="T58" s="18"/>
    </row>
    <row r="59" spans="2:20" x14ac:dyDescent="0.45">
      <c r="B59" s="9"/>
      <c r="C59" s="3"/>
      <c r="D59" s="5"/>
      <c r="E59" s="7"/>
      <c r="Q59" s="11"/>
      <c r="R59" s="11"/>
      <c r="S59" s="18"/>
      <c r="T59" s="18"/>
    </row>
    <row r="60" spans="2:20" x14ac:dyDescent="0.45">
      <c r="B60" s="9"/>
      <c r="C60" s="3"/>
      <c r="D60" s="5"/>
      <c r="E60" s="7"/>
      <c r="Q60" s="11"/>
      <c r="R60" s="11"/>
      <c r="S60" s="18"/>
      <c r="T60" s="18"/>
    </row>
    <row r="61" spans="2:20" x14ac:dyDescent="0.45">
      <c r="B61" s="9"/>
      <c r="C61" s="3"/>
      <c r="D61" s="5"/>
      <c r="E61" s="7"/>
      <c r="Q61" s="11"/>
      <c r="R61" s="11"/>
      <c r="S61" s="18"/>
      <c r="T61" s="18"/>
    </row>
    <row r="62" spans="2:20" x14ac:dyDescent="0.45">
      <c r="B62" s="9"/>
      <c r="C62" s="3"/>
      <c r="D62" s="5"/>
      <c r="E62" s="7"/>
      <c r="Q62" s="11"/>
      <c r="R62" s="11"/>
      <c r="S62" s="18"/>
      <c r="T62" s="18"/>
    </row>
    <row r="63" spans="2:20" x14ac:dyDescent="0.45">
      <c r="B63" s="9"/>
      <c r="C63" s="3"/>
      <c r="D63" s="5"/>
      <c r="E63" s="7"/>
      <c r="Q63" s="11"/>
      <c r="R63" s="11"/>
      <c r="S63" s="18"/>
      <c r="T63" s="18"/>
    </row>
    <row r="64" spans="2:20" x14ac:dyDescent="0.45">
      <c r="B64" s="9"/>
      <c r="C64" s="3"/>
      <c r="D64" s="5"/>
      <c r="E64" s="7"/>
      <c r="Q64" s="11"/>
      <c r="R64" s="11"/>
      <c r="S64" s="18"/>
      <c r="T64" s="18"/>
    </row>
    <row r="65" spans="2:20" x14ac:dyDescent="0.45">
      <c r="B65" s="9"/>
      <c r="C65" s="3"/>
      <c r="D65" s="5"/>
      <c r="E65" s="7"/>
      <c r="Q65" s="11"/>
      <c r="R65" s="11"/>
      <c r="S65" s="18"/>
      <c r="T65" s="18"/>
    </row>
    <row r="66" spans="2:20" x14ac:dyDescent="0.45">
      <c r="B66" s="9"/>
      <c r="C66" s="3"/>
      <c r="D66" s="5"/>
      <c r="E66" s="7"/>
      <c r="Q66" s="11"/>
      <c r="R66" s="11"/>
      <c r="S66" s="18"/>
      <c r="T66" s="18"/>
    </row>
    <row r="67" spans="2:20" x14ac:dyDescent="0.45">
      <c r="B67" s="9"/>
      <c r="C67" s="3"/>
      <c r="D67" s="5"/>
      <c r="E67" s="7"/>
      <c r="Q67" s="11"/>
      <c r="R67" s="11"/>
      <c r="S67" s="18"/>
      <c r="T67" s="18"/>
    </row>
    <row r="68" spans="2:20" x14ac:dyDescent="0.45">
      <c r="B68" s="9"/>
      <c r="C68" s="3"/>
      <c r="D68" s="5"/>
      <c r="E68" s="7"/>
      <c r="Q68" s="11"/>
      <c r="R68" s="11"/>
      <c r="S68" s="18"/>
      <c r="T68" s="18"/>
    </row>
    <row r="69" spans="2:20" x14ac:dyDescent="0.45">
      <c r="B69" s="9"/>
      <c r="C69" s="3"/>
      <c r="D69" s="5"/>
      <c r="E69" s="7"/>
      <c r="Q69" s="11"/>
      <c r="R69" s="11"/>
      <c r="S69" s="18"/>
      <c r="T69" s="18"/>
    </row>
    <row r="70" spans="2:20" x14ac:dyDescent="0.45">
      <c r="B70" s="9"/>
      <c r="C70" s="3"/>
      <c r="D70" s="5"/>
      <c r="E70" s="7"/>
      <c r="Q70" s="11"/>
      <c r="R70" s="11"/>
      <c r="S70" s="18"/>
      <c r="T70" s="18"/>
    </row>
    <row r="71" spans="2:20" x14ac:dyDescent="0.45">
      <c r="B71" s="9"/>
      <c r="C71" s="3"/>
      <c r="D71" s="5"/>
      <c r="E71" s="7"/>
      <c r="Q71" s="11"/>
      <c r="R71" s="11"/>
      <c r="S71" s="18"/>
      <c r="T71" s="18"/>
    </row>
    <row r="72" spans="2:20" x14ac:dyDescent="0.45">
      <c r="B72" s="9"/>
      <c r="C72" s="3"/>
      <c r="D72" s="5"/>
      <c r="E72" s="7"/>
      <c r="Q72" s="11"/>
      <c r="R72" s="11"/>
      <c r="S72" s="18"/>
      <c r="T72" s="18"/>
    </row>
    <row r="73" spans="2:20" x14ac:dyDescent="0.45">
      <c r="B73" s="9"/>
      <c r="C73" s="3"/>
      <c r="D73" s="5"/>
      <c r="E73" s="7"/>
      <c r="Q73" s="11"/>
      <c r="R73" s="11"/>
      <c r="S73" s="18"/>
      <c r="T73" s="18"/>
    </row>
    <row r="74" spans="2:20" x14ac:dyDescent="0.45">
      <c r="B74" s="9"/>
      <c r="C74" s="3"/>
      <c r="D74" s="5"/>
      <c r="E74" s="7"/>
      <c r="Q74" s="11"/>
      <c r="R74" s="11"/>
      <c r="S74" s="18"/>
      <c r="T74" s="18"/>
    </row>
    <row r="75" spans="2:20" x14ac:dyDescent="0.45">
      <c r="B75" s="9"/>
      <c r="C75" s="3"/>
      <c r="D75" s="5"/>
      <c r="E75" s="7"/>
      <c r="Q75" s="11"/>
      <c r="R75" s="11"/>
      <c r="S75" s="18"/>
      <c r="T75" s="18"/>
    </row>
    <row r="76" spans="2:20" x14ac:dyDescent="0.45">
      <c r="B76" s="9"/>
      <c r="C76" s="3"/>
      <c r="D76" s="5"/>
      <c r="E76" s="7"/>
      <c r="Q76" s="11"/>
      <c r="R76" s="11"/>
      <c r="S76" s="18"/>
      <c r="T76" s="18"/>
    </row>
    <row r="77" spans="2:20" x14ac:dyDescent="0.45">
      <c r="B77" s="9"/>
      <c r="C77" s="3"/>
      <c r="D77" s="5"/>
      <c r="E77" s="7"/>
      <c r="Q77" s="11"/>
      <c r="R77" s="11"/>
      <c r="S77" s="18"/>
      <c r="T77" s="18"/>
    </row>
    <row r="78" spans="2:20" x14ac:dyDescent="0.45">
      <c r="B78" s="9"/>
      <c r="C78" s="3"/>
      <c r="D78" s="5"/>
      <c r="E78" s="7"/>
      <c r="Q78" s="11"/>
      <c r="R78" s="11"/>
      <c r="S78" s="18"/>
      <c r="T78" s="18"/>
    </row>
    <row r="79" spans="2:20" x14ac:dyDescent="0.45">
      <c r="B79" s="9"/>
      <c r="C79" s="3"/>
      <c r="D79" s="5"/>
      <c r="E79" s="7"/>
      <c r="Q79" s="11"/>
      <c r="R79" s="11"/>
      <c r="S79" s="18"/>
      <c r="T79" s="18"/>
    </row>
    <row r="80" spans="2:20" x14ac:dyDescent="0.45">
      <c r="B80" s="9"/>
      <c r="C80" s="3"/>
      <c r="D80" s="5"/>
      <c r="E80" s="7"/>
      <c r="Q80" s="11"/>
      <c r="R80" s="11"/>
      <c r="S80" s="18"/>
      <c r="T80" s="18"/>
    </row>
    <row r="81" spans="2:20" x14ac:dyDescent="0.45">
      <c r="B81" s="9"/>
      <c r="C81" s="3"/>
      <c r="D81" s="5"/>
      <c r="E81" s="7"/>
      <c r="Q81" s="11"/>
      <c r="R81" s="11"/>
      <c r="S81" s="18"/>
      <c r="T81" s="18"/>
    </row>
    <row r="82" spans="2:20" x14ac:dyDescent="0.45">
      <c r="B82" s="9"/>
      <c r="C82" s="3"/>
      <c r="D82" s="5"/>
      <c r="E82" s="7"/>
      <c r="Q82" s="11"/>
      <c r="R82" s="11"/>
      <c r="S82" s="18"/>
      <c r="T82" s="18"/>
    </row>
    <row r="83" spans="2:20" x14ac:dyDescent="0.45">
      <c r="B83" s="9"/>
      <c r="C83" s="3"/>
      <c r="D83" s="5"/>
      <c r="E83" s="7"/>
      <c r="Q83" s="11"/>
      <c r="R83" s="11"/>
      <c r="S83" s="18"/>
      <c r="T83" s="18"/>
    </row>
    <row r="84" spans="2:20" x14ac:dyDescent="0.45">
      <c r="B84" s="9"/>
      <c r="C84" s="3"/>
      <c r="D84" s="5"/>
      <c r="E84" s="7"/>
      <c r="Q84" s="11"/>
      <c r="R84" s="11"/>
      <c r="S84" s="18"/>
      <c r="T84" s="18"/>
    </row>
    <row r="85" spans="2:20" x14ac:dyDescent="0.45">
      <c r="B85" s="9"/>
      <c r="C85" s="3"/>
      <c r="D85" s="5"/>
      <c r="E85" s="7"/>
      <c r="Q85" s="11"/>
      <c r="R85" s="11"/>
      <c r="S85" s="18"/>
      <c r="T85" s="18"/>
    </row>
    <row r="86" spans="2:20" x14ac:dyDescent="0.45">
      <c r="B86" s="9"/>
      <c r="C86" s="3"/>
      <c r="D86" s="5"/>
      <c r="E86" s="7"/>
      <c r="Q86" s="11"/>
      <c r="R86" s="11"/>
      <c r="S86" s="18"/>
      <c r="T86" s="18"/>
    </row>
    <row r="87" spans="2:20" x14ac:dyDescent="0.45">
      <c r="B87" s="9"/>
      <c r="C87" s="3"/>
      <c r="D87" s="5"/>
      <c r="E87" s="7"/>
      <c r="Q87" s="11"/>
      <c r="R87" s="11"/>
      <c r="S87" s="18"/>
      <c r="T87" s="18"/>
    </row>
  </sheetData>
  <conditionalFormatting sqref="F1:F87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P1 O2:O87 R1:T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25EA0-5AD0-47F1-BFF5-8B94EDB74CFF}">
  <dimension ref="A1:T41"/>
  <sheetViews>
    <sheetView topLeftCell="A30" workbookViewId="0">
      <selection activeCell="F41" sqref="F41"/>
    </sheetView>
  </sheetViews>
  <sheetFormatPr defaultRowHeight="14.25" x14ac:dyDescent="0.45"/>
  <cols>
    <col min="2" max="2" width="38.46484375" customWidth="1"/>
    <col min="3" max="3" width="40.33203125" customWidth="1"/>
    <col min="4" max="4" width="16.0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06640625" bestFit="1" customWidth="1"/>
    <col min="16" max="16" width="20.796875" bestFit="1" customWidth="1"/>
    <col min="17" max="17" width="14.46484375" bestFit="1" customWidth="1"/>
    <col min="18" max="18" width="17.796875" customWidth="1"/>
    <col min="19" max="19" width="21.9296875" bestFit="1" customWidth="1"/>
    <col min="20" max="20" width="20.46484375" bestFit="1" customWidth="1"/>
  </cols>
  <sheetData>
    <row r="1" spans="1:20" x14ac:dyDescent="0.45">
      <c r="A1" t="s">
        <v>0</v>
      </c>
      <c r="B1" s="9" t="s">
        <v>1</v>
      </c>
      <c r="C1" s="3" t="s">
        <v>4110</v>
      </c>
      <c r="D1" s="5" t="s">
        <v>8216</v>
      </c>
      <c r="E1" s="7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1" t="s">
        <v>8358</v>
      </c>
      <c r="R1" s="11" t="s">
        <v>8359</v>
      </c>
      <c r="S1" s="18" t="s">
        <v>8365</v>
      </c>
      <c r="T1" s="18" t="s">
        <v>8366</v>
      </c>
    </row>
    <row r="2" spans="1:20" ht="71.25" x14ac:dyDescent="0.45">
      <c r="A2">
        <v>3788</v>
      </c>
      <c r="B2" s="9" t="s">
        <v>3785</v>
      </c>
      <c r="C2" s="3" t="s">
        <v>7898</v>
      </c>
      <c r="D2" s="5">
        <v>75000</v>
      </c>
      <c r="E2" s="7">
        <v>500</v>
      </c>
      <c r="F2" t="s">
        <v>8220</v>
      </c>
      <c r="G2" t="s">
        <v>8223</v>
      </c>
      <c r="H2" t="s">
        <v>8245</v>
      </c>
      <c r="I2">
        <v>1450887480</v>
      </c>
      <c r="J2">
        <v>1448469719</v>
      </c>
      <c r="K2" t="b">
        <v>0</v>
      </c>
      <c r="L2">
        <v>1</v>
      </c>
      <c r="M2" t="b">
        <v>0</v>
      </c>
      <c r="N2" t="s">
        <v>8303</v>
      </c>
      <c r="O2">
        <f t="shared" ref="O2:O41" si="0">ROUND(E2/D2*100,0)</f>
        <v>1</v>
      </c>
      <c r="P2">
        <f t="shared" ref="P2:P41" si="1">IFERROR(ROUND(E2/L2,2),0)</f>
        <v>500</v>
      </c>
      <c r="Q2" s="11" t="s">
        <v>8315</v>
      </c>
      <c r="R2" s="11" t="s">
        <v>8357</v>
      </c>
      <c r="S2" s="18">
        <f t="shared" ref="S2:S41" si="2">(((J2/60)/60)/24)+DATE(1970,1,1)</f>
        <v>42333.695821759262</v>
      </c>
      <c r="T2" s="18">
        <f t="shared" ref="T2:T41" si="3">(((I2/60)/60)/24)+DATE(1970,1,1)</f>
        <v>42361.679166666669</v>
      </c>
    </row>
    <row r="3" spans="1:20" ht="42.75" x14ac:dyDescent="0.45">
      <c r="A3">
        <v>3790</v>
      </c>
      <c r="B3" s="9" t="s">
        <v>3787</v>
      </c>
      <c r="C3" s="3" t="s">
        <v>7900</v>
      </c>
      <c r="D3" s="5">
        <v>15000</v>
      </c>
      <c r="E3" s="7">
        <v>0</v>
      </c>
      <c r="F3" t="s">
        <v>8220</v>
      </c>
      <c r="G3" t="s">
        <v>8223</v>
      </c>
      <c r="H3" t="s">
        <v>8245</v>
      </c>
      <c r="I3">
        <v>1479834023</v>
      </c>
      <c r="J3">
        <v>1477238423</v>
      </c>
      <c r="K3" t="b">
        <v>0</v>
      </c>
      <c r="L3">
        <v>0</v>
      </c>
      <c r="M3" t="b">
        <v>0</v>
      </c>
      <c r="N3" t="s">
        <v>8303</v>
      </c>
      <c r="O3">
        <f t="shared" si="0"/>
        <v>0</v>
      </c>
      <c r="P3">
        <f t="shared" si="1"/>
        <v>0</v>
      </c>
      <c r="Q3" s="11" t="s">
        <v>8315</v>
      </c>
      <c r="R3" s="11" t="s">
        <v>8357</v>
      </c>
      <c r="S3" s="18">
        <f t="shared" si="2"/>
        <v>42666.666932870372</v>
      </c>
      <c r="T3" s="18">
        <f t="shared" si="3"/>
        <v>42696.708599537036</v>
      </c>
    </row>
    <row r="4" spans="1:20" ht="28.5" x14ac:dyDescent="0.45">
      <c r="A4">
        <v>3791</v>
      </c>
      <c r="B4" s="9" t="s">
        <v>3788</v>
      </c>
      <c r="C4" s="3" t="s">
        <v>7901</v>
      </c>
      <c r="D4" s="5">
        <v>1500</v>
      </c>
      <c r="E4" s="7">
        <v>0</v>
      </c>
      <c r="F4" t="s">
        <v>8220</v>
      </c>
      <c r="G4" t="s">
        <v>8223</v>
      </c>
      <c r="H4" t="s">
        <v>8245</v>
      </c>
      <c r="I4">
        <v>1404664592</v>
      </c>
      <c r="J4">
        <v>1399480592</v>
      </c>
      <c r="K4" t="b">
        <v>0</v>
      </c>
      <c r="L4">
        <v>0</v>
      </c>
      <c r="M4" t="b">
        <v>0</v>
      </c>
      <c r="N4" t="s">
        <v>8303</v>
      </c>
      <c r="O4">
        <f t="shared" si="0"/>
        <v>0</v>
      </c>
      <c r="P4">
        <f t="shared" si="1"/>
        <v>0</v>
      </c>
      <c r="Q4" s="11" t="s">
        <v>8315</v>
      </c>
      <c r="R4" s="11" t="s">
        <v>8357</v>
      </c>
      <c r="S4" s="18">
        <f t="shared" si="2"/>
        <v>41766.692037037035</v>
      </c>
      <c r="T4" s="18">
        <f t="shared" si="3"/>
        <v>41826.692037037035</v>
      </c>
    </row>
    <row r="5" spans="1:20" ht="28.5" x14ac:dyDescent="0.45">
      <c r="A5">
        <v>3792</v>
      </c>
      <c r="B5" s="9" t="s">
        <v>3789</v>
      </c>
      <c r="C5" s="3" t="s">
        <v>7902</v>
      </c>
      <c r="D5" s="5">
        <v>12500</v>
      </c>
      <c r="E5" s="7">
        <v>35</v>
      </c>
      <c r="F5" t="s">
        <v>8220</v>
      </c>
      <c r="G5" t="s">
        <v>8223</v>
      </c>
      <c r="H5" t="s">
        <v>8245</v>
      </c>
      <c r="I5">
        <v>1436957022</v>
      </c>
      <c r="J5">
        <v>1434365022</v>
      </c>
      <c r="K5" t="b">
        <v>0</v>
      </c>
      <c r="L5">
        <v>2</v>
      </c>
      <c r="M5" t="b">
        <v>0</v>
      </c>
      <c r="N5" t="s">
        <v>8303</v>
      </c>
      <c r="O5">
        <f t="shared" si="0"/>
        <v>0</v>
      </c>
      <c r="P5">
        <f t="shared" si="1"/>
        <v>17.5</v>
      </c>
      <c r="Q5" s="11" t="s">
        <v>8315</v>
      </c>
      <c r="R5" s="11" t="s">
        <v>8357</v>
      </c>
      <c r="S5" s="18">
        <f t="shared" si="2"/>
        <v>42170.447013888886</v>
      </c>
      <c r="T5" s="18">
        <f t="shared" si="3"/>
        <v>42200.447013888886</v>
      </c>
    </row>
    <row r="6" spans="1:20" ht="42.75" x14ac:dyDescent="0.45">
      <c r="A6">
        <v>3793</v>
      </c>
      <c r="B6" s="9" t="s">
        <v>3790</v>
      </c>
      <c r="C6" s="3" t="s">
        <v>7903</v>
      </c>
      <c r="D6" s="5">
        <v>7000</v>
      </c>
      <c r="E6" s="7">
        <v>4176</v>
      </c>
      <c r="F6" t="s">
        <v>8220</v>
      </c>
      <c r="G6" t="s">
        <v>8223</v>
      </c>
      <c r="H6" t="s">
        <v>8245</v>
      </c>
      <c r="I6">
        <v>1418769129</v>
      </c>
      <c r="J6">
        <v>1416954729</v>
      </c>
      <c r="K6" t="b">
        <v>0</v>
      </c>
      <c r="L6">
        <v>24</v>
      </c>
      <c r="M6" t="b">
        <v>0</v>
      </c>
      <c r="N6" t="s">
        <v>8303</v>
      </c>
      <c r="O6">
        <f t="shared" si="0"/>
        <v>60</v>
      </c>
      <c r="P6">
        <f t="shared" si="1"/>
        <v>174</v>
      </c>
      <c r="Q6" s="11" t="s">
        <v>8315</v>
      </c>
      <c r="R6" s="11" t="s">
        <v>8357</v>
      </c>
      <c r="S6" s="18">
        <f t="shared" si="2"/>
        <v>41968.938993055555</v>
      </c>
      <c r="T6" s="18">
        <f t="shared" si="3"/>
        <v>41989.938993055555</v>
      </c>
    </row>
    <row r="7" spans="1:20" ht="42.75" x14ac:dyDescent="0.45">
      <c r="A7">
        <v>3796</v>
      </c>
      <c r="B7" s="9" t="s">
        <v>3793</v>
      </c>
      <c r="C7" s="3" t="s">
        <v>7906</v>
      </c>
      <c r="D7" s="5">
        <v>22500</v>
      </c>
      <c r="E7" s="7">
        <v>1</v>
      </c>
      <c r="F7" t="s">
        <v>8220</v>
      </c>
      <c r="G7" t="s">
        <v>8223</v>
      </c>
      <c r="H7" t="s">
        <v>8245</v>
      </c>
      <c r="I7">
        <v>1484354556</v>
      </c>
      <c r="J7">
        <v>1479170556</v>
      </c>
      <c r="K7" t="b">
        <v>0</v>
      </c>
      <c r="L7">
        <v>1</v>
      </c>
      <c r="M7" t="b">
        <v>0</v>
      </c>
      <c r="N7" t="s">
        <v>8303</v>
      </c>
      <c r="O7">
        <f t="shared" si="0"/>
        <v>0</v>
      </c>
      <c r="P7">
        <f t="shared" si="1"/>
        <v>1</v>
      </c>
      <c r="Q7" s="11" t="s">
        <v>8315</v>
      </c>
      <c r="R7" s="11" t="s">
        <v>8357</v>
      </c>
      <c r="S7" s="18">
        <f t="shared" si="2"/>
        <v>42689.029583333337</v>
      </c>
      <c r="T7" s="18">
        <f t="shared" si="3"/>
        <v>42749.029583333337</v>
      </c>
    </row>
    <row r="8" spans="1:20" ht="42.75" x14ac:dyDescent="0.45">
      <c r="A8">
        <v>3797</v>
      </c>
      <c r="B8" s="9" t="s">
        <v>3794</v>
      </c>
      <c r="C8" s="3" t="s">
        <v>7907</v>
      </c>
      <c r="D8" s="5">
        <v>6000</v>
      </c>
      <c r="E8" s="7">
        <v>5380</v>
      </c>
      <c r="F8" t="s">
        <v>8220</v>
      </c>
      <c r="G8" t="s">
        <v>8223</v>
      </c>
      <c r="H8" t="s">
        <v>8245</v>
      </c>
      <c r="I8">
        <v>1429564165</v>
      </c>
      <c r="J8">
        <v>1426972165</v>
      </c>
      <c r="K8" t="b">
        <v>0</v>
      </c>
      <c r="L8">
        <v>37</v>
      </c>
      <c r="M8" t="b">
        <v>0</v>
      </c>
      <c r="N8" t="s">
        <v>8303</v>
      </c>
      <c r="O8">
        <f t="shared" si="0"/>
        <v>90</v>
      </c>
      <c r="P8">
        <f t="shared" si="1"/>
        <v>145.41</v>
      </c>
      <c r="Q8" s="11" t="s">
        <v>8315</v>
      </c>
      <c r="R8" s="11" t="s">
        <v>8357</v>
      </c>
      <c r="S8" s="18">
        <f t="shared" si="2"/>
        <v>42084.881539351853</v>
      </c>
      <c r="T8" s="18">
        <f t="shared" si="3"/>
        <v>42114.881539351853</v>
      </c>
    </row>
    <row r="9" spans="1:20" ht="42.75" x14ac:dyDescent="0.45">
      <c r="A9">
        <v>3798</v>
      </c>
      <c r="B9" s="9" t="s">
        <v>3795</v>
      </c>
      <c r="C9" s="3" t="s">
        <v>7908</v>
      </c>
      <c r="D9" s="5">
        <v>70000</v>
      </c>
      <c r="E9" s="7">
        <v>1025</v>
      </c>
      <c r="F9" t="s">
        <v>8220</v>
      </c>
      <c r="G9" t="s">
        <v>8223</v>
      </c>
      <c r="H9" t="s">
        <v>8245</v>
      </c>
      <c r="I9">
        <v>1407691248</v>
      </c>
      <c r="J9">
        <v>1405099248</v>
      </c>
      <c r="K9" t="b">
        <v>0</v>
      </c>
      <c r="L9">
        <v>5</v>
      </c>
      <c r="M9" t="b">
        <v>0</v>
      </c>
      <c r="N9" t="s">
        <v>8303</v>
      </c>
      <c r="O9">
        <f t="shared" si="0"/>
        <v>1</v>
      </c>
      <c r="P9">
        <f t="shared" si="1"/>
        <v>205</v>
      </c>
      <c r="Q9" s="11" t="s">
        <v>8315</v>
      </c>
      <c r="R9" s="11" t="s">
        <v>8357</v>
      </c>
      <c r="S9" s="18">
        <f t="shared" si="2"/>
        <v>41831.722777777781</v>
      </c>
      <c r="T9" s="18">
        <f t="shared" si="3"/>
        <v>41861.722777777781</v>
      </c>
    </row>
    <row r="10" spans="1:20" ht="28.5" x14ac:dyDescent="0.45">
      <c r="A10">
        <v>3799</v>
      </c>
      <c r="B10" s="9" t="s">
        <v>3796</v>
      </c>
      <c r="C10" s="3" t="s">
        <v>7909</v>
      </c>
      <c r="D10" s="5">
        <v>10000</v>
      </c>
      <c r="E10" s="7">
        <v>402</v>
      </c>
      <c r="F10" t="s">
        <v>8220</v>
      </c>
      <c r="G10" t="s">
        <v>8223</v>
      </c>
      <c r="H10" t="s">
        <v>8245</v>
      </c>
      <c r="I10">
        <v>1457734843</v>
      </c>
      <c r="J10">
        <v>1455142843</v>
      </c>
      <c r="K10" t="b">
        <v>0</v>
      </c>
      <c r="L10">
        <v>4</v>
      </c>
      <c r="M10" t="b">
        <v>0</v>
      </c>
      <c r="N10" t="s">
        <v>8303</v>
      </c>
      <c r="O10">
        <f t="shared" si="0"/>
        <v>4</v>
      </c>
      <c r="P10">
        <f t="shared" si="1"/>
        <v>100.5</v>
      </c>
      <c r="Q10" s="11" t="s">
        <v>8315</v>
      </c>
      <c r="R10" s="11" t="s">
        <v>8357</v>
      </c>
      <c r="S10" s="18">
        <f t="shared" si="2"/>
        <v>42410.93105324074</v>
      </c>
      <c r="T10" s="18">
        <f t="shared" si="3"/>
        <v>42440.93105324074</v>
      </c>
    </row>
    <row r="11" spans="1:20" ht="42.75" x14ac:dyDescent="0.45">
      <c r="A11">
        <v>3800</v>
      </c>
      <c r="B11" s="9" t="s">
        <v>3797</v>
      </c>
      <c r="C11" s="3" t="s">
        <v>7910</v>
      </c>
      <c r="D11" s="5">
        <v>22000</v>
      </c>
      <c r="E11" s="7">
        <v>881</v>
      </c>
      <c r="F11" t="s">
        <v>8220</v>
      </c>
      <c r="G11" t="s">
        <v>8223</v>
      </c>
      <c r="H11" t="s">
        <v>8245</v>
      </c>
      <c r="I11">
        <v>1420952340</v>
      </c>
      <c r="J11">
        <v>1418146883</v>
      </c>
      <c r="K11" t="b">
        <v>0</v>
      </c>
      <c r="L11">
        <v>16</v>
      </c>
      <c r="M11" t="b">
        <v>0</v>
      </c>
      <c r="N11" t="s">
        <v>8303</v>
      </c>
      <c r="O11">
        <f t="shared" si="0"/>
        <v>4</v>
      </c>
      <c r="P11">
        <f t="shared" si="1"/>
        <v>55.06</v>
      </c>
      <c r="Q11" s="11" t="s">
        <v>8315</v>
      </c>
      <c r="R11" s="11" t="s">
        <v>8357</v>
      </c>
      <c r="S11" s="18">
        <f t="shared" si="2"/>
        <v>41982.737071759257</v>
      </c>
      <c r="T11" s="18">
        <f t="shared" si="3"/>
        <v>42015.207638888889</v>
      </c>
    </row>
    <row r="12" spans="1:20" ht="42.75" x14ac:dyDescent="0.45">
      <c r="A12">
        <v>3801</v>
      </c>
      <c r="B12" s="9" t="s">
        <v>3798</v>
      </c>
      <c r="C12" s="3" t="s">
        <v>7911</v>
      </c>
      <c r="D12" s="5">
        <v>5000</v>
      </c>
      <c r="E12" s="7">
        <v>426</v>
      </c>
      <c r="F12" t="s">
        <v>8220</v>
      </c>
      <c r="G12" t="s">
        <v>8223</v>
      </c>
      <c r="H12" t="s">
        <v>8245</v>
      </c>
      <c r="I12">
        <v>1420215216</v>
      </c>
      <c r="J12">
        <v>1417536816</v>
      </c>
      <c r="K12" t="b">
        <v>0</v>
      </c>
      <c r="L12">
        <v>9</v>
      </c>
      <c r="M12" t="b">
        <v>0</v>
      </c>
      <c r="N12" t="s">
        <v>8303</v>
      </c>
      <c r="O12">
        <f t="shared" si="0"/>
        <v>9</v>
      </c>
      <c r="P12">
        <f t="shared" si="1"/>
        <v>47.33</v>
      </c>
      <c r="Q12" s="11" t="s">
        <v>8315</v>
      </c>
      <c r="R12" s="11" t="s">
        <v>8357</v>
      </c>
      <c r="S12" s="18">
        <f t="shared" si="2"/>
        <v>41975.676111111112</v>
      </c>
      <c r="T12" s="18">
        <f t="shared" si="3"/>
        <v>42006.676111111112</v>
      </c>
    </row>
    <row r="13" spans="1:20" ht="42.75" x14ac:dyDescent="0.45">
      <c r="A13">
        <v>3802</v>
      </c>
      <c r="B13" s="9" t="s">
        <v>3799</v>
      </c>
      <c r="C13" s="3" t="s">
        <v>7912</v>
      </c>
      <c r="D13" s="5">
        <v>3000</v>
      </c>
      <c r="E13" s="7">
        <v>0</v>
      </c>
      <c r="F13" t="s">
        <v>8220</v>
      </c>
      <c r="G13" t="s">
        <v>8223</v>
      </c>
      <c r="H13" t="s">
        <v>8245</v>
      </c>
      <c r="I13">
        <v>1445482906</v>
      </c>
      <c r="J13">
        <v>1442890906</v>
      </c>
      <c r="K13" t="b">
        <v>0</v>
      </c>
      <c r="L13">
        <v>0</v>
      </c>
      <c r="M13" t="b">
        <v>0</v>
      </c>
      <c r="N13" t="s">
        <v>8303</v>
      </c>
      <c r="O13">
        <f t="shared" si="0"/>
        <v>0</v>
      </c>
      <c r="P13">
        <f t="shared" si="1"/>
        <v>0</v>
      </c>
      <c r="Q13" s="11" t="s">
        <v>8315</v>
      </c>
      <c r="R13" s="11" t="s">
        <v>8357</v>
      </c>
      <c r="S13" s="18">
        <f t="shared" si="2"/>
        <v>42269.126226851848</v>
      </c>
      <c r="T13" s="18">
        <f t="shared" si="3"/>
        <v>42299.126226851848</v>
      </c>
    </row>
    <row r="14" spans="1:20" ht="28.5" x14ac:dyDescent="0.45">
      <c r="A14">
        <v>3803</v>
      </c>
      <c r="B14" s="9" t="s">
        <v>3800</v>
      </c>
      <c r="C14" s="3" t="s">
        <v>7913</v>
      </c>
      <c r="D14" s="5">
        <v>12000</v>
      </c>
      <c r="E14" s="7">
        <v>2358</v>
      </c>
      <c r="F14" t="s">
        <v>8220</v>
      </c>
      <c r="G14" t="s">
        <v>8223</v>
      </c>
      <c r="H14" t="s">
        <v>8245</v>
      </c>
      <c r="I14">
        <v>1457133568</v>
      </c>
      <c r="J14">
        <v>1454541568</v>
      </c>
      <c r="K14" t="b">
        <v>0</v>
      </c>
      <c r="L14">
        <v>40</v>
      </c>
      <c r="M14" t="b">
        <v>0</v>
      </c>
      <c r="N14" t="s">
        <v>8303</v>
      </c>
      <c r="O14">
        <f t="shared" si="0"/>
        <v>20</v>
      </c>
      <c r="P14">
        <f t="shared" si="1"/>
        <v>58.95</v>
      </c>
      <c r="Q14" s="11" t="s">
        <v>8315</v>
      </c>
      <c r="R14" s="11" t="s">
        <v>8357</v>
      </c>
      <c r="S14" s="18">
        <f t="shared" si="2"/>
        <v>42403.971851851849</v>
      </c>
      <c r="T14" s="18">
        <f t="shared" si="3"/>
        <v>42433.971851851849</v>
      </c>
    </row>
    <row r="15" spans="1:20" ht="42.75" x14ac:dyDescent="0.45">
      <c r="A15">
        <v>3804</v>
      </c>
      <c r="B15" s="9" t="s">
        <v>3801</v>
      </c>
      <c r="C15" s="3" t="s">
        <v>7914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1469948400</v>
      </c>
      <c r="J15">
        <v>1465172024</v>
      </c>
      <c r="K15" t="b">
        <v>0</v>
      </c>
      <c r="L15">
        <v>0</v>
      </c>
      <c r="M15" t="b">
        <v>0</v>
      </c>
      <c r="N15" t="s">
        <v>8303</v>
      </c>
      <c r="O15">
        <f t="shared" si="0"/>
        <v>0</v>
      </c>
      <c r="P15">
        <f t="shared" si="1"/>
        <v>0</v>
      </c>
      <c r="Q15" s="11" t="s">
        <v>8315</v>
      </c>
      <c r="R15" s="11" t="s">
        <v>8357</v>
      </c>
      <c r="S15" s="18">
        <f t="shared" si="2"/>
        <v>42527.00953703704</v>
      </c>
      <c r="T15" s="18">
        <f t="shared" si="3"/>
        <v>42582.291666666672</v>
      </c>
    </row>
    <row r="16" spans="1:20" ht="42.75" x14ac:dyDescent="0.45">
      <c r="A16">
        <v>3805</v>
      </c>
      <c r="B16" s="9" t="s">
        <v>3802</v>
      </c>
      <c r="C16" s="3" t="s">
        <v>7915</v>
      </c>
      <c r="D16" s="5">
        <v>150000</v>
      </c>
      <c r="E16" s="7">
        <v>3</v>
      </c>
      <c r="F16" t="s">
        <v>8220</v>
      </c>
      <c r="G16" t="s">
        <v>8223</v>
      </c>
      <c r="H16" t="s">
        <v>8245</v>
      </c>
      <c r="I16">
        <v>1411852640</v>
      </c>
      <c r="J16">
        <v>1406668640</v>
      </c>
      <c r="K16" t="b">
        <v>0</v>
      </c>
      <c r="L16">
        <v>2</v>
      </c>
      <c r="M16" t="b">
        <v>0</v>
      </c>
      <c r="N16" t="s">
        <v>8303</v>
      </c>
      <c r="O16">
        <f t="shared" si="0"/>
        <v>0</v>
      </c>
      <c r="P16">
        <f t="shared" si="1"/>
        <v>1.5</v>
      </c>
      <c r="Q16" s="11" t="s">
        <v>8315</v>
      </c>
      <c r="R16" s="11" t="s">
        <v>8357</v>
      </c>
      <c r="S16" s="18">
        <f t="shared" si="2"/>
        <v>41849.887037037035</v>
      </c>
      <c r="T16" s="18">
        <f t="shared" si="3"/>
        <v>41909.887037037035</v>
      </c>
    </row>
    <row r="17" spans="1:20" ht="42.75" x14ac:dyDescent="0.45">
      <c r="A17">
        <v>3807</v>
      </c>
      <c r="B17" s="9" t="s">
        <v>3804</v>
      </c>
      <c r="C17" s="3" t="s">
        <v>7917</v>
      </c>
      <c r="D17" s="5">
        <v>1500</v>
      </c>
      <c r="E17" s="7">
        <v>455</v>
      </c>
      <c r="F17" t="s">
        <v>8220</v>
      </c>
      <c r="G17" t="s">
        <v>8223</v>
      </c>
      <c r="H17" t="s">
        <v>8245</v>
      </c>
      <c r="I17">
        <v>1428097739</v>
      </c>
      <c r="J17">
        <v>1427492939</v>
      </c>
      <c r="K17" t="b">
        <v>0</v>
      </c>
      <c r="L17">
        <v>9</v>
      </c>
      <c r="M17" t="b">
        <v>0</v>
      </c>
      <c r="N17" t="s">
        <v>8303</v>
      </c>
      <c r="O17">
        <f t="shared" si="0"/>
        <v>30</v>
      </c>
      <c r="P17">
        <f t="shared" si="1"/>
        <v>50.56</v>
      </c>
      <c r="Q17" s="11" t="s">
        <v>8315</v>
      </c>
      <c r="R17" s="11" t="s">
        <v>8357</v>
      </c>
      <c r="S17" s="18">
        <f t="shared" si="2"/>
        <v>42090.909016203703</v>
      </c>
      <c r="T17" s="18">
        <f t="shared" si="3"/>
        <v>42097.909016203703</v>
      </c>
    </row>
    <row r="18" spans="1:20" ht="42.75" x14ac:dyDescent="0.45">
      <c r="A18">
        <v>3191</v>
      </c>
      <c r="B18" s="9" t="s">
        <v>3191</v>
      </c>
      <c r="C18" s="3" t="s">
        <v>7301</v>
      </c>
      <c r="D18" s="5">
        <v>3750</v>
      </c>
      <c r="E18" s="7">
        <v>151</v>
      </c>
      <c r="F18" t="s">
        <v>8220</v>
      </c>
      <c r="G18" t="s">
        <v>8223</v>
      </c>
      <c r="H18" t="s">
        <v>8245</v>
      </c>
      <c r="I18">
        <v>1471370869</v>
      </c>
      <c r="J18">
        <v>1466186869</v>
      </c>
      <c r="K18" t="b">
        <v>0</v>
      </c>
      <c r="L18">
        <v>4</v>
      </c>
      <c r="M18" t="b">
        <v>0</v>
      </c>
      <c r="N18" t="s">
        <v>8303</v>
      </c>
      <c r="O18">
        <f t="shared" si="0"/>
        <v>4</v>
      </c>
      <c r="P18">
        <f t="shared" si="1"/>
        <v>37.75</v>
      </c>
      <c r="Q18" s="11" t="s">
        <v>8315</v>
      </c>
      <c r="R18" s="11" t="s">
        <v>8357</v>
      </c>
      <c r="S18" s="18">
        <f t="shared" si="2"/>
        <v>42538.755428240736</v>
      </c>
      <c r="T18" s="18">
        <f t="shared" si="3"/>
        <v>42598.755428240736</v>
      </c>
    </row>
    <row r="19" spans="1:20" ht="42.75" x14ac:dyDescent="0.45">
      <c r="A19">
        <v>3194</v>
      </c>
      <c r="B19" s="9" t="s">
        <v>3194</v>
      </c>
      <c r="C19" s="3" t="s">
        <v>7304</v>
      </c>
      <c r="D19" s="5">
        <v>11000</v>
      </c>
      <c r="E19" s="7">
        <v>0</v>
      </c>
      <c r="F19" t="s">
        <v>8220</v>
      </c>
      <c r="G19" t="s">
        <v>8223</v>
      </c>
      <c r="H19" t="s">
        <v>8245</v>
      </c>
      <c r="I19">
        <v>1437960598</v>
      </c>
      <c r="J19">
        <v>1435368598</v>
      </c>
      <c r="K19" t="b">
        <v>0</v>
      </c>
      <c r="L19">
        <v>0</v>
      </c>
      <c r="M19" t="b">
        <v>0</v>
      </c>
      <c r="N19" t="s">
        <v>8303</v>
      </c>
      <c r="O19">
        <f t="shared" si="0"/>
        <v>0</v>
      </c>
      <c r="P19">
        <f t="shared" si="1"/>
        <v>0</v>
      </c>
      <c r="Q19" s="11" t="s">
        <v>8315</v>
      </c>
      <c r="R19" s="11" t="s">
        <v>8357</v>
      </c>
      <c r="S19" s="18">
        <f t="shared" si="2"/>
        <v>42182.062476851846</v>
      </c>
      <c r="T19" s="18">
        <f t="shared" si="3"/>
        <v>42212.062476851846</v>
      </c>
    </row>
    <row r="20" spans="1:20" ht="42.75" x14ac:dyDescent="0.45">
      <c r="A20">
        <v>3195</v>
      </c>
      <c r="B20" s="9" t="s">
        <v>3195</v>
      </c>
      <c r="C20" s="3" t="s">
        <v>7305</v>
      </c>
      <c r="D20" s="5">
        <v>3500</v>
      </c>
      <c r="E20" s="7">
        <v>2070</v>
      </c>
      <c r="F20" t="s">
        <v>8220</v>
      </c>
      <c r="G20" t="s">
        <v>8223</v>
      </c>
      <c r="H20" t="s">
        <v>8245</v>
      </c>
      <c r="I20">
        <v>1423750542</v>
      </c>
      <c r="J20">
        <v>1421158542</v>
      </c>
      <c r="K20" t="b">
        <v>0</v>
      </c>
      <c r="L20">
        <v>39</v>
      </c>
      <c r="M20" t="b">
        <v>0</v>
      </c>
      <c r="N20" t="s">
        <v>8303</v>
      </c>
      <c r="O20">
        <f t="shared" si="0"/>
        <v>59</v>
      </c>
      <c r="P20">
        <f t="shared" si="1"/>
        <v>53.08</v>
      </c>
      <c r="Q20" s="11" t="s">
        <v>8315</v>
      </c>
      <c r="R20" s="11" t="s">
        <v>8357</v>
      </c>
      <c r="S20" s="18">
        <f t="shared" si="2"/>
        <v>42017.594236111108</v>
      </c>
      <c r="T20" s="18">
        <f t="shared" si="3"/>
        <v>42047.594236111108</v>
      </c>
    </row>
    <row r="21" spans="1:20" ht="42.75" x14ac:dyDescent="0.45">
      <c r="A21">
        <v>3196</v>
      </c>
      <c r="B21" s="9" t="s">
        <v>3196</v>
      </c>
      <c r="C21" s="3" t="s">
        <v>7306</v>
      </c>
      <c r="D21" s="5">
        <v>3000000</v>
      </c>
      <c r="E21" s="7">
        <v>1800</v>
      </c>
      <c r="F21" t="s">
        <v>8220</v>
      </c>
      <c r="G21" t="s">
        <v>8223</v>
      </c>
      <c r="H21" t="s">
        <v>8245</v>
      </c>
      <c r="I21">
        <v>1438437600</v>
      </c>
      <c r="J21">
        <v>1433254875</v>
      </c>
      <c r="K21" t="b">
        <v>0</v>
      </c>
      <c r="L21">
        <v>6</v>
      </c>
      <c r="M21" t="b">
        <v>0</v>
      </c>
      <c r="N21" t="s">
        <v>8303</v>
      </c>
      <c r="O21">
        <f t="shared" si="0"/>
        <v>0</v>
      </c>
      <c r="P21">
        <f t="shared" si="1"/>
        <v>300</v>
      </c>
      <c r="Q21" s="11" t="s">
        <v>8315</v>
      </c>
      <c r="R21" s="11" t="s">
        <v>8357</v>
      </c>
      <c r="S21" s="18">
        <f t="shared" si="2"/>
        <v>42157.598090277781</v>
      </c>
      <c r="T21" s="18">
        <f t="shared" si="3"/>
        <v>42217.583333333328</v>
      </c>
    </row>
    <row r="22" spans="1:20" ht="42.75" x14ac:dyDescent="0.45">
      <c r="A22">
        <v>3199</v>
      </c>
      <c r="B22" s="9" t="s">
        <v>3199</v>
      </c>
      <c r="C22" s="3" t="s">
        <v>7309</v>
      </c>
      <c r="D22" s="5">
        <v>5000</v>
      </c>
      <c r="E22" s="7">
        <v>2608</v>
      </c>
      <c r="F22" t="s">
        <v>8220</v>
      </c>
      <c r="G22" t="s">
        <v>8223</v>
      </c>
      <c r="H22" t="s">
        <v>8245</v>
      </c>
      <c r="I22">
        <v>1410037200</v>
      </c>
      <c r="J22">
        <v>1407435418</v>
      </c>
      <c r="K22" t="b">
        <v>0</v>
      </c>
      <c r="L22">
        <v>53</v>
      </c>
      <c r="M22" t="b">
        <v>0</v>
      </c>
      <c r="N22" t="s">
        <v>8303</v>
      </c>
      <c r="O22">
        <f t="shared" si="0"/>
        <v>52</v>
      </c>
      <c r="P22">
        <f t="shared" si="1"/>
        <v>49.21</v>
      </c>
      <c r="Q22" s="11" t="s">
        <v>8315</v>
      </c>
      <c r="R22" s="11" t="s">
        <v>8357</v>
      </c>
      <c r="S22" s="18">
        <f t="shared" si="2"/>
        <v>41858.761782407404</v>
      </c>
      <c r="T22" s="18">
        <f t="shared" si="3"/>
        <v>41888.875</v>
      </c>
    </row>
    <row r="23" spans="1:20" ht="42.75" x14ac:dyDescent="0.45">
      <c r="A23">
        <v>3200</v>
      </c>
      <c r="B23" s="9" t="s">
        <v>3200</v>
      </c>
      <c r="C23" s="3" t="s">
        <v>7310</v>
      </c>
      <c r="D23" s="5">
        <v>50000</v>
      </c>
      <c r="E23" s="7">
        <v>1</v>
      </c>
      <c r="F23" t="s">
        <v>8220</v>
      </c>
      <c r="G23" t="s">
        <v>8223</v>
      </c>
      <c r="H23" t="s">
        <v>8245</v>
      </c>
      <c r="I23">
        <v>1461994440</v>
      </c>
      <c r="J23">
        <v>1459410101</v>
      </c>
      <c r="K23" t="b">
        <v>0</v>
      </c>
      <c r="L23">
        <v>1</v>
      </c>
      <c r="M23" t="b">
        <v>0</v>
      </c>
      <c r="N23" t="s">
        <v>8303</v>
      </c>
      <c r="O23">
        <f t="shared" si="0"/>
        <v>0</v>
      </c>
      <c r="P23">
        <f t="shared" si="1"/>
        <v>1</v>
      </c>
      <c r="Q23" s="11" t="s">
        <v>8315</v>
      </c>
      <c r="R23" s="11" t="s">
        <v>8357</v>
      </c>
      <c r="S23" s="18">
        <f t="shared" si="2"/>
        <v>42460.320613425924</v>
      </c>
      <c r="T23" s="18">
        <f t="shared" si="3"/>
        <v>42490.231944444444</v>
      </c>
    </row>
    <row r="24" spans="1:20" ht="42.75" x14ac:dyDescent="0.45">
      <c r="A24">
        <v>3202</v>
      </c>
      <c r="B24" s="9" t="s">
        <v>3202</v>
      </c>
      <c r="C24" s="3" t="s">
        <v>7312</v>
      </c>
      <c r="D24" s="5">
        <v>5000</v>
      </c>
      <c r="E24" s="7">
        <v>2726</v>
      </c>
      <c r="F24" t="s">
        <v>8220</v>
      </c>
      <c r="G24" t="s">
        <v>8223</v>
      </c>
      <c r="H24" t="s">
        <v>8245</v>
      </c>
      <c r="I24">
        <v>1450072740</v>
      </c>
      <c r="J24">
        <v>1445027346</v>
      </c>
      <c r="K24" t="b">
        <v>0</v>
      </c>
      <c r="L24">
        <v>25</v>
      </c>
      <c r="M24" t="b">
        <v>0</v>
      </c>
      <c r="N24" t="s">
        <v>8303</v>
      </c>
      <c r="O24">
        <f t="shared" si="0"/>
        <v>55</v>
      </c>
      <c r="P24">
        <f t="shared" si="1"/>
        <v>109.04</v>
      </c>
      <c r="Q24" s="11" t="s">
        <v>8315</v>
      </c>
      <c r="R24" s="11" t="s">
        <v>8357</v>
      </c>
      <c r="S24" s="18">
        <f t="shared" si="2"/>
        <v>42293.853541666671</v>
      </c>
      <c r="T24" s="18">
        <f t="shared" si="3"/>
        <v>42352.249305555553</v>
      </c>
    </row>
    <row r="25" spans="1:20" ht="42.75" x14ac:dyDescent="0.45">
      <c r="A25">
        <v>3203</v>
      </c>
      <c r="B25" s="9" t="s">
        <v>3203</v>
      </c>
      <c r="C25" s="3" t="s">
        <v>7313</v>
      </c>
      <c r="D25" s="5">
        <v>1000</v>
      </c>
      <c r="E25" s="7">
        <v>250</v>
      </c>
      <c r="F25" t="s">
        <v>8220</v>
      </c>
      <c r="G25" t="s">
        <v>8223</v>
      </c>
      <c r="H25" t="s">
        <v>8245</v>
      </c>
      <c r="I25">
        <v>1443224622</v>
      </c>
      <c r="J25">
        <v>1440632622</v>
      </c>
      <c r="K25" t="b">
        <v>0</v>
      </c>
      <c r="L25">
        <v>6</v>
      </c>
      <c r="M25" t="b">
        <v>0</v>
      </c>
      <c r="N25" t="s">
        <v>8303</v>
      </c>
      <c r="O25">
        <f t="shared" si="0"/>
        <v>25</v>
      </c>
      <c r="P25">
        <f t="shared" si="1"/>
        <v>41.67</v>
      </c>
      <c r="Q25" s="11" t="s">
        <v>8315</v>
      </c>
      <c r="R25" s="11" t="s">
        <v>8357</v>
      </c>
      <c r="S25" s="18">
        <f t="shared" si="2"/>
        <v>42242.988680555558</v>
      </c>
      <c r="T25" s="18">
        <f t="shared" si="3"/>
        <v>42272.988680555558</v>
      </c>
    </row>
    <row r="26" spans="1:20" ht="42.75" x14ac:dyDescent="0.45">
      <c r="A26">
        <v>3204</v>
      </c>
      <c r="B26" s="9" t="s">
        <v>3204</v>
      </c>
      <c r="C26" s="3" t="s">
        <v>7314</v>
      </c>
      <c r="D26" s="5">
        <v>500</v>
      </c>
      <c r="E26" s="7">
        <v>0</v>
      </c>
      <c r="F26" t="s">
        <v>8220</v>
      </c>
      <c r="G26" t="s">
        <v>8223</v>
      </c>
      <c r="H26" t="s">
        <v>8245</v>
      </c>
      <c r="I26">
        <v>1437149640</v>
      </c>
      <c r="J26">
        <v>1434558479</v>
      </c>
      <c r="K26" t="b">
        <v>0</v>
      </c>
      <c r="L26">
        <v>0</v>
      </c>
      <c r="M26" t="b">
        <v>0</v>
      </c>
      <c r="N26" t="s">
        <v>8303</v>
      </c>
      <c r="O26">
        <f t="shared" si="0"/>
        <v>0</v>
      </c>
      <c r="P26">
        <f t="shared" si="1"/>
        <v>0</v>
      </c>
      <c r="Q26" s="11" t="s">
        <v>8315</v>
      </c>
      <c r="R26" s="11" t="s">
        <v>8357</v>
      </c>
      <c r="S26" s="18">
        <f t="shared" si="2"/>
        <v>42172.686099537037</v>
      </c>
      <c r="T26" s="18">
        <f t="shared" si="3"/>
        <v>42202.676388888889</v>
      </c>
    </row>
    <row r="27" spans="1:20" ht="42.75" x14ac:dyDescent="0.45">
      <c r="A27">
        <v>3206</v>
      </c>
      <c r="B27" s="9" t="s">
        <v>3206</v>
      </c>
      <c r="C27" s="3" t="s">
        <v>7316</v>
      </c>
      <c r="D27" s="5">
        <v>5000</v>
      </c>
      <c r="E27" s="7">
        <v>0</v>
      </c>
      <c r="F27" t="s">
        <v>8220</v>
      </c>
      <c r="G27" t="s">
        <v>8223</v>
      </c>
      <c r="H27" t="s">
        <v>8245</v>
      </c>
      <c r="I27">
        <v>1442644651</v>
      </c>
      <c r="J27">
        <v>1440052651</v>
      </c>
      <c r="K27" t="b">
        <v>0</v>
      </c>
      <c r="L27">
        <v>0</v>
      </c>
      <c r="M27" t="b">
        <v>0</v>
      </c>
      <c r="N27" t="s">
        <v>8303</v>
      </c>
      <c r="O27">
        <f t="shared" si="0"/>
        <v>0</v>
      </c>
      <c r="P27">
        <f t="shared" si="1"/>
        <v>0</v>
      </c>
      <c r="Q27" s="11" t="s">
        <v>8315</v>
      </c>
      <c r="R27" s="11" t="s">
        <v>8357</v>
      </c>
      <c r="S27" s="18">
        <f t="shared" si="2"/>
        <v>42236.276053240741</v>
      </c>
      <c r="T27" s="18">
        <f t="shared" si="3"/>
        <v>42266.276053240741</v>
      </c>
    </row>
    <row r="28" spans="1:20" ht="42.75" x14ac:dyDescent="0.45">
      <c r="A28">
        <v>3207</v>
      </c>
      <c r="B28" s="9" t="s">
        <v>3207</v>
      </c>
      <c r="C28" s="3" t="s">
        <v>7317</v>
      </c>
      <c r="D28" s="5">
        <v>5500</v>
      </c>
      <c r="E28" s="7">
        <v>2550</v>
      </c>
      <c r="F28" t="s">
        <v>8220</v>
      </c>
      <c r="G28" t="s">
        <v>8223</v>
      </c>
      <c r="H28" t="s">
        <v>8245</v>
      </c>
      <c r="I28">
        <v>1429767607</v>
      </c>
      <c r="J28">
        <v>1424587207</v>
      </c>
      <c r="K28" t="b">
        <v>0</v>
      </c>
      <c r="L28">
        <v>36</v>
      </c>
      <c r="M28" t="b">
        <v>0</v>
      </c>
      <c r="N28" t="s">
        <v>8303</v>
      </c>
      <c r="O28">
        <f t="shared" si="0"/>
        <v>46</v>
      </c>
      <c r="P28">
        <f t="shared" si="1"/>
        <v>70.83</v>
      </c>
      <c r="Q28" s="11" t="s">
        <v>8315</v>
      </c>
      <c r="R28" s="11" t="s">
        <v>8357</v>
      </c>
      <c r="S28" s="18">
        <f t="shared" si="2"/>
        <v>42057.277858796297</v>
      </c>
      <c r="T28" s="18">
        <f t="shared" si="3"/>
        <v>42117.236192129625</v>
      </c>
    </row>
    <row r="29" spans="1:20" ht="42.75" x14ac:dyDescent="0.45">
      <c r="A29">
        <v>3628</v>
      </c>
      <c r="B29" s="9" t="s">
        <v>3626</v>
      </c>
      <c r="C29" s="3" t="s">
        <v>7738</v>
      </c>
      <c r="D29" s="5">
        <v>100000</v>
      </c>
      <c r="E29" s="7">
        <v>0</v>
      </c>
      <c r="F29" t="s">
        <v>8220</v>
      </c>
      <c r="G29" t="s">
        <v>8223</v>
      </c>
      <c r="H29" t="s">
        <v>8245</v>
      </c>
      <c r="I29">
        <v>1450040396</v>
      </c>
      <c r="J29">
        <v>1444852796</v>
      </c>
      <c r="K29" t="b">
        <v>0</v>
      </c>
      <c r="L29">
        <v>0</v>
      </c>
      <c r="M29" t="b">
        <v>0</v>
      </c>
      <c r="N29" t="s">
        <v>8303</v>
      </c>
      <c r="O29">
        <f t="shared" si="0"/>
        <v>0</v>
      </c>
      <c r="P29">
        <f t="shared" si="1"/>
        <v>0</v>
      </c>
      <c r="Q29" s="11" t="s">
        <v>8315</v>
      </c>
      <c r="R29" s="11" t="s">
        <v>8357</v>
      </c>
      <c r="S29" s="18">
        <f t="shared" si="2"/>
        <v>42291.833287037036</v>
      </c>
      <c r="T29" s="18">
        <f t="shared" si="3"/>
        <v>42351.874953703707</v>
      </c>
    </row>
    <row r="30" spans="1:20" ht="42.75" x14ac:dyDescent="0.45">
      <c r="A30">
        <v>3629</v>
      </c>
      <c r="B30" s="9" t="s">
        <v>3627</v>
      </c>
      <c r="C30" s="3" t="s">
        <v>7739</v>
      </c>
      <c r="D30" s="5">
        <v>1000000</v>
      </c>
      <c r="E30" s="7">
        <v>2</v>
      </c>
      <c r="F30" t="s">
        <v>8220</v>
      </c>
      <c r="G30" t="s">
        <v>8223</v>
      </c>
      <c r="H30" t="s">
        <v>8245</v>
      </c>
      <c r="I30">
        <v>1462467600</v>
      </c>
      <c r="J30">
        <v>1457403364</v>
      </c>
      <c r="K30" t="b">
        <v>0</v>
      </c>
      <c r="L30">
        <v>2</v>
      </c>
      <c r="M30" t="b">
        <v>0</v>
      </c>
      <c r="N30" t="s">
        <v>8303</v>
      </c>
      <c r="O30">
        <f t="shared" si="0"/>
        <v>0</v>
      </c>
      <c r="P30">
        <f t="shared" si="1"/>
        <v>1</v>
      </c>
      <c r="Q30" s="11" t="s">
        <v>8315</v>
      </c>
      <c r="R30" s="11" t="s">
        <v>8357</v>
      </c>
      <c r="S30" s="18">
        <f t="shared" si="2"/>
        <v>42437.094490740739</v>
      </c>
      <c r="T30" s="18">
        <f t="shared" si="3"/>
        <v>42495.708333333328</v>
      </c>
    </row>
    <row r="31" spans="1:20" ht="42.75" x14ac:dyDescent="0.45">
      <c r="A31">
        <v>3631</v>
      </c>
      <c r="B31" s="9" t="s">
        <v>3629</v>
      </c>
      <c r="C31" s="3" t="s">
        <v>7741</v>
      </c>
      <c r="D31" s="5">
        <v>17100</v>
      </c>
      <c r="E31" s="7">
        <v>8725</v>
      </c>
      <c r="F31" t="s">
        <v>8220</v>
      </c>
      <c r="G31" t="s">
        <v>8223</v>
      </c>
      <c r="H31" t="s">
        <v>8245</v>
      </c>
      <c r="I31">
        <v>1411444740</v>
      </c>
      <c r="J31">
        <v>1409335497</v>
      </c>
      <c r="K31" t="b">
        <v>0</v>
      </c>
      <c r="L31">
        <v>59</v>
      </c>
      <c r="M31" t="b">
        <v>0</v>
      </c>
      <c r="N31" t="s">
        <v>8303</v>
      </c>
      <c r="O31">
        <f t="shared" si="0"/>
        <v>51</v>
      </c>
      <c r="P31">
        <f t="shared" si="1"/>
        <v>147.88</v>
      </c>
      <c r="Q31" s="11" t="s">
        <v>8315</v>
      </c>
      <c r="R31" s="11" t="s">
        <v>8357</v>
      </c>
      <c r="S31" s="18">
        <f t="shared" si="2"/>
        <v>41880.753437499996</v>
      </c>
      <c r="T31" s="18">
        <f t="shared" si="3"/>
        <v>41905.165972222225</v>
      </c>
    </row>
    <row r="32" spans="1:20" ht="42.75" x14ac:dyDescent="0.45">
      <c r="A32">
        <v>3633</v>
      </c>
      <c r="B32" s="9" t="s">
        <v>3631</v>
      </c>
      <c r="C32" s="3" t="s">
        <v>7743</v>
      </c>
      <c r="D32" s="5">
        <v>5000</v>
      </c>
      <c r="E32" s="7">
        <v>1762</v>
      </c>
      <c r="F32" t="s">
        <v>8220</v>
      </c>
      <c r="G32" t="s">
        <v>8223</v>
      </c>
      <c r="H32" t="s">
        <v>8245</v>
      </c>
      <c r="I32">
        <v>1479517200</v>
      </c>
      <c r="J32">
        <v>1475765867</v>
      </c>
      <c r="K32" t="b">
        <v>0</v>
      </c>
      <c r="L32">
        <v>31</v>
      </c>
      <c r="M32" t="b">
        <v>0</v>
      </c>
      <c r="N32" t="s">
        <v>8303</v>
      </c>
      <c r="O32">
        <f t="shared" si="0"/>
        <v>35</v>
      </c>
      <c r="P32">
        <f t="shared" si="1"/>
        <v>56.84</v>
      </c>
      <c r="Q32" s="11" t="s">
        <v>8315</v>
      </c>
      <c r="R32" s="11" t="s">
        <v>8357</v>
      </c>
      <c r="S32" s="18">
        <f t="shared" si="2"/>
        <v>42649.623460648145</v>
      </c>
      <c r="T32" s="18">
        <f t="shared" si="3"/>
        <v>42693.041666666672</v>
      </c>
    </row>
    <row r="33" spans="1:20" ht="28.5" x14ac:dyDescent="0.45">
      <c r="A33">
        <v>3635</v>
      </c>
      <c r="B33" s="9" t="s">
        <v>3633</v>
      </c>
      <c r="C33" s="3" t="s">
        <v>7745</v>
      </c>
      <c r="D33" s="5">
        <v>3500</v>
      </c>
      <c r="E33" s="7">
        <v>1276</v>
      </c>
      <c r="F33" t="s">
        <v>8220</v>
      </c>
      <c r="G33" t="s">
        <v>8223</v>
      </c>
      <c r="H33" t="s">
        <v>8245</v>
      </c>
      <c r="I33">
        <v>1461186676</v>
      </c>
      <c r="J33">
        <v>1458594676</v>
      </c>
      <c r="K33" t="b">
        <v>0</v>
      </c>
      <c r="L33">
        <v>10</v>
      </c>
      <c r="M33" t="b">
        <v>0</v>
      </c>
      <c r="N33" t="s">
        <v>8303</v>
      </c>
      <c r="O33">
        <f t="shared" si="0"/>
        <v>36</v>
      </c>
      <c r="P33">
        <f t="shared" si="1"/>
        <v>127.6</v>
      </c>
      <c r="Q33" s="11" t="s">
        <v>8315</v>
      </c>
      <c r="R33" s="11" t="s">
        <v>8357</v>
      </c>
      <c r="S33" s="18">
        <f t="shared" si="2"/>
        <v>42450.88282407407</v>
      </c>
      <c r="T33" s="18">
        <f t="shared" si="3"/>
        <v>42480.88282407407</v>
      </c>
    </row>
    <row r="34" spans="1:20" ht="42.75" x14ac:dyDescent="0.45">
      <c r="A34">
        <v>3636</v>
      </c>
      <c r="B34" s="9" t="s">
        <v>3634</v>
      </c>
      <c r="C34" s="3" t="s">
        <v>7746</v>
      </c>
      <c r="D34" s="5">
        <v>150000</v>
      </c>
      <c r="E34" s="7">
        <v>0</v>
      </c>
      <c r="F34" t="s">
        <v>8220</v>
      </c>
      <c r="G34" t="s">
        <v>8223</v>
      </c>
      <c r="H34" t="s">
        <v>8245</v>
      </c>
      <c r="I34">
        <v>1442248829</v>
      </c>
      <c r="J34">
        <v>1439224829</v>
      </c>
      <c r="K34" t="b">
        <v>0</v>
      </c>
      <c r="L34">
        <v>0</v>
      </c>
      <c r="M34" t="b">
        <v>0</v>
      </c>
      <c r="N34" t="s">
        <v>8303</v>
      </c>
      <c r="O34">
        <f t="shared" si="0"/>
        <v>0</v>
      </c>
      <c r="P34">
        <f t="shared" si="1"/>
        <v>0</v>
      </c>
      <c r="Q34" s="11" t="s">
        <v>8315</v>
      </c>
      <c r="R34" s="11" t="s">
        <v>8357</v>
      </c>
      <c r="S34" s="18">
        <f t="shared" si="2"/>
        <v>42226.694780092599</v>
      </c>
      <c r="T34" s="18">
        <f t="shared" si="3"/>
        <v>42261.694780092599</v>
      </c>
    </row>
    <row r="35" spans="1:20" ht="57" x14ac:dyDescent="0.45">
      <c r="A35">
        <v>3637</v>
      </c>
      <c r="B35" s="9" t="s">
        <v>3635</v>
      </c>
      <c r="C35" s="3" t="s">
        <v>7747</v>
      </c>
      <c r="D35" s="5">
        <v>3000</v>
      </c>
      <c r="E35" s="7">
        <v>926</v>
      </c>
      <c r="F35" t="s">
        <v>8220</v>
      </c>
      <c r="G35" t="s">
        <v>8223</v>
      </c>
      <c r="H35" t="s">
        <v>8245</v>
      </c>
      <c r="I35">
        <v>1420130935</v>
      </c>
      <c r="J35">
        <v>1417538935</v>
      </c>
      <c r="K35" t="b">
        <v>0</v>
      </c>
      <c r="L35">
        <v>14</v>
      </c>
      <c r="M35" t="b">
        <v>0</v>
      </c>
      <c r="N35" t="s">
        <v>8303</v>
      </c>
      <c r="O35">
        <f t="shared" si="0"/>
        <v>31</v>
      </c>
      <c r="P35">
        <f t="shared" si="1"/>
        <v>66.14</v>
      </c>
      <c r="Q35" s="11" t="s">
        <v>8315</v>
      </c>
      <c r="R35" s="11" t="s">
        <v>8357</v>
      </c>
      <c r="S35" s="18">
        <f t="shared" si="2"/>
        <v>41975.700636574074</v>
      </c>
      <c r="T35" s="18">
        <f t="shared" si="3"/>
        <v>42005.700636574074</v>
      </c>
    </row>
    <row r="36" spans="1:20" ht="42.75" x14ac:dyDescent="0.45">
      <c r="A36">
        <v>3639</v>
      </c>
      <c r="B36" s="9" t="s">
        <v>3637</v>
      </c>
      <c r="C36" s="3" t="s">
        <v>7749</v>
      </c>
      <c r="D36" s="5">
        <v>25000</v>
      </c>
      <c r="E36" s="7">
        <v>1</v>
      </c>
      <c r="F36" t="s">
        <v>8220</v>
      </c>
      <c r="G36" t="s">
        <v>8223</v>
      </c>
      <c r="H36" t="s">
        <v>8245</v>
      </c>
      <c r="I36">
        <v>1475853060</v>
      </c>
      <c r="J36">
        <v>1470672906</v>
      </c>
      <c r="K36" t="b">
        <v>0</v>
      </c>
      <c r="L36">
        <v>1</v>
      </c>
      <c r="M36" t="b">
        <v>0</v>
      </c>
      <c r="N36" t="s">
        <v>8303</v>
      </c>
      <c r="O36">
        <f t="shared" si="0"/>
        <v>0</v>
      </c>
      <c r="P36">
        <f t="shared" si="1"/>
        <v>1</v>
      </c>
      <c r="Q36" s="11" t="s">
        <v>8315</v>
      </c>
      <c r="R36" s="11" t="s">
        <v>8357</v>
      </c>
      <c r="S36" s="18">
        <f t="shared" si="2"/>
        <v>42590.677152777775</v>
      </c>
      <c r="T36" s="18">
        <f t="shared" si="3"/>
        <v>42650.632638888885</v>
      </c>
    </row>
    <row r="37" spans="1:20" ht="71.25" x14ac:dyDescent="0.45">
      <c r="A37">
        <v>3640</v>
      </c>
      <c r="B37" s="9" t="s">
        <v>3638</v>
      </c>
      <c r="C37" s="3" t="s">
        <v>7750</v>
      </c>
      <c r="D37" s="5">
        <v>1000</v>
      </c>
      <c r="E37" s="7">
        <v>55</v>
      </c>
      <c r="F37" t="s">
        <v>8220</v>
      </c>
      <c r="G37" t="s">
        <v>8223</v>
      </c>
      <c r="H37" t="s">
        <v>8245</v>
      </c>
      <c r="I37">
        <v>1431283530</v>
      </c>
      <c r="J37">
        <v>1428691530</v>
      </c>
      <c r="K37" t="b">
        <v>0</v>
      </c>
      <c r="L37">
        <v>3</v>
      </c>
      <c r="M37" t="b">
        <v>0</v>
      </c>
      <c r="N37" t="s">
        <v>8303</v>
      </c>
      <c r="O37">
        <f t="shared" si="0"/>
        <v>6</v>
      </c>
      <c r="P37">
        <f t="shared" si="1"/>
        <v>18.329999999999998</v>
      </c>
      <c r="Q37" s="11" t="s">
        <v>8315</v>
      </c>
      <c r="R37" s="11" t="s">
        <v>8357</v>
      </c>
      <c r="S37" s="18">
        <f t="shared" si="2"/>
        <v>42104.781597222223</v>
      </c>
      <c r="T37" s="18">
        <f t="shared" si="3"/>
        <v>42134.781597222223</v>
      </c>
    </row>
    <row r="38" spans="1:20" ht="42.75" x14ac:dyDescent="0.45">
      <c r="A38">
        <v>3641</v>
      </c>
      <c r="B38" s="9" t="s">
        <v>3639</v>
      </c>
      <c r="C38" s="3" t="s">
        <v>7751</v>
      </c>
      <c r="D38" s="5">
        <v>3000</v>
      </c>
      <c r="E38" s="7">
        <v>0</v>
      </c>
      <c r="F38" t="s">
        <v>8220</v>
      </c>
      <c r="G38" t="s">
        <v>8223</v>
      </c>
      <c r="H38" t="s">
        <v>8245</v>
      </c>
      <c r="I38">
        <v>1412485200</v>
      </c>
      <c r="J38">
        <v>1410966179</v>
      </c>
      <c r="K38" t="b">
        <v>0</v>
      </c>
      <c r="L38">
        <v>0</v>
      </c>
      <c r="M38" t="b">
        <v>0</v>
      </c>
      <c r="N38" t="s">
        <v>8303</v>
      </c>
      <c r="O38">
        <f t="shared" si="0"/>
        <v>0</v>
      </c>
      <c r="P38">
        <f t="shared" si="1"/>
        <v>0</v>
      </c>
      <c r="Q38" s="11" t="s">
        <v>8315</v>
      </c>
      <c r="R38" s="11" t="s">
        <v>8357</v>
      </c>
      <c r="S38" s="18">
        <f t="shared" si="2"/>
        <v>41899.627071759263</v>
      </c>
      <c r="T38" s="18">
        <f t="shared" si="3"/>
        <v>41917.208333333336</v>
      </c>
    </row>
    <row r="39" spans="1:20" ht="42.75" x14ac:dyDescent="0.45">
      <c r="A39">
        <v>3643</v>
      </c>
      <c r="B39" s="9" t="s">
        <v>3641</v>
      </c>
      <c r="C39" s="3" t="s">
        <v>7753</v>
      </c>
      <c r="D39" s="5">
        <v>25000</v>
      </c>
      <c r="E39" s="7">
        <v>0</v>
      </c>
      <c r="F39" t="s">
        <v>8220</v>
      </c>
      <c r="G39" t="s">
        <v>8223</v>
      </c>
      <c r="H39" t="s">
        <v>8245</v>
      </c>
      <c r="I39">
        <v>1447734439</v>
      </c>
      <c r="J39">
        <v>1444274839</v>
      </c>
      <c r="K39" t="b">
        <v>0</v>
      </c>
      <c r="L39">
        <v>0</v>
      </c>
      <c r="M39" t="b">
        <v>0</v>
      </c>
      <c r="N39" t="s">
        <v>8303</v>
      </c>
      <c r="O39">
        <f t="shared" si="0"/>
        <v>0</v>
      </c>
      <c r="P39">
        <f t="shared" si="1"/>
        <v>0</v>
      </c>
      <c r="Q39" s="11" t="s">
        <v>8315</v>
      </c>
      <c r="R39" s="11" t="s">
        <v>8357</v>
      </c>
      <c r="S39" s="18">
        <f t="shared" si="2"/>
        <v>42285.143969907411</v>
      </c>
      <c r="T39" s="18">
        <f t="shared" si="3"/>
        <v>42325.185636574075</v>
      </c>
    </row>
    <row r="40" spans="1:20" ht="42.75" x14ac:dyDescent="0.45">
      <c r="A40">
        <v>3644</v>
      </c>
      <c r="B40" s="9" t="s">
        <v>3642</v>
      </c>
      <c r="C40" s="3" t="s">
        <v>7754</v>
      </c>
      <c r="D40" s="5">
        <v>5000</v>
      </c>
      <c r="E40" s="7">
        <v>821</v>
      </c>
      <c r="F40" t="s">
        <v>8220</v>
      </c>
      <c r="G40" t="s">
        <v>8223</v>
      </c>
      <c r="H40" t="s">
        <v>8245</v>
      </c>
      <c r="I40">
        <v>1457413140</v>
      </c>
      <c r="J40">
        <v>1454996887</v>
      </c>
      <c r="K40" t="b">
        <v>0</v>
      </c>
      <c r="L40">
        <v>12</v>
      </c>
      <c r="M40" t="b">
        <v>0</v>
      </c>
      <c r="N40" t="s">
        <v>8303</v>
      </c>
      <c r="O40">
        <f t="shared" si="0"/>
        <v>16</v>
      </c>
      <c r="P40">
        <f t="shared" si="1"/>
        <v>68.42</v>
      </c>
      <c r="Q40" s="11" t="s">
        <v>8315</v>
      </c>
      <c r="R40" s="11" t="s">
        <v>8357</v>
      </c>
      <c r="S40" s="18">
        <f t="shared" si="2"/>
        <v>42409.241747685184</v>
      </c>
      <c r="T40" s="18">
        <f t="shared" si="3"/>
        <v>42437.207638888889</v>
      </c>
    </row>
    <row r="41" spans="1:20" ht="42.75" x14ac:dyDescent="0.45">
      <c r="A41">
        <v>3646</v>
      </c>
      <c r="B41" s="9" t="s">
        <v>3644</v>
      </c>
      <c r="C41" s="3" t="s">
        <v>7756</v>
      </c>
      <c r="D41" s="5">
        <v>10000</v>
      </c>
      <c r="E41" s="7">
        <v>481</v>
      </c>
      <c r="F41" t="s">
        <v>8220</v>
      </c>
      <c r="G41" t="s">
        <v>8223</v>
      </c>
      <c r="H41" t="s">
        <v>8245</v>
      </c>
      <c r="I41">
        <v>1434497400</v>
      </c>
      <c r="J41">
        <v>1431770802</v>
      </c>
      <c r="K41" t="b">
        <v>0</v>
      </c>
      <c r="L41">
        <v>8</v>
      </c>
      <c r="M41" t="b">
        <v>0</v>
      </c>
      <c r="N41" t="s">
        <v>8303</v>
      </c>
      <c r="O41">
        <f t="shared" si="0"/>
        <v>5</v>
      </c>
      <c r="P41">
        <f t="shared" si="1"/>
        <v>60.13</v>
      </c>
      <c r="Q41" s="11" t="s">
        <v>8315</v>
      </c>
      <c r="R41" s="11" t="s">
        <v>8357</v>
      </c>
      <c r="S41" s="18">
        <f t="shared" si="2"/>
        <v>42140.421319444446</v>
      </c>
      <c r="T41" s="18">
        <f t="shared" si="3"/>
        <v>42171.979166666672</v>
      </c>
    </row>
  </sheetData>
  <conditionalFormatting sqref="F1:F4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41">
    <cfRule type="colorScale" priority="1">
      <colorScale>
        <cfvo type="min"/>
        <cfvo type="percent" val="90"/>
        <color rgb="FFFF5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Makerspaces_S</vt:lpstr>
      <vt:lpstr>Makerspaces_F</vt:lpstr>
      <vt:lpstr>Musicals_S</vt:lpstr>
      <vt:lpstr>Musicals_F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Janine Yoro</cp:lastModifiedBy>
  <dcterms:created xsi:type="dcterms:W3CDTF">2017-04-20T15:17:24Z</dcterms:created>
  <dcterms:modified xsi:type="dcterms:W3CDTF">2020-11-15T06:46:32Z</dcterms:modified>
</cp:coreProperties>
</file>