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f273327f9926b48/Data Visionaries/"/>
    </mc:Choice>
  </mc:AlternateContent>
  <xr:revisionPtr revIDLastSave="199" documentId="13_ncr:1_{73A65526-2428-451D-B349-8E10A11A3BAA}" xr6:coauthVersionLast="47" xr6:coauthVersionMax="47" xr10:uidLastSave="{E197005C-00DC-45CF-A25B-1335082F5FAB}"/>
  <bookViews>
    <workbookView xWindow="28680" yWindow="4440" windowWidth="29040" windowHeight="15720" tabRatio="731" xr2:uid="{00000000-000D-0000-FFFF-FFFF00000000}"/>
  </bookViews>
  <sheets>
    <sheet name="Restaurant Categories1" sheetId="1" r:id="rId1"/>
    <sheet name="Restaurant Categories2" sheetId="2" r:id="rId2"/>
    <sheet name="Restaurant Categories3" sheetId="3" r:id="rId3"/>
    <sheet name="Restaurant Categories4" sheetId="4" r:id="rId4"/>
    <sheet name="Append1" sheetId="12" r:id="rId5"/>
    <sheet name="Ward-District 12" sheetId="13" r:id="rId6"/>
  </sheets>
  <externalReferences>
    <externalReference r:id="rId7"/>
    <externalReference r:id="rId8"/>
    <externalReference r:id="rId9"/>
  </externalReferences>
  <definedNames>
    <definedName name="_xlnm._FilterDatabase" localSheetId="1" hidden="1">'Restaurant Categories2'!$A$1:$D$178</definedName>
    <definedName name="_xlnm._FilterDatabase" localSheetId="5" hidden="1">'Ward-District 12'!$A$1:$B$51</definedName>
    <definedName name="ExternalData_1" localSheetId="4" hidden="1">Append1!$A$1:$C$395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S0vgkNPWiTM84SzaDJ4xGpkxjtYmjJDaC03PFyM5W2A="/>
    </ext>
  </extLst>
</workbook>
</file>

<file path=xl/calcChain.xml><?xml version="1.0" encoding="utf-8"?>
<calcChain xmlns="http://schemas.openxmlformats.org/spreadsheetml/2006/main">
  <c r="B3" i="13" l="1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2" i="13"/>
  <c r="I2" i="12" a="1"/>
  <c r="I2" i="12" s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65" i="1"/>
  <c r="B16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2" i="1"/>
  <c r="B163" i="1"/>
  <c r="B164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2" i="1"/>
  <c r="G42" i="12"/>
  <c r="E2" i="12" a="1"/>
  <c r="E2" i="12" s="1"/>
  <c r="G2" i="12" s="1"/>
  <c r="C4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7" i="4"/>
  <c r="C38" i="4"/>
  <c r="C39" i="4"/>
  <c r="C40" i="4"/>
  <c r="C41" i="4"/>
  <c r="C42" i="4"/>
  <c r="C43" i="4"/>
  <c r="C44" i="4"/>
  <c r="C46" i="4"/>
  <c r="C47" i="4"/>
  <c r="C48" i="4"/>
  <c r="C49" i="4"/>
  <c r="C50" i="4"/>
  <c r="C51" i="4"/>
  <c r="C52" i="4"/>
  <c r="C53" i="4"/>
  <c r="C54" i="4"/>
  <c r="C55" i="4"/>
  <c r="C57" i="4"/>
  <c r="C58" i="4"/>
  <c r="C59" i="4"/>
  <c r="C60" i="4"/>
  <c r="C61" i="4"/>
  <c r="C62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2" i="4"/>
  <c r="C5" i="4"/>
  <c r="C36" i="4"/>
  <c r="C45" i="4"/>
  <c r="C56" i="4"/>
  <c r="C63" i="4"/>
  <c r="C3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2" i="4"/>
  <c r="B61" i="4"/>
  <c r="B60" i="4"/>
  <c r="B59" i="4"/>
  <c r="B58" i="4"/>
  <c r="B57" i="4"/>
  <c r="B55" i="4"/>
  <c r="B54" i="4"/>
  <c r="B53" i="4"/>
  <c r="B52" i="4"/>
  <c r="B51" i="4"/>
  <c r="B50" i="4"/>
  <c r="B49" i="4"/>
  <c r="B48" i="4"/>
  <c r="B47" i="4"/>
  <c r="B46" i="4"/>
  <c r="B44" i="4"/>
  <c r="B43" i="4"/>
  <c r="B42" i="4"/>
  <c r="B41" i="4"/>
  <c r="B40" i="4"/>
  <c r="B39" i="4"/>
  <c r="B38" i="4"/>
  <c r="B37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4" i="4"/>
  <c r="B3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2" i="2"/>
  <c r="B63" i="4"/>
  <c r="B56" i="4"/>
  <c r="B45" i="4"/>
  <c r="B36" i="4"/>
  <c r="B5" i="4"/>
  <c r="B2" i="4"/>
  <c r="L34" i="12" l="1"/>
  <c r="J2" i="12"/>
  <c r="G320" i="12"/>
  <c r="G300" i="12"/>
  <c r="G280" i="12"/>
  <c r="G260" i="12"/>
  <c r="G240" i="12"/>
  <c r="G220" i="12"/>
  <c r="G200" i="12"/>
  <c r="G180" i="12"/>
  <c r="G160" i="12"/>
  <c r="G140" i="12"/>
  <c r="G120" i="12"/>
  <c r="G100" i="12"/>
  <c r="G80" i="12"/>
  <c r="G60" i="12"/>
  <c r="G40" i="12"/>
  <c r="G20" i="12"/>
  <c r="G302" i="12"/>
  <c r="G202" i="12"/>
  <c r="G102" i="12"/>
  <c r="J25" i="12" s="1"/>
  <c r="G321" i="12"/>
  <c r="G201" i="12"/>
  <c r="G101" i="12"/>
  <c r="G319" i="12"/>
  <c r="G299" i="12"/>
  <c r="G279" i="12"/>
  <c r="G259" i="12"/>
  <c r="G239" i="12"/>
  <c r="G219" i="12"/>
  <c r="G199" i="12"/>
  <c r="G179" i="12"/>
  <c r="G159" i="12"/>
  <c r="G139" i="12"/>
  <c r="G119" i="12"/>
  <c r="G99" i="12"/>
  <c r="G79" i="12"/>
  <c r="G59" i="12"/>
  <c r="G39" i="12"/>
  <c r="G19" i="12"/>
  <c r="G282" i="12"/>
  <c r="G162" i="12"/>
  <c r="G22" i="12"/>
  <c r="G241" i="12"/>
  <c r="G161" i="12"/>
  <c r="G41" i="12"/>
  <c r="G338" i="12"/>
  <c r="G318" i="12"/>
  <c r="G298" i="12"/>
  <c r="G278" i="12"/>
  <c r="G258" i="12"/>
  <c r="G238" i="12"/>
  <c r="G218" i="12"/>
  <c r="G198" i="12"/>
  <c r="G178" i="12"/>
  <c r="G158" i="12"/>
  <c r="G138" i="12"/>
  <c r="G118" i="12"/>
  <c r="G98" i="12"/>
  <c r="G78" i="12"/>
  <c r="G58" i="12"/>
  <c r="G38" i="12"/>
  <c r="J5" i="12" s="1"/>
  <c r="G18" i="12"/>
  <c r="G322" i="12"/>
  <c r="G222" i="12"/>
  <c r="G82" i="12"/>
  <c r="G221" i="12"/>
  <c r="G61" i="12"/>
  <c r="G337" i="12"/>
  <c r="G317" i="12"/>
  <c r="G297" i="12"/>
  <c r="G277" i="12"/>
  <c r="G257" i="12"/>
  <c r="G237" i="12"/>
  <c r="G217" i="12"/>
  <c r="G197" i="12"/>
  <c r="G177" i="12"/>
  <c r="G157" i="12"/>
  <c r="G137" i="12"/>
  <c r="G117" i="12"/>
  <c r="G97" i="12"/>
  <c r="G77" i="12"/>
  <c r="G57" i="12"/>
  <c r="G37" i="12"/>
  <c r="G17" i="12"/>
  <c r="G262" i="12"/>
  <c r="G182" i="12"/>
  <c r="G122" i="12"/>
  <c r="G301" i="12"/>
  <c r="G181" i="12"/>
  <c r="G21" i="12"/>
  <c r="G336" i="12"/>
  <c r="G316" i="12"/>
  <c r="G296" i="12"/>
  <c r="G276" i="12"/>
  <c r="G256" i="12"/>
  <c r="G236" i="12"/>
  <c r="G216" i="12"/>
  <c r="G196" i="12"/>
  <c r="G176" i="12"/>
  <c r="G156" i="12"/>
  <c r="G136" i="12"/>
  <c r="J4" i="12" s="1"/>
  <c r="G116" i="12"/>
  <c r="G96" i="12"/>
  <c r="G76" i="12"/>
  <c r="G56" i="12"/>
  <c r="G36" i="12"/>
  <c r="G16" i="12"/>
  <c r="G261" i="12"/>
  <c r="G81" i="12"/>
  <c r="G335" i="12"/>
  <c r="G315" i="12"/>
  <c r="G295" i="12"/>
  <c r="G275" i="12"/>
  <c r="G255" i="12"/>
  <c r="G235" i="12"/>
  <c r="G215" i="12"/>
  <c r="G195" i="12"/>
  <c r="G175" i="12"/>
  <c r="G155" i="12"/>
  <c r="G135" i="12"/>
  <c r="G115" i="12"/>
  <c r="G95" i="12"/>
  <c r="G75" i="12"/>
  <c r="G55" i="12"/>
  <c r="G35" i="12"/>
  <c r="G15" i="12"/>
  <c r="G242" i="12"/>
  <c r="G62" i="12"/>
  <c r="G281" i="12"/>
  <c r="G121" i="12"/>
  <c r="G334" i="12"/>
  <c r="G314" i="12"/>
  <c r="G294" i="12"/>
  <c r="G274" i="12"/>
  <c r="G254" i="12"/>
  <c r="G234" i="12"/>
  <c r="G214" i="12"/>
  <c r="G194" i="12"/>
  <c r="G174" i="12"/>
  <c r="G154" i="12"/>
  <c r="G134" i="12"/>
  <c r="G114" i="12"/>
  <c r="G94" i="12"/>
  <c r="G74" i="12"/>
  <c r="G54" i="12"/>
  <c r="G34" i="12"/>
  <c r="G14" i="12"/>
  <c r="G142" i="12"/>
  <c r="G141" i="12"/>
  <c r="G333" i="12"/>
  <c r="G313" i="12"/>
  <c r="G293" i="12"/>
  <c r="G273" i="12"/>
  <c r="G253" i="12"/>
  <c r="G233" i="12"/>
  <c r="G213" i="12"/>
  <c r="G193" i="12"/>
  <c r="G173" i="12"/>
  <c r="G153" i="12"/>
  <c r="G133" i="12"/>
  <c r="G113" i="12"/>
  <c r="J29" i="12" s="1"/>
  <c r="G93" i="12"/>
  <c r="G73" i="12"/>
  <c r="G53" i="12"/>
  <c r="G33" i="12"/>
  <c r="G13" i="12"/>
  <c r="G332" i="12"/>
  <c r="G312" i="12"/>
  <c r="G292" i="12"/>
  <c r="G272" i="12"/>
  <c r="G252" i="12"/>
  <c r="G232" i="12"/>
  <c r="G212" i="12"/>
  <c r="G192" i="12"/>
  <c r="G172" i="12"/>
  <c r="G152" i="12"/>
  <c r="G132" i="12"/>
  <c r="G112" i="12"/>
  <c r="G92" i="12"/>
  <c r="G72" i="12"/>
  <c r="G52" i="12"/>
  <c r="J18" i="12" s="1"/>
  <c r="G32" i="12"/>
  <c r="G12" i="12"/>
  <c r="G331" i="12"/>
  <c r="G311" i="12"/>
  <c r="G291" i="12"/>
  <c r="G271" i="12"/>
  <c r="G251" i="12"/>
  <c r="G231" i="12"/>
  <c r="G211" i="12"/>
  <c r="G191" i="12"/>
  <c r="G171" i="12"/>
  <c r="G151" i="12"/>
  <c r="G131" i="12"/>
  <c r="G111" i="12"/>
  <c r="G91" i="12"/>
  <c r="G71" i="12"/>
  <c r="G51" i="12"/>
  <c r="G31" i="12"/>
  <c r="G11" i="12"/>
  <c r="J9" i="12" s="1"/>
  <c r="G330" i="12"/>
  <c r="G310" i="12"/>
  <c r="G290" i="12"/>
  <c r="G270" i="12"/>
  <c r="G250" i="12"/>
  <c r="G230" i="12"/>
  <c r="G210" i="12"/>
  <c r="G190" i="12"/>
  <c r="G170" i="12"/>
  <c r="G150" i="12"/>
  <c r="G130" i="12"/>
  <c r="G110" i="12"/>
  <c r="G90" i="12"/>
  <c r="G70" i="12"/>
  <c r="G50" i="12"/>
  <c r="G30" i="12"/>
  <c r="G10" i="12"/>
  <c r="G269" i="12"/>
  <c r="G249" i="12"/>
  <c r="G229" i="12"/>
  <c r="G209" i="12"/>
  <c r="G189" i="12"/>
  <c r="G169" i="12"/>
  <c r="G69" i="12"/>
  <c r="G49" i="12"/>
  <c r="G29" i="12"/>
  <c r="G9" i="12"/>
  <c r="J8" i="12" s="1"/>
  <c r="G149" i="12"/>
  <c r="J24" i="12" s="1"/>
  <c r="G328" i="12"/>
  <c r="G288" i="12"/>
  <c r="G268" i="12"/>
  <c r="J22" i="12" s="1"/>
  <c r="G248" i="12"/>
  <c r="G228" i="12"/>
  <c r="G208" i="12"/>
  <c r="G188" i="12"/>
  <c r="G88" i="12"/>
  <c r="G68" i="12"/>
  <c r="G48" i="12"/>
  <c r="G28" i="12"/>
  <c r="G8" i="12"/>
  <c r="J7" i="12" s="1"/>
  <c r="G327" i="12"/>
  <c r="G307" i="12"/>
  <c r="G287" i="12"/>
  <c r="G267" i="12"/>
  <c r="G247" i="12"/>
  <c r="G227" i="12"/>
  <c r="G207" i="12"/>
  <c r="G187" i="12"/>
  <c r="G167" i="12"/>
  <c r="G147" i="12"/>
  <c r="G127" i="12"/>
  <c r="G107" i="12"/>
  <c r="G87" i="12"/>
  <c r="G67" i="12"/>
  <c r="G47" i="12"/>
  <c r="G27" i="12"/>
  <c r="G7" i="12"/>
  <c r="G168" i="12"/>
  <c r="G326" i="12"/>
  <c r="G306" i="12"/>
  <c r="J15" i="12" s="1"/>
  <c r="G286" i="12"/>
  <c r="G266" i="12"/>
  <c r="G246" i="12"/>
  <c r="G226" i="12"/>
  <c r="G206" i="12"/>
  <c r="G186" i="12"/>
  <c r="G166" i="12"/>
  <c r="G146" i="12"/>
  <c r="J13" i="12" s="1"/>
  <c r="G126" i="12"/>
  <c r="G106" i="12"/>
  <c r="G86" i="12"/>
  <c r="J6" i="12" s="1"/>
  <c r="G66" i="12"/>
  <c r="G46" i="12"/>
  <c r="G26" i="12"/>
  <c r="G6" i="12"/>
  <c r="G329" i="12"/>
  <c r="G89" i="12"/>
  <c r="G308" i="12"/>
  <c r="G108" i="12"/>
  <c r="G325" i="12"/>
  <c r="G305" i="12"/>
  <c r="G285" i="12"/>
  <c r="G265" i="12"/>
  <c r="G245" i="12"/>
  <c r="G225" i="12"/>
  <c r="G205" i="12"/>
  <c r="G185" i="12"/>
  <c r="J11" i="12" s="1"/>
  <c r="G165" i="12"/>
  <c r="G145" i="12"/>
  <c r="G125" i="12"/>
  <c r="J17" i="12" s="1"/>
  <c r="G105" i="12"/>
  <c r="G85" i="12"/>
  <c r="G65" i="12"/>
  <c r="G45" i="12"/>
  <c r="G25" i="12"/>
  <c r="G5" i="12"/>
  <c r="G309" i="12"/>
  <c r="G109" i="12"/>
  <c r="J27" i="12" s="1"/>
  <c r="G148" i="12"/>
  <c r="G324" i="12"/>
  <c r="G304" i="12"/>
  <c r="G284" i="12"/>
  <c r="G264" i="12"/>
  <c r="G244" i="12"/>
  <c r="G224" i="12"/>
  <c r="G204" i="12"/>
  <c r="G184" i="12"/>
  <c r="G164" i="12"/>
  <c r="J16" i="12" s="1"/>
  <c r="G144" i="12"/>
  <c r="G124" i="12"/>
  <c r="G104" i="12"/>
  <c r="G84" i="12"/>
  <c r="G64" i="12"/>
  <c r="G44" i="12"/>
  <c r="G24" i="12"/>
  <c r="G4" i="12"/>
  <c r="G289" i="12"/>
  <c r="G129" i="12"/>
  <c r="G128" i="12"/>
  <c r="G323" i="12"/>
  <c r="G303" i="12"/>
  <c r="J28" i="12" s="1"/>
  <c r="G283" i="12"/>
  <c r="G263" i="12"/>
  <c r="G243" i="12"/>
  <c r="G223" i="12"/>
  <c r="G203" i="12"/>
  <c r="J20" i="12" s="1"/>
  <c r="G183" i="12"/>
  <c r="G163" i="12"/>
  <c r="J14" i="12" s="1"/>
  <c r="G143" i="12"/>
  <c r="G123" i="12"/>
  <c r="G103" i="12"/>
  <c r="G83" i="12"/>
  <c r="G63" i="12"/>
  <c r="G43" i="12"/>
  <c r="G23" i="12"/>
  <c r="G3" i="12"/>
  <c r="J21" i="12"/>
  <c r="J19" i="12"/>
  <c r="J33" i="12"/>
  <c r="J32" i="12"/>
  <c r="J12" i="12"/>
  <c r="J31" i="12"/>
  <c r="J30" i="12"/>
  <c r="J10" i="12"/>
  <c r="J26" i="12"/>
  <c r="J23" i="12"/>
  <c r="J3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5F9AC-90E9-4047-8302-3029A7BA0D2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526A7AF6-5AD4-4AE9-9F32-5932A8A923A8}" keepAlive="1" name="Query - rstcat2" description="Connection to the 'rstcat2' query in the workbook." type="5" refreshedVersion="0" background="1">
    <dbPr connection="Provider=Microsoft.Mashup.OleDb.1;Data Source=$Workbook$;Location=rstcat2;Extended Properties=&quot;&quot;" command="SELECT * FROM [rstcat2]"/>
  </connection>
  <connection id="3" xr16:uid="{56121D57-D5B2-4405-9FC1-E7874E71E8AE}" keepAlive="1" name="Query - rstcat3" description="Connection to the 'rstcat3' query in the workbook." type="5" refreshedVersion="0" background="1">
    <dbPr connection="Provider=Microsoft.Mashup.OleDb.1;Data Source=$Workbook$;Location=rstcat3;Extended Properties=&quot;&quot;" command="SELECT * FROM [rstcat3]"/>
  </connection>
  <connection id="4" xr16:uid="{7D0B8DE9-CC8B-46F0-A5F0-3C07EACE70A3}" keepAlive="1" name="Query - rstcat4" description="Connection to the 'rstcat4' query in the workbook." type="5" refreshedVersion="0" background="1">
    <dbPr connection="Provider=Microsoft.Mashup.OleDb.1;Data Source=$Workbook$;Location=rstcat4;Extended Properties=&quot;&quot;" command="SELECT * FROM [rstcat4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<sst xmlns="http://schemas.openxmlformats.org/spreadsheetml/2006/main" count="1839" uniqueCount="836">
  <si>
    <t>Unique Restaurant Names SAMPLE1</t>
  </si>
  <si>
    <t>Assigned rstcat</t>
  </si>
  <si>
    <t>ARMS</t>
  </si>
  <si>
    <t>バーミヤン</t>
  </si>
  <si>
    <t>BROZERS’</t>
  </si>
  <si>
    <t>カレーハウスCoCo壱番屋</t>
  </si>
  <si>
    <t>ココイチエキスプレス</t>
  </si>
  <si>
    <t>ピザ・カリフォルニア</t>
  </si>
  <si>
    <t>吉祥寺中華街</t>
  </si>
  <si>
    <t>ドミノ・ピザ</t>
  </si>
  <si>
    <t>大黒屋</t>
  </si>
  <si>
    <t>Fresh</t>
  </si>
  <si>
    <t>FIRE</t>
  </si>
  <si>
    <t>FAITH（フェイス）</t>
  </si>
  <si>
    <t>がんばり屋</t>
  </si>
  <si>
    <t>ガスト</t>
  </si>
  <si>
    <t>香港の達人</t>
  </si>
  <si>
    <t>香港ロジ</t>
  </si>
  <si>
    <t>本格インド料理</t>
  </si>
  <si>
    <t>柿家すし</t>
  </si>
  <si>
    <t>手作りの店</t>
  </si>
  <si>
    <t>鮮度抜群天然地魚取扱店</t>
  </si>
  <si>
    <t>ビストロ</t>
  </si>
  <si>
    <t>萬福来</t>
  </si>
  <si>
    <t>ニューヨークニューヨーク</t>
  </si>
  <si>
    <t>オーベルジーヌ</t>
  </si>
  <si>
    <t>本格タイ料理</t>
  </si>
  <si>
    <t>ピザポケット</t>
  </si>
  <si>
    <t>ピザハット</t>
  </si>
  <si>
    <t>Pe’z</t>
  </si>
  <si>
    <t>ピザーラ</t>
  </si>
  <si>
    <t>出前レストラン</t>
  </si>
  <si>
    <t>プリモピザ</t>
  </si>
  <si>
    <t>ワンランク上のデリバリー</t>
  </si>
  <si>
    <t>龍香居</t>
  </si>
  <si>
    <t>PIZZA</t>
  </si>
  <si>
    <t>シカゴデリータ</t>
  </si>
  <si>
    <t>中華料理</t>
  </si>
  <si>
    <t>仙楽亭</t>
  </si>
  <si>
    <t>兎月</t>
  </si>
  <si>
    <t>中華デリバリー</t>
  </si>
  <si>
    <t>弁当デリバリー</t>
  </si>
  <si>
    <t>米山酒店</t>
  </si>
  <si>
    <t>東京ケータリングスタイル</t>
  </si>
  <si>
    <t>匠のカレーうどん</t>
  </si>
  <si>
    <t>OKONOMI－9</t>
  </si>
  <si>
    <t>本格中華料理</t>
  </si>
  <si>
    <t>モスバーガー</t>
  </si>
  <si>
    <t>広島焼</t>
  </si>
  <si>
    <t>ジョナサン</t>
  </si>
  <si>
    <t>インド定食</t>
  </si>
  <si>
    <t>本格グルメバーガーを一個からお届け</t>
  </si>
  <si>
    <t>笹互</t>
  </si>
  <si>
    <t>ザ・パントリー</t>
  </si>
  <si>
    <t>上海エクスプレス</t>
  </si>
  <si>
    <t>ソウルランチ</t>
  </si>
  <si>
    <t>「うまい！」が大集合！</t>
  </si>
  <si>
    <t>四川料理</t>
  </si>
  <si>
    <t>MUNCH’S</t>
  </si>
  <si>
    <t>つけ麺エクスプレス</t>
  </si>
  <si>
    <t>中華一丁</t>
  </si>
  <si>
    <t>26号くるりんカレー</t>
  </si>
  <si>
    <t>中華レストラン</t>
  </si>
  <si>
    <t>place</t>
  </si>
  <si>
    <t>中華宅配</t>
  </si>
  <si>
    <t>天ぴん</t>
  </si>
  <si>
    <t>一品房</t>
  </si>
  <si>
    <t>Burger</t>
  </si>
  <si>
    <t>台湾亭</t>
  </si>
  <si>
    <t>特選ロケ弁</t>
  </si>
  <si>
    <t>なんでも酒やカクヤス</t>
  </si>
  <si>
    <t>ZAIKA</t>
  </si>
  <si>
    <t>ふわとろオムライス</t>
  </si>
  <si>
    <t>本場中華</t>
  </si>
  <si>
    <t>チャンモニムチキン</t>
  </si>
  <si>
    <t>NEO</t>
  </si>
  <si>
    <t>大阪王将</t>
  </si>
  <si>
    <t>ネパール・インドレストラン＆バー</t>
  </si>
  <si>
    <t>神戸</t>
  </si>
  <si>
    <t>FREMONTCURRY＆DELI（フリーモントカレー＆デリ）</t>
  </si>
  <si>
    <t>あったぶた</t>
  </si>
  <si>
    <t>兄夫食堂</t>
  </si>
  <si>
    <t>東京下町ラーメン福徳</t>
  </si>
  <si>
    <t>大分唐揚げ専門店</t>
  </si>
  <si>
    <t>健康家庭料理</t>
  </si>
  <si>
    <t>LALI</t>
  </si>
  <si>
    <t>ヘルシーネパール料理</t>
  </si>
  <si>
    <t>Thai</t>
  </si>
  <si>
    <t>ナマステダイニング</t>
  </si>
  <si>
    <t>ととやみち</t>
  </si>
  <si>
    <t>SALAD</t>
  </si>
  <si>
    <t>ALZE</t>
  </si>
  <si>
    <t>台湾料理・幹</t>
  </si>
  <si>
    <t>KHUSHI</t>
  </si>
  <si>
    <t>カフェ・ド・グリル</t>
  </si>
  <si>
    <t>インドレストラン</t>
  </si>
  <si>
    <t>バーガーズカフェグリル</t>
  </si>
  <si>
    <t>NEWナマステヒマール</t>
  </si>
  <si>
    <t>出前のそば天</t>
  </si>
  <si>
    <t>どんぶり工房</t>
  </si>
  <si>
    <t>錦秀飯店</t>
  </si>
  <si>
    <t>黒毛和牛とろけるハンバーグ</t>
  </si>
  <si>
    <t>インドダイニング</t>
  </si>
  <si>
    <t>SUNNY</t>
  </si>
  <si>
    <t>本格インド料理ディップジョティDip</t>
  </si>
  <si>
    <t>インド・タイ・ネパール料理＆ケバブ＆バー</t>
  </si>
  <si>
    <t>KAKUYASU</t>
  </si>
  <si>
    <t>インディアン</t>
  </si>
  <si>
    <t>すしざむらい</t>
  </si>
  <si>
    <t>INDIAN</t>
  </si>
  <si>
    <t>すじ亭本舗</t>
  </si>
  <si>
    <t>国産手作り香港飲茶</t>
  </si>
  <si>
    <t>本格インドレストラン＆バー</t>
  </si>
  <si>
    <t>キッチンメリー</t>
  </si>
  <si>
    <t>インドカレー</t>
  </si>
  <si>
    <t>VIVA</t>
  </si>
  <si>
    <t>アジアン屋台</t>
  </si>
  <si>
    <t>中華弁当</t>
  </si>
  <si>
    <t>味仙</t>
  </si>
  <si>
    <t>インド料理＆アジアンダイニング</t>
  </si>
  <si>
    <t>中華厨房</t>
  </si>
  <si>
    <t>YABIN</t>
  </si>
  <si>
    <t>ステーキハウスDOUBLE</t>
  </si>
  <si>
    <t>アジアンケバブ＆カレーハウス</t>
  </si>
  <si>
    <t>日本亭</t>
  </si>
  <si>
    <t>夢庵</t>
  </si>
  <si>
    <t>天丼・かつ丼専門</t>
  </si>
  <si>
    <t>ASIAN</t>
  </si>
  <si>
    <t>天丼てんや</t>
  </si>
  <si>
    <t>香港餃子酒場</t>
  </si>
  <si>
    <t>アジアンカフェダオタイランド</t>
  </si>
  <si>
    <t>七左食堂</t>
  </si>
  <si>
    <t>Delicier’s</t>
  </si>
  <si>
    <t>福香源刀削麺</t>
  </si>
  <si>
    <t>AMERICAN</t>
  </si>
  <si>
    <t>THIS</t>
  </si>
  <si>
    <t>麺や</t>
  </si>
  <si>
    <t>肉料理のお店</t>
  </si>
  <si>
    <t>チキンワークス</t>
  </si>
  <si>
    <t>カレーは飲み物。新橋店</t>
  </si>
  <si>
    <t>BASHI</t>
  </si>
  <si>
    <t>広島お好み焼き</t>
  </si>
  <si>
    <t>張飛刀削麺</t>
  </si>
  <si>
    <t>ロッテリア</t>
  </si>
  <si>
    <t>生姜焼き定食</t>
  </si>
  <si>
    <t>博多黒カレー堂</t>
  </si>
  <si>
    <t>うどん</t>
  </si>
  <si>
    <t>COCK</t>
  </si>
  <si>
    <t>フレッシュネスバーガー</t>
  </si>
  <si>
    <t>はなまるうどん</t>
  </si>
  <si>
    <t>MR．CHICKEN鶏飯店</t>
  </si>
  <si>
    <t>うなぎ</t>
  </si>
  <si>
    <t>海鮮丼</t>
  </si>
  <si>
    <t>【直焼き×低温調理】ローストビーフマウンテン</t>
  </si>
  <si>
    <t>Not，Oily！Not，Junk！油そば専門</t>
  </si>
  <si>
    <t>いろり家</t>
  </si>
  <si>
    <t>餃子の民</t>
  </si>
  <si>
    <t>ブッチャーズテーブル</t>
  </si>
  <si>
    <t>デニーズ</t>
  </si>
  <si>
    <t>中華居酒屋</t>
  </si>
  <si>
    <t>アジアンダイニング＆バー</t>
  </si>
  <si>
    <t>日乃屋カレー</t>
  </si>
  <si>
    <t>たこ焼き</t>
  </si>
  <si>
    <t>インド・ネパール・タイ・ベトナム料理</t>
  </si>
  <si>
    <t>鉄板王国</t>
  </si>
  <si>
    <t>MARZAC7</t>
  </si>
  <si>
    <t>Pizzeria</t>
  </si>
  <si>
    <t>ひな鳥素揚げ</t>
  </si>
  <si>
    <t>フランス食堂</t>
  </si>
  <si>
    <t>KOSUGI</t>
  </si>
  <si>
    <t>かっぱ寿司</t>
  </si>
  <si>
    <t>ごごチキン</t>
  </si>
  <si>
    <t>クラフトビール＆広島お好み焼き</t>
  </si>
  <si>
    <t>シャンシャン食堂</t>
  </si>
  <si>
    <t>インド・ネパール・タイ料理</t>
  </si>
  <si>
    <t>炭火ホルモン焼肉</t>
  </si>
  <si>
    <t>焼肉トラジ</t>
  </si>
  <si>
    <t>WANTS</t>
  </si>
  <si>
    <t>瑞麟軒</t>
  </si>
  <si>
    <t>台湾料理</t>
  </si>
  <si>
    <t>アジアの屋台飯</t>
  </si>
  <si>
    <t>ハラペコステーキ</t>
  </si>
  <si>
    <t>PESCHERIA</t>
  </si>
  <si>
    <t>カレーうどん屋</t>
  </si>
  <si>
    <t>焼肉弁当</t>
  </si>
  <si>
    <t>MOMI＆TOY’S</t>
  </si>
  <si>
    <t>ピザ屋</t>
  </si>
  <si>
    <t>炭火焼きラムチョップ</t>
  </si>
  <si>
    <t>rstcat (jap)</t>
  </si>
  <si>
    <t>アイスクリーム</t>
  </si>
  <si>
    <t>アジア・エスニック料理（その他）</t>
  </si>
  <si>
    <t>アメリカ料理</t>
  </si>
  <si>
    <t>あんこう</t>
  </si>
  <si>
    <t>イタリアン</t>
  </si>
  <si>
    <t>イノベーティブ・フュージョン</t>
  </si>
  <si>
    <t>インド料理</t>
  </si>
  <si>
    <t>オイスターバー</t>
  </si>
  <si>
    <t>おでん</t>
  </si>
  <si>
    <t>おにぎり</t>
  </si>
  <si>
    <t>おばんざい</t>
  </si>
  <si>
    <t>オムライス</t>
  </si>
  <si>
    <t>お好み焼き</t>
  </si>
  <si>
    <t>かき氷</t>
  </si>
  <si>
    <t>かつ丼・かつ重</t>
  </si>
  <si>
    <t>かに</t>
  </si>
  <si>
    <t>カフェ</t>
  </si>
  <si>
    <t>カフェ・喫茶（その他）</t>
  </si>
  <si>
    <t>からあげ</t>
  </si>
  <si>
    <t>カレー（その他）</t>
  </si>
  <si>
    <t>カレーうどん</t>
  </si>
  <si>
    <t>カレーライス</t>
  </si>
  <si>
    <t>きりたんぽ</t>
  </si>
  <si>
    <t>クレープ</t>
  </si>
  <si>
    <t>ケーキ</t>
  </si>
  <si>
    <t>コーヒー専門店</t>
  </si>
  <si>
    <t>コロッケ・フライ</t>
  </si>
  <si>
    <t>サンドイッチ</t>
  </si>
  <si>
    <t>シチュー</t>
  </si>
  <si>
    <t>しゃぶしゃぶ</t>
  </si>
  <si>
    <t>ジュースバー</t>
  </si>
  <si>
    <t>シュラスコ</t>
  </si>
  <si>
    <t>ジンギスカン</t>
  </si>
  <si>
    <t>スイーツ（その他）</t>
  </si>
  <si>
    <t>スープカレー</t>
  </si>
  <si>
    <t>すき焼き</t>
  </si>
  <si>
    <t>ステーキ</t>
  </si>
  <si>
    <t>スペイン料理</t>
  </si>
  <si>
    <t>スポーツバー</t>
  </si>
  <si>
    <t>せんべい</t>
  </si>
  <si>
    <t>その他</t>
  </si>
  <si>
    <t>その他肉料理</t>
  </si>
  <si>
    <t>そば</t>
  </si>
  <si>
    <t>そば・うどん・麺類（その他）</t>
  </si>
  <si>
    <t>ソフトクリーム</t>
  </si>
  <si>
    <t>タイカレー</t>
  </si>
  <si>
    <t>ダイニングバー</t>
  </si>
  <si>
    <t>タイ料理</t>
  </si>
  <si>
    <t>たい焼き・大判焼き</t>
  </si>
  <si>
    <t>ちゃんこ鍋</t>
  </si>
  <si>
    <t>ちゃんぽん</t>
  </si>
  <si>
    <t>チョコレート</t>
  </si>
  <si>
    <t>つけ麺</t>
  </si>
  <si>
    <t>デリカテッセン</t>
  </si>
  <si>
    <t>ドイツ料理</t>
  </si>
  <si>
    <t>ドーナツ</t>
  </si>
  <si>
    <t>どじょう</t>
  </si>
  <si>
    <t>どら焼き</t>
  </si>
  <si>
    <t>とんかつ</t>
  </si>
  <si>
    <t>ネパール料理</t>
  </si>
  <si>
    <t>バー</t>
  </si>
  <si>
    <t>バー・お酒（その他）</t>
  </si>
  <si>
    <t>バーベキュー</t>
  </si>
  <si>
    <t>バイキング</t>
  </si>
  <si>
    <t>パキスタン料理</t>
  </si>
  <si>
    <t>パスタ</t>
  </si>
  <si>
    <t>パブ</t>
  </si>
  <si>
    <t>ハヤシライス</t>
  </si>
  <si>
    <t>バル・バール</t>
  </si>
  <si>
    <t>パン</t>
  </si>
  <si>
    <t>パン・サンドイッチ（その他）</t>
  </si>
  <si>
    <t>パンケーキ</t>
  </si>
  <si>
    <t>ハンバーガー</t>
  </si>
  <si>
    <t>ハンバーグ</t>
  </si>
  <si>
    <t>ビアガーデン</t>
  </si>
  <si>
    <t>ビアバー</t>
  </si>
  <si>
    <t>ビアホール・ビアレストラン</t>
  </si>
  <si>
    <t>ピザ</t>
  </si>
  <si>
    <t>ファミレス</t>
  </si>
  <si>
    <t>ふぐ</t>
  </si>
  <si>
    <t>ブラジル料理</t>
  </si>
  <si>
    <t>フルーツパーラー</t>
  </si>
  <si>
    <t>フレンチ</t>
  </si>
  <si>
    <t>ベトナム料理</t>
  </si>
  <si>
    <t>ホルモン</t>
  </si>
  <si>
    <t>マカロン</t>
  </si>
  <si>
    <t>モダンフレンチ</t>
  </si>
  <si>
    <t>もつ焼き</t>
  </si>
  <si>
    <t>もつ鍋</t>
  </si>
  <si>
    <t>もんじゃ焼き</t>
  </si>
  <si>
    <t>ラーメン</t>
  </si>
  <si>
    <t>ラウンジ</t>
  </si>
  <si>
    <t>レストラン（その他）</t>
  </si>
  <si>
    <t>ワインバー</t>
  </si>
  <si>
    <t>上海料理</t>
  </si>
  <si>
    <t>中南米料理（その他）</t>
  </si>
  <si>
    <t>中国茶専門店</t>
  </si>
  <si>
    <t>中国鍋・火鍋</t>
  </si>
  <si>
    <t>中華菓子</t>
  </si>
  <si>
    <t>中華麺（その他）</t>
  </si>
  <si>
    <t>串揚げ・串かつ</t>
  </si>
  <si>
    <t>串焼き</t>
  </si>
  <si>
    <t>丼もの（その他）</t>
  </si>
  <si>
    <t>冷麺</t>
  </si>
  <si>
    <t>割烹・小料理</t>
  </si>
  <si>
    <t>創作料理</t>
  </si>
  <si>
    <t>和菓子</t>
  </si>
  <si>
    <t>和食（その他）</t>
  </si>
  <si>
    <t>喫茶店</t>
  </si>
  <si>
    <t>回転寿司</t>
  </si>
  <si>
    <t>地中海料理</t>
  </si>
  <si>
    <t>天ぷら</t>
  </si>
  <si>
    <t>天ぷら・揚げ物（その他）</t>
  </si>
  <si>
    <t>天丼・天重</t>
  </si>
  <si>
    <t>学生食堂</t>
  </si>
  <si>
    <t>定食・食堂</t>
  </si>
  <si>
    <t>寿司</t>
  </si>
  <si>
    <t>居酒屋</t>
  </si>
  <si>
    <t>居酒屋・ダイニングバー（その他）</t>
  </si>
  <si>
    <t>広東料理</t>
  </si>
  <si>
    <t>弁当</t>
  </si>
  <si>
    <t>懐石・会席料理</t>
  </si>
  <si>
    <t>手羽先</t>
  </si>
  <si>
    <t>担々麺</t>
  </si>
  <si>
    <t>旅館・オーベルジュ（その他）</t>
  </si>
  <si>
    <t>日本茶専門店</t>
  </si>
  <si>
    <t>日本酒バー</t>
  </si>
  <si>
    <t>東南アジア料理（その他）</t>
  </si>
  <si>
    <t>汁なし担々麺</t>
  </si>
  <si>
    <t>沖縄料理</t>
  </si>
  <si>
    <t>油そば</t>
  </si>
  <si>
    <t>洋菓子（その他）</t>
  </si>
  <si>
    <t>洋食</t>
  </si>
  <si>
    <t>炭火焼き</t>
  </si>
  <si>
    <t>無国籍料理</t>
  </si>
  <si>
    <t>焼きそば</t>
  </si>
  <si>
    <t>焼きとん</t>
  </si>
  <si>
    <t>焼肉</t>
  </si>
  <si>
    <t>焼酎バー</t>
  </si>
  <si>
    <t>焼鳥</t>
  </si>
  <si>
    <t>牛タン</t>
  </si>
  <si>
    <t>牛丼</t>
  </si>
  <si>
    <t>牛料理</t>
  </si>
  <si>
    <t>甘味処</t>
  </si>
  <si>
    <t>社員食堂</t>
  </si>
  <si>
    <t>立ち食いそば</t>
  </si>
  <si>
    <t>立ち食い寿司</t>
  </si>
  <si>
    <t>立ち飲み居酒屋・バー</t>
  </si>
  <si>
    <t>肉まん・中華まん</t>
  </si>
  <si>
    <t>自然食</t>
  </si>
  <si>
    <t>薬膳</t>
  </si>
  <si>
    <t>西洋各国料理（その他）</t>
  </si>
  <si>
    <t>親子丼</t>
  </si>
  <si>
    <t>豚しゃぶ</t>
  </si>
  <si>
    <t>郷土料理（その他）</t>
  </si>
  <si>
    <t>野菜料理</t>
  </si>
  <si>
    <t>釜飯</t>
  </si>
  <si>
    <t>鉄板焼き</t>
  </si>
  <si>
    <t>鍋（その他）</t>
  </si>
  <si>
    <t>韓国料理</t>
  </si>
  <si>
    <t>韓国鍋</t>
  </si>
  <si>
    <t>飲茶・点心</t>
  </si>
  <si>
    <t>餃子</t>
  </si>
  <si>
    <t>馬刺し</t>
  </si>
  <si>
    <t>馬肉料理</t>
  </si>
  <si>
    <t>魚介料理・海鮮料理</t>
  </si>
  <si>
    <t>鳥料理</t>
  </si>
  <si>
    <t>麦とろ</t>
  </si>
  <si>
    <t>Affordable Meals</t>
  </si>
  <si>
    <t>Alcohol</t>
  </si>
  <si>
    <t>Allergy Friendly</t>
  </si>
  <si>
    <t>American</t>
  </si>
  <si>
    <t>Arabian</t>
  </si>
  <si>
    <t>Asian</t>
  </si>
  <si>
    <t>Bagels</t>
  </si>
  <si>
    <t>Bakery</t>
  </si>
  <si>
    <t>BBQ</t>
  </si>
  <si>
    <t>Bento</t>
  </si>
  <si>
    <t>Biryani</t>
  </si>
  <si>
    <t>Bistro</t>
  </si>
  <si>
    <t>Bowls</t>
  </si>
  <si>
    <t>Brazilian</t>
  </si>
  <si>
    <t>Breakfast and Brunch</t>
  </si>
  <si>
    <t>Bubble Tea</t>
  </si>
  <si>
    <t>Burgers</t>
  </si>
  <si>
    <t>Cafe</t>
  </si>
  <si>
    <t>Candy</t>
  </si>
  <si>
    <t>Cantonese</t>
  </si>
  <si>
    <t>Cheese</t>
  </si>
  <si>
    <t>Chicken</t>
  </si>
  <si>
    <t>Chilean</t>
  </si>
  <si>
    <t>Chinese</t>
  </si>
  <si>
    <t>Coffee and Tea</t>
  </si>
  <si>
    <t>Comfort Food</t>
  </si>
  <si>
    <t>Congee</t>
  </si>
  <si>
    <t>Crepe</t>
  </si>
  <si>
    <t>Cupcakes</t>
  </si>
  <si>
    <t>Deli</t>
  </si>
  <si>
    <t>Desserts</t>
  </si>
  <si>
    <t>Dim Sum</t>
  </si>
  <si>
    <t>donmono</t>
  </si>
  <si>
    <t>Donuts</t>
  </si>
  <si>
    <t>Drinks</t>
  </si>
  <si>
    <t>European</t>
  </si>
  <si>
    <t>Family Friendly</t>
  </si>
  <si>
    <t>Family Meals</t>
  </si>
  <si>
    <t>Fast Food</t>
  </si>
  <si>
    <t>Filipino</t>
  </si>
  <si>
    <t>Fish &amp; Seafood</t>
  </si>
  <si>
    <t>Fish and Chips</t>
  </si>
  <si>
    <t>Flour based food</t>
  </si>
  <si>
    <t>Fried Chicken</t>
  </si>
  <si>
    <t>Fried Foods</t>
  </si>
  <si>
    <t>Fruit</t>
  </si>
  <si>
    <t>German</t>
  </si>
  <si>
    <t>Gourmet</t>
  </si>
  <si>
    <t>Gyudon</t>
  </si>
  <si>
    <t>Hawaiian</t>
  </si>
  <si>
    <t>Healthy</t>
  </si>
  <si>
    <t>Hot Pot</t>
  </si>
  <si>
    <t>Ice Cream + Frozen Yogurt</t>
  </si>
  <si>
    <t>indian</t>
  </si>
  <si>
    <t>Indian Curry</t>
  </si>
  <si>
    <t>Indonesian</t>
  </si>
  <si>
    <t>Iranian</t>
  </si>
  <si>
    <t>Italian</t>
  </si>
  <si>
    <t>Izakaya</t>
  </si>
  <si>
    <t>Japanese</t>
  </si>
  <si>
    <t>Japanese BBQ</t>
  </si>
  <si>
    <t>Japanese set items</t>
  </si>
  <si>
    <t>Japanese Skewer food</t>
  </si>
  <si>
    <t>Japanese Style curry</t>
  </si>
  <si>
    <t>Japanese sweets</t>
  </si>
  <si>
    <t>Juice and Smoothies</t>
  </si>
  <si>
    <t>Kebab</t>
  </si>
  <si>
    <t>Kids Friendly</t>
  </si>
  <si>
    <t>Korean</t>
  </si>
  <si>
    <t>Liquor Stores</t>
  </si>
  <si>
    <t>Mexican</t>
  </si>
  <si>
    <t>Middle Eastern</t>
  </si>
  <si>
    <t>Nepalese</t>
  </si>
  <si>
    <t>New American</t>
  </si>
  <si>
    <t>None</t>
  </si>
  <si>
    <t>Noodles</t>
  </si>
  <si>
    <t>Okinawan</t>
  </si>
  <si>
    <t>Okonomiyaki</t>
  </si>
  <si>
    <t>Otsumami</t>
  </si>
  <si>
    <t>Pasta</t>
  </si>
  <si>
    <t>Pastry</t>
  </si>
  <si>
    <t>Pizza</t>
  </si>
  <si>
    <t>Poke</t>
  </si>
  <si>
    <t>Ramen</t>
  </si>
  <si>
    <t>Regional</t>
  </si>
  <si>
    <t>Rice &amp; Curry</t>
  </si>
  <si>
    <t>Rice Dishes</t>
  </si>
  <si>
    <t>Rice-bowls</t>
  </si>
  <si>
    <t>Salads</t>
  </si>
  <si>
    <t>Sandwich</t>
  </si>
  <si>
    <t>Sandwiches</t>
  </si>
  <si>
    <t>Seafood</t>
  </si>
  <si>
    <t>Singaporean</t>
  </si>
  <si>
    <t>Snacks</t>
  </si>
  <si>
    <t>Soul Food</t>
  </si>
  <si>
    <t>Soup</t>
  </si>
  <si>
    <t>South American</t>
  </si>
  <si>
    <t>Spanish</t>
  </si>
  <si>
    <t>Specialty Foods</t>
  </si>
  <si>
    <t>Steak</t>
  </si>
  <si>
    <t>Stir​ Fried</t>
  </si>
  <si>
    <t>Street Food</t>
  </si>
  <si>
    <t>Sushi</t>
  </si>
  <si>
    <t>Szechuan</t>
  </si>
  <si>
    <t>Tacos</t>
  </si>
  <si>
    <t>Taiwanese</t>
  </si>
  <si>
    <t>Takoyaki</t>
  </si>
  <si>
    <t>Tempura</t>
  </si>
  <si>
    <t>Teppanyaki</t>
  </si>
  <si>
    <t>Tex Mex</t>
  </si>
  <si>
    <t>To Share</t>
  </si>
  <si>
    <t>Tom Yum</t>
  </si>
  <si>
    <t>Tonkatsu</t>
  </si>
  <si>
    <t>Traditional American</t>
  </si>
  <si>
    <t>Turkish</t>
  </si>
  <si>
    <t>Vegan</t>
  </si>
  <si>
    <t>Vegetarian</t>
  </si>
  <si>
    <t>Vegetarian Friendly</t>
  </si>
  <si>
    <t>Vietnamese</t>
  </si>
  <si>
    <t>Western</t>
  </si>
  <si>
    <t>Western-style Japanese Food</t>
  </si>
  <si>
    <t>Wings</t>
  </si>
  <si>
    <t>Yakitori</t>
  </si>
  <si>
    <t>bistro</t>
  </si>
  <si>
    <t>milkshake</t>
  </si>
  <si>
    <t>アイス</t>
  </si>
  <si>
    <t>アメリカン</t>
  </si>
  <si>
    <t>ヴィーガン</t>
  </si>
  <si>
    <t>エスニック</t>
  </si>
  <si>
    <t>お寿司</t>
  </si>
  <si>
    <t>お茶</t>
  </si>
  <si>
    <t>お酒</t>
  </si>
  <si>
    <t>カレー</t>
  </si>
  <si>
    <t>グリル</t>
  </si>
  <si>
    <t>ケバブ</t>
  </si>
  <si>
    <t>コーヒー</t>
  </si>
  <si>
    <t>サラダ</t>
  </si>
  <si>
    <t>スイーツ</t>
  </si>
  <si>
    <t>スープ</t>
  </si>
  <si>
    <t>ステーキハウス</t>
  </si>
  <si>
    <t>スムージー</t>
  </si>
  <si>
    <t>タピオカ</t>
  </si>
  <si>
    <t>デザート</t>
  </si>
  <si>
    <t>ドリンク</t>
  </si>
  <si>
    <t>ハラール</t>
  </si>
  <si>
    <t>ビール</t>
  </si>
  <si>
    <t>ブリトー</t>
  </si>
  <si>
    <t>フルーツ</t>
  </si>
  <si>
    <t>ベーカリー</t>
  </si>
  <si>
    <t>ベジタリアン</t>
  </si>
  <si>
    <t>ヘルシー</t>
  </si>
  <si>
    <t>ポキ</t>
  </si>
  <si>
    <t>メキシコ料理</t>
  </si>
  <si>
    <t>中華</t>
  </si>
  <si>
    <t>丼</t>
  </si>
  <si>
    <t>和食</t>
  </si>
  <si>
    <t>屋台飯</t>
  </si>
  <si>
    <t>惣菜</t>
  </si>
  <si>
    <t>揚げ鶏</t>
  </si>
  <si>
    <t>海鮮</t>
  </si>
  <si>
    <t>焼き鳥</t>
  </si>
  <si>
    <t>焼飯</t>
  </si>
  <si>
    <t>米</t>
  </si>
  <si>
    <t>野菜</t>
  </si>
  <si>
    <t>鉄板焼</t>
  </si>
  <si>
    <t>魚介類</t>
  </si>
  <si>
    <t>麺類</t>
  </si>
  <si>
    <t>rstcat (eng) raw</t>
  </si>
  <si>
    <t>ice cream</t>
  </si>
  <si>
    <t>Asian Ethnic Cuisine (Other)</t>
  </si>
  <si>
    <t>American cuisine</t>
  </si>
  <si>
    <t>Anko</t>
  </si>
  <si>
    <t>Innovative Fusion</t>
  </si>
  <si>
    <t>Indian curry</t>
  </si>
  <si>
    <t>Indian cuisine</t>
  </si>
  <si>
    <t>Udon</t>
  </si>
  <si>
    <t>eel</t>
  </si>
  <si>
    <t>Oyster bar</t>
  </si>
  <si>
    <t>Oden</t>
  </si>
  <si>
    <t>rice ball</t>
  </si>
  <si>
    <t>Obanzai</t>
  </si>
  <si>
    <t>Omelette rice</t>
  </si>
  <si>
    <t>shaved ice</t>
  </si>
  <si>
    <t>Katsudon / Katsuga</t>
  </si>
  <si>
    <t>Crab</t>
  </si>
  <si>
    <t>Cafe / cafe (other)</t>
  </si>
  <si>
    <t>Kerage</t>
  </si>
  <si>
    <t>Curry (other)</t>
  </si>
  <si>
    <t>Curry udon</t>
  </si>
  <si>
    <t>Curry Rice</t>
  </si>
  <si>
    <t>Kiritanpo</t>
  </si>
  <si>
    <t>cake</t>
  </si>
  <si>
    <t>Coffee specialty store</t>
  </si>
  <si>
    <t>Croquette fly</t>
  </si>
  <si>
    <t>sandwich</t>
  </si>
  <si>
    <t>stew</t>
  </si>
  <si>
    <t>Shabu -shabu</t>
  </si>
  <si>
    <t>Juice bar</t>
  </si>
  <si>
    <t>Schulasco</t>
  </si>
  <si>
    <t>Genghis Khan</t>
  </si>
  <si>
    <t>Sweets (other)</t>
  </si>
  <si>
    <t>Soup Curry</t>
  </si>
  <si>
    <t>Sukiyaki</t>
  </si>
  <si>
    <t>steak</t>
  </si>
  <si>
    <t>Sports bar</t>
  </si>
  <si>
    <t>Rice cracker</t>
  </si>
  <si>
    <t>others</t>
  </si>
  <si>
    <t>Other meat dishes</t>
  </si>
  <si>
    <t>Soba</t>
  </si>
  <si>
    <t>Soba, udon, noodles (others)</t>
  </si>
  <si>
    <t>Soft cream</t>
  </si>
  <si>
    <t>Thai curry</t>
  </si>
  <si>
    <t>Dining bar</t>
  </si>
  <si>
    <t>Thai food</t>
  </si>
  <si>
    <t>Taiyaki / large format</t>
  </si>
  <si>
    <t>Octopus</t>
  </si>
  <si>
    <t>Cock hot pot</t>
  </si>
  <si>
    <t>Champon</t>
  </si>
  <si>
    <t>chocolate</t>
  </si>
  <si>
    <t>tsukemen</t>
  </si>
  <si>
    <t>delicatessen</t>
  </si>
  <si>
    <t>German food</t>
  </si>
  <si>
    <t>donut</t>
  </si>
  <si>
    <t>Dog</t>
  </si>
  <si>
    <t>Dorayaki</t>
  </si>
  <si>
    <t>Pork cutlet</t>
  </si>
  <si>
    <t>Nepalese cuisine</t>
  </si>
  <si>
    <t>bar</t>
  </si>
  <si>
    <t>Bar / liquor (other)</t>
  </si>
  <si>
    <t>barbecue</t>
  </si>
  <si>
    <t>Viking</t>
  </si>
  <si>
    <t>Pakistanian cuisine</t>
  </si>
  <si>
    <t>pasta</t>
  </si>
  <si>
    <t>Pub</t>
  </si>
  <si>
    <t>Hayashi rice</t>
  </si>
  <si>
    <t>Bar Bar</t>
  </si>
  <si>
    <t>bread</t>
  </si>
  <si>
    <t>Bread sandwich (other)</t>
  </si>
  <si>
    <t>pancake</t>
  </si>
  <si>
    <t>hamburger</t>
  </si>
  <si>
    <t>beer garden</t>
  </si>
  <si>
    <t>Beer bar</t>
  </si>
  <si>
    <t>Beer Hall Bear Restaurant</t>
  </si>
  <si>
    <t>pizza</t>
  </si>
  <si>
    <t>Family restaurant</t>
  </si>
  <si>
    <t>Fugu</t>
  </si>
  <si>
    <t>Brazilian cuisine</t>
  </si>
  <si>
    <t>Fruit parlor</t>
  </si>
  <si>
    <t>French</t>
  </si>
  <si>
    <t>Vietnamese food</t>
  </si>
  <si>
    <t>hormone</t>
  </si>
  <si>
    <t>Macaroon</t>
  </si>
  <si>
    <t>Modern French</t>
  </si>
  <si>
    <t>Grilled grilled</t>
  </si>
  <si>
    <t>motsunabe</t>
  </si>
  <si>
    <t>Monjayaki</t>
  </si>
  <si>
    <t>ramen</t>
  </si>
  <si>
    <t>Lounge</t>
  </si>
  <si>
    <t>Restaurant (other)</t>
  </si>
  <si>
    <t>Wine bar</t>
  </si>
  <si>
    <t>Shanghai cuisine</t>
  </si>
  <si>
    <t>Latin American cuisine (others)</t>
  </si>
  <si>
    <t>Chinese tea specialty store</t>
  </si>
  <si>
    <t>Chinese pot ・ hot pot</t>
  </si>
  <si>
    <t>Chinese cuisine</t>
  </si>
  <si>
    <t>Chinese confectionery</t>
  </si>
  <si>
    <t>Chinese noodles (other)</t>
  </si>
  <si>
    <t>Kushiage / Kushikatsu</t>
  </si>
  <si>
    <t>Skewers</t>
  </si>
  <si>
    <t>Bowl food (other)</t>
  </si>
  <si>
    <t>Cold noodle</t>
  </si>
  <si>
    <t>Cooking / small dishes</t>
  </si>
  <si>
    <t>Creative cuisine</t>
  </si>
  <si>
    <t>Taiwanese cuisine</t>
  </si>
  <si>
    <t>Japanese confectionery</t>
  </si>
  <si>
    <t>Japanese food (other)</t>
  </si>
  <si>
    <t>Coffee shop</t>
  </si>
  <si>
    <t>Sichuan cuisine</t>
  </si>
  <si>
    <t>Conveyor belt sushi</t>
  </si>
  <si>
    <t>Mediterranean cuisine</t>
  </si>
  <si>
    <t>Tempura / fried food (others)</t>
  </si>
  <si>
    <t>Tendon / Tenju</t>
  </si>
  <si>
    <t>Student cafeteria</t>
  </si>
  <si>
    <t>Set meal / dining room</t>
  </si>
  <si>
    <t>sushi</t>
  </si>
  <si>
    <t>Izakaya / Dining Bar (Other)</t>
  </si>
  <si>
    <t>Cantonese cuisine</t>
  </si>
  <si>
    <t>Lunch</t>
  </si>
  <si>
    <t>Kaiseki / Kaiseki cuisine</t>
  </si>
  <si>
    <t>Chicken wing</t>
  </si>
  <si>
    <t>Dandan noodles</t>
  </si>
  <si>
    <t>Ryokan / Auberge (Other)</t>
  </si>
  <si>
    <t>Japanese tea specialty store</t>
  </si>
  <si>
    <t>Sake bar</t>
  </si>
  <si>
    <t>Southeast Asian cuisine (other)</t>
  </si>
  <si>
    <t>Ju without juice</t>
  </si>
  <si>
    <t>Okinawan cooking</t>
  </si>
  <si>
    <t>Oil soba</t>
  </si>
  <si>
    <t>Western confectionery (other)</t>
  </si>
  <si>
    <t>Western food</t>
  </si>
  <si>
    <t>Charcoal grilled</t>
  </si>
  <si>
    <t>Stateless cuisine</t>
  </si>
  <si>
    <t>Fried noodles</t>
  </si>
  <si>
    <t>Grilled</t>
  </si>
  <si>
    <t>Grilled meat</t>
  </si>
  <si>
    <t>Shochu bar</t>
  </si>
  <si>
    <t>Grilled bird</t>
  </si>
  <si>
    <t>Ox tongue</t>
  </si>
  <si>
    <t>beef bowl</t>
  </si>
  <si>
    <t>Beef dish</t>
  </si>
  <si>
    <t>Sweet place</t>
  </si>
  <si>
    <t>company cafeteria</t>
  </si>
  <si>
    <t>Standing buckwheat noodles</t>
  </si>
  <si>
    <t>Standing sushi</t>
  </si>
  <si>
    <t>Standing izakaya / bar</t>
  </si>
  <si>
    <t>Meat Man / Chinese Man</t>
  </si>
  <si>
    <t>Natural food</t>
  </si>
  <si>
    <t>Medicine table</t>
  </si>
  <si>
    <t>Western countries (others)</t>
  </si>
  <si>
    <t>Oyakodon</t>
  </si>
  <si>
    <t>Pork shabu</t>
  </si>
  <si>
    <t>Local cuisine (other)</t>
  </si>
  <si>
    <t>Vegetable dish</t>
  </si>
  <si>
    <t>Pot rice</t>
  </si>
  <si>
    <t>Pot (other)</t>
  </si>
  <si>
    <t>Korean cuisine</t>
  </si>
  <si>
    <t>Korean pot</t>
  </si>
  <si>
    <t>Tea drinking and snacks</t>
  </si>
  <si>
    <t>dumpling</t>
  </si>
  <si>
    <t>Horse sashimi</t>
  </si>
  <si>
    <t>Horse meat dish</t>
  </si>
  <si>
    <t>Seafood and seafood dishes</t>
  </si>
  <si>
    <t>Bird food</t>
  </si>
  <si>
    <t>Wheat</t>
  </si>
  <si>
    <t>ice</t>
  </si>
  <si>
    <t>ethnic</t>
  </si>
  <si>
    <t>tea</t>
  </si>
  <si>
    <t>sake</t>
  </si>
  <si>
    <t>curry</t>
  </si>
  <si>
    <t>grill</t>
  </si>
  <si>
    <t>kebab</t>
  </si>
  <si>
    <t>coffee</t>
  </si>
  <si>
    <t>salad</t>
  </si>
  <si>
    <t>sweets</t>
  </si>
  <si>
    <t>soup</t>
  </si>
  <si>
    <t>Smoothie</t>
  </si>
  <si>
    <t>tapioca</t>
  </si>
  <si>
    <t>dessert</t>
  </si>
  <si>
    <t>Drink</t>
  </si>
  <si>
    <t>Halal</t>
  </si>
  <si>
    <t>Brito</t>
  </si>
  <si>
    <t>fruits</t>
  </si>
  <si>
    <t>vegetarian</t>
  </si>
  <si>
    <t>Poki</t>
  </si>
  <si>
    <t>China</t>
  </si>
  <si>
    <t>Stalls</t>
  </si>
  <si>
    <t>seafood</t>
  </si>
  <si>
    <t>rice</t>
  </si>
  <si>
    <t>vegetables</t>
  </si>
  <si>
    <t>noodles</t>
  </si>
  <si>
    <t>Café</t>
  </si>
  <si>
    <t>Beer</t>
  </si>
  <si>
    <t>juice</t>
  </si>
  <si>
    <t>Dessert</t>
  </si>
  <si>
    <t>Western Cuisine</t>
  </si>
  <si>
    <t>Chinese Cuisine</t>
  </si>
  <si>
    <t>Indian Cuisine</t>
  </si>
  <si>
    <t>Japanese Cuisine</t>
  </si>
  <si>
    <t>Korean Cuisine</t>
  </si>
  <si>
    <t>Thai Cuisine</t>
  </si>
  <si>
    <t>Asian Cuisine</t>
  </si>
  <si>
    <t>Hawaiian Cuisine</t>
  </si>
  <si>
    <t>Mediterranean Cuisine</t>
  </si>
  <si>
    <t>Meat</t>
  </si>
  <si>
    <t>Rice</t>
  </si>
  <si>
    <t>Sashimi</t>
  </si>
  <si>
    <t>Taco</t>
  </si>
  <si>
    <t>Birdfood</t>
  </si>
  <si>
    <t>Chickenwings</t>
  </si>
  <si>
    <t>Chinesecuisine</t>
  </si>
  <si>
    <t>Cuisine</t>
  </si>
  <si>
    <t>cupcake</t>
  </si>
  <si>
    <t>duck</t>
  </si>
  <si>
    <t>Friedchicken</t>
  </si>
  <si>
    <t>Friednoodles</t>
  </si>
  <si>
    <t>FriedRice</t>
  </si>
  <si>
    <t>Grilledmeat</t>
  </si>
  <si>
    <t>Indiancuisine</t>
  </si>
  <si>
    <t>Japanesefood</t>
  </si>
  <si>
    <t>Koreancuisine</t>
  </si>
  <si>
    <t>Mexicanfood</t>
  </si>
  <si>
    <t>Nepalesecuisine</t>
  </si>
  <si>
    <t>protein</t>
  </si>
  <si>
    <t>riceball</t>
  </si>
  <si>
    <t>Ricebowl</t>
  </si>
  <si>
    <t>sashimi</t>
  </si>
  <si>
    <t>Sidedish</t>
  </si>
  <si>
    <t>softdrinks</t>
  </si>
  <si>
    <t>SoupCurry</t>
  </si>
  <si>
    <t>Steakhouse</t>
  </si>
  <si>
    <t>Taiwanesecuisine</t>
  </si>
  <si>
    <t>Thaifood</t>
  </si>
  <si>
    <t>Turkishcuisine</t>
  </si>
  <si>
    <t>Vietnamesefood</t>
  </si>
  <si>
    <t>Westernfood</t>
  </si>
  <si>
    <t>wine</t>
  </si>
  <si>
    <t>Bar</t>
  </si>
  <si>
    <t>Others</t>
  </si>
  <si>
    <t>Curry</t>
  </si>
  <si>
    <t>Family</t>
  </si>
  <si>
    <t>Count</t>
  </si>
  <si>
    <t>Count (fx)</t>
  </si>
  <si>
    <t>カップケーキ</t>
  </si>
  <si>
    <t>タコス</t>
  </si>
  <si>
    <t>タンパク質</t>
  </si>
  <si>
    <t>トルコ料理</t>
  </si>
  <si>
    <t>ワイン</t>
  </si>
  <si>
    <t>刺身</t>
  </si>
  <si>
    <t>各国料理</t>
  </si>
  <si>
    <t>手羽</t>
  </si>
  <si>
    <t>点心</t>
  </si>
  <si>
    <t>rstcat (eng) refine</t>
  </si>
  <si>
    <t>rstcat (eng) raw unique</t>
  </si>
  <si>
    <t>Latin America Cuisine</t>
  </si>
  <si>
    <t>Noodle</t>
  </si>
  <si>
    <t>Other</t>
  </si>
  <si>
    <t>initial rstcat</t>
  </si>
  <si>
    <t>渋谷区</t>
  </si>
  <si>
    <t>板橋区</t>
  </si>
  <si>
    <t>狛江市</t>
  </si>
  <si>
    <t>大田区</t>
  </si>
  <si>
    <t>東大和市</t>
  </si>
  <si>
    <t>調布市</t>
  </si>
  <si>
    <t>八王子市</t>
  </si>
  <si>
    <t>品川区</t>
  </si>
  <si>
    <t>目黒区</t>
  </si>
  <si>
    <t>杉並区</t>
  </si>
  <si>
    <t>足立区</t>
  </si>
  <si>
    <t>青梅市</t>
  </si>
  <si>
    <t>三鷹市</t>
  </si>
  <si>
    <t>練馬区</t>
  </si>
  <si>
    <t>府中市</t>
  </si>
  <si>
    <t>立川市</t>
  </si>
  <si>
    <t>中央区</t>
  </si>
  <si>
    <t>羽村市</t>
  </si>
  <si>
    <t>西東京市</t>
  </si>
  <si>
    <t>北区</t>
  </si>
  <si>
    <t>台東区</t>
  </si>
  <si>
    <t>江東区</t>
  </si>
  <si>
    <t>江戸川区</t>
  </si>
  <si>
    <t>葛飾区</t>
  </si>
  <si>
    <t>墨田区</t>
  </si>
  <si>
    <t>町田市</t>
  </si>
  <si>
    <t>世田谷区</t>
  </si>
  <si>
    <t>豊島区</t>
  </si>
  <si>
    <t>新宿区</t>
  </si>
  <si>
    <t>武蔵野市</t>
  </si>
  <si>
    <t>中野区</t>
  </si>
  <si>
    <t>小金井市</t>
  </si>
  <si>
    <t>港区</t>
  </si>
  <si>
    <t>文京区</t>
  </si>
  <si>
    <t>多摩市</t>
  </si>
  <si>
    <t>国分寺市</t>
  </si>
  <si>
    <t>小平市</t>
  </si>
  <si>
    <t>清瀬市</t>
  </si>
  <si>
    <t>東久留米市</t>
  </si>
  <si>
    <t>東村山市</t>
  </si>
  <si>
    <t>瑞穂町</t>
  </si>
  <si>
    <t>昭島市</t>
  </si>
  <si>
    <t>あきる野市</t>
  </si>
  <si>
    <t>福生市</t>
  </si>
  <si>
    <t>日野市</t>
  </si>
  <si>
    <t>荒川区</t>
  </si>
  <si>
    <t>稲城市</t>
  </si>
  <si>
    <t>千代田区</t>
  </si>
  <si>
    <t>武蔵村山市</t>
  </si>
  <si>
    <t>国立市</t>
  </si>
  <si>
    <t>Ward/District</t>
  </si>
  <si>
    <t>区/市/町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</si>
</sst>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quotePrefix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CD8FCE"/>
      <color rgb="FFE49CB6"/>
      <color rgb="FFBD9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192740</xdr:colOff>
      <xdr:row>32</xdr:row>
      <xdr:rowOff>47625</xdr:rowOff>
    </xdr:from>
    <xdr:to>
      <xdr:col>10</xdr:col>
      <xdr:colOff>402291</xdr:colOff>
      <xdr:row>34</xdr:row>
      <xdr:rowOff>142875</xdr:rowOff>
    </xdr:to>
    <xdr:sp macro="" textlink="$L$34">
      <xdr:nvSpPr>
        <xdr:cNvPr id="2" name="Rectangle 1">
          <a:extLst>
            <a:ext uri="{FF2B5EF4-FFF2-40B4-BE49-F238E27FC236}">
              <a16:creationId xmlns:a16="http://schemas.microsoft.com/office/drawing/2014/main" id="{EEC3D887-FE03-E20D-F985-6579E8CCF080}"/>
            </a:ext>
          </a:extLst>
        </xdr:cNvPr>
        <xdr:cNvSpPr/>
      </xdr:nvSpPr>
      <xdr:spPr>
        <a:xfrm>
          <a:off x="9706534" y="6143625"/>
          <a:ext cx="2865345" cy="47625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5585434-35FF-45BA-9F82-56A5ABB7951C}" type="TxLink">
            <a:rPr lang="en-US" sz="1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31</a:t>
          </a:fld>
          <a:r>
            <a:rPr lang="en-US" sz="1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 unique restaurant categories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85725</xdr:rowOff>
    </xdr:from>
    <xdr:to>
      <xdr:col>17</xdr:col>
      <xdr:colOff>466725</xdr:colOff>
      <xdr:row>24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B12C1C-2775-1288-9E5D-A04551EA0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85725"/>
          <a:ext cx="9525000" cy="460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152400</xdr:colOff>
      <xdr:row>1</xdr:row>
      <xdr:rowOff>133351</xdr:rowOff>
    </xdr:from>
    <xdr:to>
      <xdr:col>15</xdr:col>
      <xdr:colOff>428625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8C10D3-1D66-B95D-0168-181D756D5534}"/>
            </a:ext>
          </a:extLst>
        </xdr:cNvPr>
        <xdr:cNvSpPr/>
      </xdr:nvSpPr>
      <xdr:spPr>
        <a:xfrm>
          <a:off x="8934450" y="323851"/>
          <a:ext cx="1495425" cy="581024"/>
        </a:xfrm>
        <a:prstGeom prst="rect">
          <a:avLst/>
        </a:prstGeom>
        <a:solidFill>
          <a:srgbClr val="CD8FCE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23 Ward/</a:t>
          </a:r>
          <a:r>
            <a:rPr lang="zh-SG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区</a:t>
          </a:r>
          <a:r>
            <a:rPr lang="en-SG" sz="1100" baseline="0">
              <a:solidFill>
                <a:sysClr val="windowText" lastClr="000000"/>
              </a:solidFill>
            </a:rPr>
            <a:t> in Tokyo </a:t>
          </a:r>
        </a:p>
        <a:p>
          <a:pPr algn="ctr"/>
          <a:r>
            <a:rPr lang="en-SG" sz="1100" baseline="0">
              <a:solidFill>
                <a:sysClr val="windowText" lastClr="000000"/>
              </a:solidFill>
            </a:rPr>
            <a:t>725 records</a:t>
          </a:r>
        </a:p>
      </xdr:txBody>
    </xdr:sp>
    <xdr:clientData/>
  </xdr:twoCellAnchor>
  <xdr:twoCellAnchor>
    <xdr:from>
      <xdr:col>8</xdr:col>
      <xdr:colOff>504825</xdr:colOff>
      <xdr:row>3</xdr:row>
      <xdr:rowOff>133350</xdr:rowOff>
    </xdr:from>
    <xdr:to>
      <xdr:col>11</xdr:col>
      <xdr:colOff>171450</xdr:colOff>
      <xdr:row>6</xdr:row>
      <xdr:rowOff>95249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94FBFE1-0D39-4E52-BFFF-D097BDF91E58}"/>
            </a:ext>
          </a:extLst>
        </xdr:cNvPr>
        <xdr:cNvSpPr/>
      </xdr:nvSpPr>
      <xdr:spPr>
        <a:xfrm>
          <a:off x="6238875" y="704850"/>
          <a:ext cx="1495425" cy="533399"/>
        </a:xfrm>
        <a:prstGeom prst="rect">
          <a:avLst/>
        </a:prstGeom>
        <a:solidFill>
          <a:srgbClr val="E49CB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26 Cities/</a:t>
          </a:r>
          <a:r>
            <a:rPr lang="zh-SG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市</a:t>
          </a:r>
          <a:r>
            <a:rPr lang="en-SG" sz="1100" baseline="0">
              <a:solidFill>
                <a:sysClr val="windowText" lastClr="000000"/>
              </a:solidFill>
            </a:rPr>
            <a:t> in Tokyo</a:t>
          </a:r>
        </a:p>
        <a:p>
          <a:pPr algn="ctr"/>
          <a:r>
            <a:rPr lang="en-SG" sz="1100" baseline="0">
              <a:solidFill>
                <a:sysClr val="windowText" lastClr="000000"/>
              </a:solidFill>
            </a:rPr>
            <a:t>239 records 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f273327f9926b48/Data%20Visionaries/SAMPLE2C.xlsx" TargetMode="External"/><Relationship Id="rId1" Type="http://schemas.openxmlformats.org/officeDocument/2006/relationships/externalLinkPath" Target="SAMPLE2C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f273327f9926b48/Data%20Visionaries/SAMPLE3C.xlsx" TargetMode="External"/><Relationship Id="rId1" Type="http://schemas.openxmlformats.org/officeDocument/2006/relationships/externalLinkPath" Target="SAMPLE3C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f273327f9926b48/Data%20Visionaries/SAMPLE4C.xlsx" TargetMode="External"/><Relationship Id="rId1" Type="http://schemas.openxmlformats.org/officeDocument/2006/relationships/externalLinkPath" Target="SAMPLE4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2C"/>
      <sheetName val="Sheet1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3C"/>
      <sheetName val="Sheet1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4C"/>
      <sheetName val="Sheet1"/>
    </sheetNames>
    <sheetDataSet>
      <sheetData sheetId="0">
        <row r="1">
          <cell r="R1" t="str">
            <v>VENUE_TAGS</v>
          </cell>
        </row>
        <row r="2">
          <cell r="R2" t="str">
            <v>['弁当', '丼', '和食']</v>
          </cell>
        </row>
        <row r="3">
          <cell r="R3" t="str">
            <v>['和食', 'お寿司', '魚介類']</v>
          </cell>
        </row>
        <row r="4">
          <cell r="R4" t="str">
            <v>['中華', '弁当', '丼']</v>
          </cell>
        </row>
        <row r="5">
          <cell r="R5" t="str">
            <v>['鳥料理', '揚げ鶏', '韓国料理']</v>
          </cell>
        </row>
        <row r="6">
          <cell r="R6" t="str">
            <v>['ピザ']</v>
          </cell>
        </row>
        <row r="7">
          <cell r="R7" t="str">
            <v>['弁当', '丼', '中華']</v>
          </cell>
        </row>
        <row r="8">
          <cell r="R8" t="str">
            <v>['コーヒー', 'デザート', 'ドリンク']</v>
          </cell>
        </row>
        <row r="9">
          <cell r="R9" t="str">
            <v>['中華', '和食', '海鮮']</v>
          </cell>
        </row>
        <row r="10">
          <cell r="R10" t="str">
            <v>['麺類']</v>
          </cell>
        </row>
        <row r="11">
          <cell r="R11" t="str">
            <v>['アイス', 'デザート']</v>
          </cell>
        </row>
        <row r="12">
          <cell r="R12" t="str">
            <v>['丼', 'サラダ', 'カレー']</v>
          </cell>
        </row>
        <row r="13">
          <cell r="R13" t="str">
            <v>['麺類', 'アメリカン', '和食']</v>
          </cell>
        </row>
        <row r="14">
          <cell r="R14" t="str">
            <v>[]</v>
          </cell>
        </row>
        <row r="15">
          <cell r="R15" t="str">
            <v>['韓国料理', '弁当']</v>
          </cell>
        </row>
        <row r="16">
          <cell r="R16" t="str">
            <v>['揚げ鶏', '和食', '弁当']</v>
          </cell>
        </row>
        <row r="17">
          <cell r="R17" t="str">
            <v>['インド料理', 'カレー']</v>
          </cell>
        </row>
        <row r="18">
          <cell r="R18" t="str">
            <v>['インド料理', 'ネパール料理', 'エスニック']</v>
          </cell>
        </row>
        <row r="19">
          <cell r="R19" t="str">
            <v>['弁当', '和食', '丼']</v>
          </cell>
        </row>
        <row r="20">
          <cell r="R20" t="str">
            <v>['麺類', 'ラーメン', 'つけ麺']</v>
          </cell>
        </row>
        <row r="21">
          <cell r="R21" t="str">
            <v>['丼', 'スープ']</v>
          </cell>
        </row>
        <row r="22">
          <cell r="R22" t="str">
            <v>['鳥料理', '焼き鳥']</v>
          </cell>
        </row>
        <row r="23">
          <cell r="R23" t="str">
            <v>['コーヒー']</v>
          </cell>
        </row>
        <row r="24">
          <cell r="R24" t="str">
            <v>['丼', '韓国料理']</v>
          </cell>
        </row>
        <row r="25">
          <cell r="R25" t="str">
            <v>['カレー', '弁当', 'サラダ']</v>
          </cell>
        </row>
        <row r="26">
          <cell r="R26" t="str">
            <v>['ステーキ', 'ステーキハウス', '弁当']</v>
          </cell>
        </row>
        <row r="27">
          <cell r="R27" t="str">
            <v>['弁当', 'イタリアン', 'ドリンク']</v>
          </cell>
        </row>
        <row r="28">
          <cell r="R28" t="str">
            <v>['弁当', '中華', '焼きそば']</v>
          </cell>
        </row>
        <row r="29">
          <cell r="R29" t="str">
            <v>['カレー', 'インド料理']</v>
          </cell>
        </row>
        <row r="30">
          <cell r="R30" t="str">
            <v>['和食', '弁当']</v>
          </cell>
        </row>
        <row r="31">
          <cell r="R31" t="str">
            <v>['丼', '揚げ鶏', '弁当']</v>
          </cell>
        </row>
        <row r="32">
          <cell r="R32" t="str">
            <v>['スープカレー', '和食']</v>
          </cell>
        </row>
        <row r="33">
          <cell r="R33" t="str">
            <v>['弁当', '海鮮', '揚げ鶏']</v>
          </cell>
        </row>
        <row r="34">
          <cell r="R34" t="str">
            <v>['洋食']</v>
          </cell>
        </row>
        <row r="35">
          <cell r="R35" t="str">
            <v>['丼', '中華', '麺類']</v>
          </cell>
        </row>
        <row r="36">
          <cell r="R36" t="str">
            <v>['ラーメン', '麺類']</v>
          </cell>
        </row>
        <row r="37">
          <cell r="R37" t="str">
            <v>['インド料理', 'カレー']</v>
          </cell>
        </row>
        <row r="38">
          <cell r="R38" t="str">
            <v>['丼']</v>
          </cell>
        </row>
        <row r="39">
          <cell r="R39" t="str">
            <v>['イタリアン', 'ピザ']</v>
          </cell>
        </row>
        <row r="40">
          <cell r="R40" t="str">
            <v>['韓国料理', 'スープ']</v>
          </cell>
        </row>
        <row r="41">
          <cell r="R41" t="str">
            <v>['アメリカン', 'デザート']</v>
          </cell>
        </row>
        <row r="42">
          <cell r="R42" t="str">
            <v>['弁当', '丼', '揚げ鶏']</v>
          </cell>
        </row>
        <row r="43">
          <cell r="R43" t="str">
            <v>['ベーカリー']</v>
          </cell>
        </row>
        <row r="44">
          <cell r="R44" t="str">
            <v>['ハンバーガー', 'ピザ']</v>
          </cell>
        </row>
        <row r="45">
          <cell r="R45" t="str">
            <v>['和食', '弁当']</v>
          </cell>
        </row>
        <row r="46">
          <cell r="R46" t="str">
            <v>['ドリンク', 'ラーメン', 'カレー']</v>
          </cell>
        </row>
        <row r="47">
          <cell r="R47" t="str">
            <v>['ケーキ', 'デザート', 'ドリンク']</v>
          </cell>
        </row>
        <row r="48">
          <cell r="R48" t="str">
            <v>['和食', '弁当']</v>
          </cell>
        </row>
        <row r="49">
          <cell r="R49" t="str">
            <v>['ベジタリアン', 'ヴィーガン', 'ヘルシー']</v>
          </cell>
        </row>
        <row r="50">
          <cell r="R50" t="str">
            <v>['丼', '和食']</v>
          </cell>
        </row>
        <row r="51">
          <cell r="R51" t="str">
            <v>['中華', '弁当', '麺類']</v>
          </cell>
        </row>
        <row r="52">
          <cell r="R52" t="str">
            <v>['弁当']</v>
          </cell>
        </row>
        <row r="53">
          <cell r="R53" t="str">
            <v>['弁当', '丼', '和食']</v>
          </cell>
        </row>
        <row r="54">
          <cell r="R54" t="str">
            <v>['アメリカン', '丼', 'カレー']</v>
          </cell>
        </row>
        <row r="55">
          <cell r="R55" t="str">
            <v>['ラーメン', '麺類', '弁当']</v>
          </cell>
        </row>
        <row r="56">
          <cell r="R56" t="str">
            <v>['和食', '麺類', 'うどん']</v>
          </cell>
        </row>
        <row r="57">
          <cell r="R57" t="str">
            <v>['デザート', 'パスタ', 'ピザ']</v>
          </cell>
        </row>
        <row r="58">
          <cell r="R58" t="str">
            <v>['丼', '揚げ鶏', 'サラダ']</v>
          </cell>
        </row>
        <row r="59">
          <cell r="R59" t="str">
            <v>['鳥料理', 'お好み焼き']</v>
          </cell>
        </row>
        <row r="60">
          <cell r="R60" t="str">
            <v>['焼き鳥']</v>
          </cell>
        </row>
        <row r="61">
          <cell r="R61" t="str">
            <v>['和食', 'お寿司', '海鮮']</v>
          </cell>
        </row>
        <row r="62">
          <cell r="R62" t="str">
            <v>['麺類', 'サンドイッチ', 'ベトナム料理']</v>
          </cell>
        </row>
        <row r="63">
          <cell r="R63" t="str">
            <v>['パスタ', 'ピザ', '洋食']</v>
          </cell>
        </row>
        <row r="64">
          <cell r="R64" t="str">
            <v>['丼', 'デザート', '麺類']</v>
          </cell>
        </row>
        <row r="65">
          <cell r="R65" t="str">
            <v>['弁当', 'グリル', '洋食']</v>
          </cell>
        </row>
        <row r="66">
          <cell r="R66" t="str">
            <v>['中華', '和食', 'エスニック']</v>
          </cell>
        </row>
        <row r="67">
          <cell r="R67" t="str">
            <v>['和食', 'カレー', '弁当']</v>
          </cell>
        </row>
        <row r="68">
          <cell r="R68" t="str">
            <v>['丼', 'カレー', '和食']</v>
          </cell>
        </row>
        <row r="69">
          <cell r="R69" t="str">
            <v>['和食', '弁当']</v>
          </cell>
        </row>
        <row r="70">
          <cell r="R70" t="str">
            <v>['和食', '弁当', '丼']</v>
          </cell>
        </row>
        <row r="71">
          <cell r="R71" t="str">
            <v>['スープカレー', 'カレー', '鳥料理']</v>
          </cell>
        </row>
        <row r="72">
          <cell r="R72" t="str">
            <v>['イタリアン', 'パスタ', 'ピザ']</v>
          </cell>
        </row>
        <row r="73">
          <cell r="R73" t="str">
            <v>['スープ', 'カレー', 'ヘルシー']</v>
          </cell>
        </row>
        <row r="74">
          <cell r="R74" t="str">
            <v>['カフェ', '和食', '弁当']</v>
          </cell>
        </row>
        <row r="75">
          <cell r="R75" t="str">
            <v>['デザート', 'スイーツ']</v>
          </cell>
        </row>
        <row r="76">
          <cell r="R76" t="str">
            <v>['麺類', 'ラーメン', 'つけ麺']</v>
          </cell>
        </row>
        <row r="77">
          <cell r="R77" t="str">
            <v>['ベーカリー', 'カフェ', 'コーヒー']</v>
          </cell>
        </row>
        <row r="78">
          <cell r="R78" t="str">
            <v>['ステーキ', '弁当']</v>
          </cell>
        </row>
        <row r="79">
          <cell r="R79" t="str">
            <v>['カレー', 'サラダ']</v>
          </cell>
        </row>
        <row r="80">
          <cell r="R80" t="str">
            <v>['タイ料理', 'カレー', 'お酒']</v>
          </cell>
        </row>
        <row r="81">
          <cell r="R81" t="str">
            <v>['カレー', 'サラダ']</v>
          </cell>
        </row>
        <row r="82">
          <cell r="R82" t="str">
            <v>['ステーキ']</v>
          </cell>
        </row>
        <row r="83">
          <cell r="R83" t="str">
            <v>['弁当', '鳥料理']</v>
          </cell>
        </row>
        <row r="84">
          <cell r="R84" t="str">
            <v>['ステーキ', 'ステーキハウス', '弁当']</v>
          </cell>
        </row>
        <row r="85">
          <cell r="R85" t="str">
            <v>['麺類', 'つけ麺', 'ラーメン']</v>
          </cell>
        </row>
        <row r="86">
          <cell r="R86" t="str">
            <v>['ラーメン', '和食', '麺類']</v>
          </cell>
        </row>
        <row r="87">
          <cell r="R87" t="str">
            <v>['弁当', 'サラダ', 'お茶']</v>
          </cell>
        </row>
        <row r="88">
          <cell r="R88" t="str">
            <v>['エスニック', '丼', '麺類']</v>
          </cell>
        </row>
        <row r="89">
          <cell r="R89" t="str">
            <v>['焼き鳥']</v>
          </cell>
        </row>
        <row r="90">
          <cell r="R90" t="str">
            <v>['丼', '海鮮', '弁当']</v>
          </cell>
        </row>
        <row r="91">
          <cell r="R91" t="str">
            <v>['お寿司', '魚介類', '丼']</v>
          </cell>
        </row>
        <row r="92">
          <cell r="R92" t="str">
            <v>['丼', '和食']</v>
          </cell>
        </row>
        <row r="93">
          <cell r="R93" t="str">
            <v>['韓国料理', 'お酒', 'スープ']</v>
          </cell>
        </row>
        <row r="94">
          <cell r="R94" t="str">
            <v>['ベーカリー', 'カフェ', 'コーヒー']</v>
          </cell>
        </row>
        <row r="95">
          <cell r="R95" t="str">
            <v>['弁当']</v>
          </cell>
        </row>
        <row r="96">
          <cell r="R96" t="str">
            <v>['弁当', '丼', '海鮮']</v>
          </cell>
        </row>
        <row r="97">
          <cell r="R97" t="str">
            <v>['洋食', '弁当']</v>
          </cell>
        </row>
        <row r="98">
          <cell r="R98" t="str">
            <v>['カレー', '弁当']</v>
          </cell>
        </row>
        <row r="99">
          <cell r="R99" t="str">
            <v>['焼きそば', '和食']</v>
          </cell>
        </row>
        <row r="100">
          <cell r="R100" t="str">
            <v>['弁当', '丼', '海鮮']</v>
          </cell>
        </row>
        <row r="101">
          <cell r="R101" t="str">
            <v>['カフェ', 'カレー', 'ドリンク']</v>
          </cell>
        </row>
        <row r="102">
          <cell r="R102" t="str">
            <v>['ピザ', 'イタリアン']</v>
          </cell>
        </row>
        <row r="103">
          <cell r="R103" t="str">
            <v>['丼']</v>
          </cell>
        </row>
        <row r="104">
          <cell r="R104" t="str">
            <v>['丼', '和食']</v>
          </cell>
        </row>
        <row r="105">
          <cell r="R105" t="str">
            <v>['デザート', 'クレープ', 'タピオカ']</v>
          </cell>
        </row>
        <row r="106">
          <cell r="R106" t="str">
            <v>['ハンバーガー']</v>
          </cell>
        </row>
        <row r="107">
          <cell r="R107" t="str">
            <v>['フレンチ', 'ステーキ', 'お酒']</v>
          </cell>
        </row>
        <row r="108">
          <cell r="R108" t="str">
            <v>['和食', '弁当']</v>
          </cell>
        </row>
        <row r="109">
          <cell r="R109" t="str">
            <v>['ベーカリー', 'カフェ', 'コーヒー']</v>
          </cell>
        </row>
        <row r="110">
          <cell r="R110" t="str">
            <v>['タピオカ', 'ベトナム料理', '屋台飯']</v>
          </cell>
        </row>
        <row r="111">
          <cell r="R111" t="str">
            <v>['カフェ']</v>
          </cell>
        </row>
        <row r="112">
          <cell r="R112" t="str">
            <v>['弁当', '中華']</v>
          </cell>
        </row>
        <row r="113">
          <cell r="R113" t="str">
            <v>['弁当']</v>
          </cell>
        </row>
        <row r="114">
          <cell r="R114" t="str">
            <v>['カフェ', 'パスタ', 'クレープ']</v>
          </cell>
        </row>
        <row r="115">
          <cell r="R115" t="str">
            <v>['韓国料理']</v>
          </cell>
        </row>
        <row r="116">
          <cell r="R116" t="str">
            <v>['焼肉']</v>
          </cell>
        </row>
        <row r="117">
          <cell r="R117" t="str">
            <v>['スイーツ', 'デザート', 'サンドイッチ']</v>
          </cell>
        </row>
        <row r="118">
          <cell r="R118" t="str">
            <v>['カレー']</v>
          </cell>
        </row>
        <row r="119">
          <cell r="R119" t="str">
            <v>['コーヒー', 'スイーツ']</v>
          </cell>
        </row>
        <row r="120">
          <cell r="R120" t="str">
            <v>['麺類']</v>
          </cell>
        </row>
        <row r="121">
          <cell r="R121" t="str">
            <v>['鳥料理', '揚げ鶏', '弁当']</v>
          </cell>
        </row>
        <row r="122">
          <cell r="R122" t="str">
            <v>['ドリンク', 'フルーツ', 'ケバブ']</v>
          </cell>
        </row>
        <row r="123">
          <cell r="R123" t="str">
            <v>['コーヒー']</v>
          </cell>
        </row>
        <row r="124">
          <cell r="R124" t="str">
            <v>['サンドイッチ', 'スイーツ', 'デザート']</v>
          </cell>
        </row>
        <row r="125">
          <cell r="R125" t="str">
            <v>['カレー']</v>
          </cell>
        </row>
        <row r="126">
          <cell r="R126" t="str">
            <v>['ドーナツ', 'ドリンク', 'スイーツ']</v>
          </cell>
        </row>
        <row r="127">
          <cell r="R127" t="str">
            <v>['丼', '魚介類', 'サラダ']</v>
          </cell>
        </row>
        <row r="128">
          <cell r="R128" t="str">
            <v>['カレー']</v>
          </cell>
        </row>
        <row r="129">
          <cell r="R129" t="str">
            <v>['弁当', 'カレー']</v>
          </cell>
        </row>
        <row r="130">
          <cell r="R130" t="str">
            <v>['弁当']</v>
          </cell>
        </row>
        <row r="131">
          <cell r="R131" t="str">
            <v>['デザート', 'スイーツ']</v>
          </cell>
        </row>
        <row r="132">
          <cell r="R132" t="str">
            <v>['お酒', '鳥料理', '惣菜']</v>
          </cell>
        </row>
        <row r="133">
          <cell r="R133" t="str">
            <v>['洋食']</v>
          </cell>
        </row>
        <row r="134">
          <cell r="R134" t="str">
            <v>['ベーカリー']</v>
          </cell>
        </row>
        <row r="135">
          <cell r="R135" t="str">
            <v>['カレー', 'インド料理', 'ネパール料理']</v>
          </cell>
        </row>
        <row r="136">
          <cell r="R136" t="str">
            <v>['和食', '海鮮', '丼']</v>
          </cell>
        </row>
        <row r="137">
          <cell r="R137" t="str">
            <v>['カレー']</v>
          </cell>
        </row>
        <row r="138">
          <cell r="R138" t="str">
            <v>['ピザ', '焼き鳥']</v>
          </cell>
        </row>
        <row r="139">
          <cell r="R139" t="str">
            <v>['丼', '魚介類', '海鮮']</v>
          </cell>
        </row>
        <row r="140">
          <cell r="R140" t="str">
            <v>['ベーカリー', 'カフェ', 'コーヒー']</v>
          </cell>
        </row>
        <row r="141">
          <cell r="R141" t="str">
            <v>['スープカレー']</v>
          </cell>
        </row>
        <row r="142">
          <cell r="R142" t="str">
            <v>['スペイン料理', 'パスタ', 'ピザ']</v>
          </cell>
        </row>
        <row r="143">
          <cell r="R143" t="str">
            <v>['中華', '丼', '弁当']</v>
          </cell>
        </row>
        <row r="144">
          <cell r="R144" t="str">
            <v>['和食', 'お寿司', '魚介類']</v>
          </cell>
        </row>
        <row r="145">
          <cell r="R145" t="str">
            <v>['丼', 'ピザ']</v>
          </cell>
        </row>
        <row r="146">
          <cell r="R146" t="str">
            <v>['ラーメン']</v>
          </cell>
        </row>
        <row r="147">
          <cell r="R147" t="str">
            <v>['中華', '丼', '餃子']</v>
          </cell>
        </row>
        <row r="148">
          <cell r="R148" t="str">
            <v>['カレー']</v>
          </cell>
        </row>
        <row r="149">
          <cell r="R149" t="str">
            <v>['デザート', 'パスタ', 'ピザ']</v>
          </cell>
        </row>
        <row r="150">
          <cell r="R150" t="str">
            <v>['洋食']</v>
          </cell>
        </row>
        <row r="151">
          <cell r="R151" t="str">
            <v>['イタリアン', 'パスタ', 'ピザ']</v>
          </cell>
        </row>
        <row r="152">
          <cell r="R152" t="str">
            <v>['ラーメン', '麺類']</v>
          </cell>
        </row>
        <row r="153">
          <cell r="R153" t="str">
            <v>['お寿司', '魚介類', '丼']</v>
          </cell>
        </row>
        <row r="154">
          <cell r="R154" t="str">
            <v>['弁当', '鳥料理', '和食']</v>
          </cell>
        </row>
        <row r="155">
          <cell r="R155" t="str">
            <v>['弁当']</v>
          </cell>
        </row>
        <row r="156">
          <cell r="R156" t="str">
            <v>['デザート', 'パスタ', 'ピザ']</v>
          </cell>
        </row>
        <row r="157">
          <cell r="R157" t="str">
            <v>['和食', '弁当']</v>
          </cell>
        </row>
        <row r="158">
          <cell r="R158" t="str">
            <v>['和食']</v>
          </cell>
        </row>
        <row r="159">
          <cell r="R159" t="str">
            <v>['カフェ', 'コーヒー', 'サンドイッチ']</v>
          </cell>
        </row>
        <row r="160">
          <cell r="R160" t="str">
            <v>['デザート']</v>
          </cell>
        </row>
        <row r="161">
          <cell r="R161" t="str">
            <v>['和食', 'ラーメン', '麺類']</v>
          </cell>
        </row>
        <row r="162">
          <cell r="R162" t="str">
            <v>['麺類', '焼きそば', '鉄板焼']</v>
          </cell>
        </row>
        <row r="163">
          <cell r="R163" t="str">
            <v>['お好み焼き', '和食']</v>
          </cell>
        </row>
        <row r="164">
          <cell r="R164" t="str">
            <v>['アイス', 'デザート']</v>
          </cell>
        </row>
        <row r="165">
          <cell r="R165" t="str">
            <v>['ラーメン', '麺類']</v>
          </cell>
        </row>
        <row r="166">
          <cell r="R166" t="str">
            <v>['麺類', '中華']</v>
          </cell>
        </row>
        <row r="167">
          <cell r="R167" t="str">
            <v>['弁当', '鳥料理', '揚げ鶏']</v>
          </cell>
        </row>
        <row r="168">
          <cell r="R168" t="str">
            <v>['カフェ', 'コーヒー', 'カレー']</v>
          </cell>
        </row>
        <row r="169">
          <cell r="R169" t="str">
            <v>['サンドイッチ']</v>
          </cell>
        </row>
        <row r="170">
          <cell r="R170" t="str">
            <v>['コーヒー']</v>
          </cell>
        </row>
        <row r="171">
          <cell r="R171" t="str">
            <v>['弁当', '和食', '屋台飯']</v>
          </cell>
        </row>
        <row r="172">
          <cell r="R172" t="str">
            <v>['弁当', 'カレー', 'ステーキ']</v>
          </cell>
        </row>
        <row r="173">
          <cell r="R173" t="str">
            <v>['パスタ', 'イタリアン']</v>
          </cell>
        </row>
        <row r="174">
          <cell r="R174" t="str">
            <v>['焼肉', '弁当']</v>
          </cell>
        </row>
        <row r="175">
          <cell r="R175" t="str">
            <v>['韓国料理', '鳥料理']</v>
          </cell>
        </row>
        <row r="176">
          <cell r="R176" t="str">
            <v>['スープカレー']</v>
          </cell>
        </row>
        <row r="177">
          <cell r="R177" t="str">
            <v>['お寿司', '魚介類', '丼']</v>
          </cell>
        </row>
        <row r="178">
          <cell r="R178" t="str">
            <v>['デザート', 'スイーツ', 'サンドイッチ']</v>
          </cell>
        </row>
        <row r="179">
          <cell r="R179" t="str">
            <v>['ハンバーガー']</v>
          </cell>
        </row>
        <row r="180">
          <cell r="R180" t="str">
            <v>['丼', 'カフェ', '和食']</v>
          </cell>
        </row>
        <row r="181">
          <cell r="R181" t="str">
            <v>['ラーメン', 'つけ麺']</v>
          </cell>
        </row>
        <row r="182">
          <cell r="R182" t="str">
            <v>['カフェ', 'サラダ', 'ヘルシー']</v>
          </cell>
        </row>
        <row r="183">
          <cell r="R183" t="str">
            <v>['お寿司', '和食']</v>
          </cell>
        </row>
        <row r="184">
          <cell r="R184" t="str">
            <v>['丼', 'サラダ', 'カレー']</v>
          </cell>
        </row>
        <row r="185">
          <cell r="R185" t="str">
            <v>['お好み焼き']</v>
          </cell>
        </row>
        <row r="186">
          <cell r="R186" t="str">
            <v>['デザート', 'クレープ', 'カフェ']</v>
          </cell>
        </row>
        <row r="187">
          <cell r="R187" t="str">
            <v>['カレー']</v>
          </cell>
        </row>
        <row r="188">
          <cell r="R188" t="str">
            <v>['お酒', 'カレー', 'スープ']</v>
          </cell>
        </row>
        <row r="189">
          <cell r="R189" t="str">
            <v>['カフェ', 'パスタ', '洋食']</v>
          </cell>
        </row>
        <row r="190">
          <cell r="R190" t="str">
            <v>['和食', '天ぷら']</v>
          </cell>
        </row>
        <row r="191">
          <cell r="R191" t="str">
            <v>['お好み焼き']</v>
          </cell>
        </row>
        <row r="192">
          <cell r="R192" t="str">
            <v>['弁当', '丼']</v>
          </cell>
        </row>
        <row r="193">
          <cell r="R193" t="str">
            <v>['和食', '丼', 'お寿司']</v>
          </cell>
        </row>
        <row r="194">
          <cell r="R194" t="str">
            <v>['弁当', '和食', 'カフェ']</v>
          </cell>
        </row>
        <row r="195">
          <cell r="R195" t="str">
            <v>['丼', 'パスタ', 'おにぎり']</v>
          </cell>
        </row>
        <row r="196">
          <cell r="R196" t="str">
            <v>['カフェ', '和食', '弁当']</v>
          </cell>
        </row>
        <row r="197">
          <cell r="R197" t="str">
            <v>['丼', 'ハンバーガー', 'カレー']</v>
          </cell>
        </row>
        <row r="198">
          <cell r="R198" t="str">
            <v>['アイス', 'デザート']</v>
          </cell>
        </row>
        <row r="199">
          <cell r="R199" t="str">
            <v>['カレー', 'インド料理', 'サラダ']</v>
          </cell>
        </row>
        <row r="200">
          <cell r="R200" t="str">
            <v>['デザート']</v>
          </cell>
        </row>
        <row r="201">
          <cell r="R201" t="str">
            <v>['韓国料理', '揚げ鶏']</v>
          </cell>
        </row>
        <row r="202">
          <cell r="R202" t="str">
            <v>['スープカレー', 'カレー']</v>
          </cell>
        </row>
        <row r="203">
          <cell r="R203" t="str">
            <v>['ハンバーガー']</v>
          </cell>
        </row>
        <row r="204">
          <cell r="R204" t="str">
            <v>['弁当', '麺類', 'ラーメン']</v>
          </cell>
        </row>
        <row r="205">
          <cell r="R205" t="str">
            <v>['揚げ鶏', '和食', '弁当']</v>
          </cell>
        </row>
        <row r="206">
          <cell r="R206" t="str">
            <v>['アメリカン', 'ハンバーガー', '揚げ鶏']</v>
          </cell>
        </row>
        <row r="207">
          <cell r="R207" t="str">
            <v>['弁当', 'ステーキ']</v>
          </cell>
        </row>
        <row r="208">
          <cell r="R208" t="str">
            <v>['弁当', '丼', '和食']</v>
          </cell>
        </row>
        <row r="209">
          <cell r="R209" t="str">
            <v>['カレー', 'インド料理', 'ネパール料理']</v>
          </cell>
        </row>
        <row r="210">
          <cell r="R210" t="str">
            <v>['お好み焼き', '麺類']</v>
          </cell>
        </row>
        <row r="211">
          <cell r="R211" t="str">
            <v>['コーヒー', '和食', 'カフェ']</v>
          </cell>
        </row>
        <row r="212">
          <cell r="R212" t="str">
            <v>['弁当']</v>
          </cell>
        </row>
        <row r="213">
          <cell r="R213" t="str">
            <v>['弁当', '台湾料理']</v>
          </cell>
        </row>
        <row r="214">
          <cell r="R214" t="str">
            <v>['イタリアン', 'サラダ']</v>
          </cell>
        </row>
        <row r="215">
          <cell r="R215" t="str">
            <v>['和食', '弁当']</v>
          </cell>
        </row>
        <row r="216">
          <cell r="R216" t="str">
            <v>['デザート', 'クレープ', '各国料理']</v>
          </cell>
        </row>
        <row r="217">
          <cell r="R217" t="str">
            <v>['アメリカン', '揚げ鶏', 'サンドイッチ']</v>
          </cell>
        </row>
        <row r="218">
          <cell r="R218" t="str">
            <v>['デザート', 'クレープ']</v>
          </cell>
        </row>
        <row r="219">
          <cell r="R219" t="str">
            <v>['お好み焼き', '和食']</v>
          </cell>
        </row>
        <row r="220">
          <cell r="R220" t="str">
            <v>['和食', 'ビストロ', '洋食']</v>
          </cell>
        </row>
        <row r="221">
          <cell r="R221" t="str">
            <v>['弁当', 'ステーキ']</v>
          </cell>
        </row>
        <row r="222">
          <cell r="R222" t="str">
            <v>['カレー', 'デザート', 'ドリンク']</v>
          </cell>
        </row>
        <row r="223">
          <cell r="R223" t="str">
            <v>['スイーツ', 'クレープ']</v>
          </cell>
        </row>
        <row r="224">
          <cell r="R224" t="str">
            <v>['スープカレー', 'カレー']</v>
          </cell>
        </row>
        <row r="225">
          <cell r="R225" t="str">
            <v>['弁当']</v>
          </cell>
        </row>
        <row r="226">
          <cell r="R226" t="str">
            <v>['和食', 'ラーメン']</v>
          </cell>
        </row>
        <row r="227">
          <cell r="R227" t="str">
            <v>['和食', 'お寿司', '魚介類']</v>
          </cell>
        </row>
        <row r="228">
          <cell r="R228" t="str">
            <v>['カレー', 'サンドイッチ', 'サラダ']</v>
          </cell>
        </row>
        <row r="229">
          <cell r="R229" t="str">
            <v>['インド料理', 'カレー']</v>
          </cell>
        </row>
        <row r="230">
          <cell r="R230" t="str">
            <v>['カレー', 'インド料理', '米']</v>
          </cell>
        </row>
        <row r="231">
          <cell r="R231" t="str">
            <v>['カレー', '焼飯']</v>
          </cell>
        </row>
        <row r="232">
          <cell r="R232" t="str">
            <v>['丼', '海鮮']</v>
          </cell>
        </row>
        <row r="233">
          <cell r="R233" t="str">
            <v>['和食', 'タイ料理', '鳥料理']</v>
          </cell>
        </row>
        <row r="234">
          <cell r="R234" t="str">
            <v>['ピザ', 'サラダ', '洋食']</v>
          </cell>
        </row>
        <row r="235">
          <cell r="R235" t="str">
            <v>['ヴィーガン']</v>
          </cell>
        </row>
        <row r="236">
          <cell r="R236" t="str">
            <v>['弁当', '丼']</v>
          </cell>
        </row>
        <row r="237">
          <cell r="R237" t="str">
            <v>['米', 'カレー', 'パスタ']</v>
          </cell>
        </row>
        <row r="238">
          <cell r="R238" t="str">
            <v>['ベトナム料理', 'エスニック']</v>
          </cell>
        </row>
        <row r="239">
          <cell r="R239" t="str">
            <v>['焼き鳥', '弁当', '丼']</v>
          </cell>
        </row>
        <row r="240">
          <cell r="R240" t="str">
            <v>['インド料理', 'カレー']</v>
          </cell>
        </row>
        <row r="241">
          <cell r="R241" t="str">
            <v>['麺類']</v>
          </cell>
        </row>
        <row r="242">
          <cell r="R242" t="str">
            <v>['丼', '海鮮', '魚介類']</v>
          </cell>
        </row>
        <row r="243">
          <cell r="R243" t="str">
            <v>['クレープ', 'デザート', 'スイーツ']</v>
          </cell>
        </row>
        <row r="244">
          <cell r="R244" t="str">
            <v>['カレー', 'インド料理']</v>
          </cell>
        </row>
        <row r="245">
          <cell r="R245" t="str">
            <v>['弁当', '和食', '焼き鳥']</v>
          </cell>
        </row>
        <row r="246">
          <cell r="R246" t="str">
            <v>['お酒', '弁当', '丼']</v>
          </cell>
        </row>
        <row r="247">
          <cell r="R247" t="str">
            <v>['麺類', 'お好み焼き', '鉄板焼']</v>
          </cell>
        </row>
        <row r="248">
          <cell r="R248" t="str">
            <v>[]</v>
          </cell>
        </row>
        <row r="249">
          <cell r="R249" t="str">
            <v>['インド料理', 'カレー', 'エスニック']</v>
          </cell>
        </row>
        <row r="250">
          <cell r="R250" t="str">
            <v>['韓国料理', '屋台飯']</v>
          </cell>
        </row>
        <row r="251">
          <cell r="R251" t="str">
            <v>['イタリアン', 'パスタ', 'ピザ']</v>
          </cell>
        </row>
        <row r="252">
          <cell r="R252" t="str">
            <v>['アイス', 'デザート']</v>
          </cell>
        </row>
        <row r="253">
          <cell r="R253" t="str">
            <v>['海鮮', '丼', '和食']</v>
          </cell>
        </row>
        <row r="254">
          <cell r="R254" t="str">
            <v>['弁当', '和食']</v>
          </cell>
        </row>
        <row r="255">
          <cell r="R255" t="str">
            <v>['お寿司']</v>
          </cell>
        </row>
        <row r="256">
          <cell r="R256" t="str">
            <v>['洋食', '弁当']</v>
          </cell>
        </row>
        <row r="257">
          <cell r="R257" t="str">
            <v>['カフェ', 'スイーツ']</v>
          </cell>
        </row>
        <row r="258">
          <cell r="R258" t="str">
            <v>['和食', '麺類']</v>
          </cell>
        </row>
        <row r="259">
          <cell r="R259" t="str">
            <v>['イタリアン', '海鮮', 'パスタ']</v>
          </cell>
        </row>
        <row r="260">
          <cell r="R260" t="str">
            <v>['インド料理']</v>
          </cell>
        </row>
        <row r="261">
          <cell r="R261" t="str">
            <v>['弁当', '和食', '屋台飯']</v>
          </cell>
        </row>
        <row r="262">
          <cell r="R262" t="str">
            <v>['屋台飯', '和食', 'お好み焼き']</v>
          </cell>
        </row>
        <row r="263">
          <cell r="R263" t="str">
            <v>['中華']</v>
          </cell>
        </row>
        <row r="264">
          <cell r="R264" t="str">
            <v>['ベーカリー']</v>
          </cell>
        </row>
        <row r="265">
          <cell r="R265" t="str">
            <v>['ドリンク', 'カフェ', 'サンドイッチ']</v>
          </cell>
        </row>
        <row r="266">
          <cell r="R266" t="str">
            <v>['コーヒー']</v>
          </cell>
        </row>
        <row r="267">
          <cell r="R267" t="str">
            <v>['弁当', '洋食', 'ドリンク']</v>
          </cell>
        </row>
        <row r="268">
          <cell r="R268" t="str">
            <v>['カレー']</v>
          </cell>
        </row>
        <row r="269">
          <cell r="R269" t="str">
            <v>['つけ麺', '麺類']</v>
          </cell>
        </row>
        <row r="270">
          <cell r="R270" t="str">
            <v>['弁当', '和食']</v>
          </cell>
        </row>
        <row r="271">
          <cell r="R271" t="str">
            <v>['丼', 'サラダ', 'カレー']</v>
          </cell>
        </row>
        <row r="272">
          <cell r="R272" t="str">
            <v>['丼', '屋台飯', 'カレー']</v>
          </cell>
        </row>
        <row r="273">
          <cell r="R273" t="str">
            <v>['カフェ', '弁当']</v>
          </cell>
        </row>
        <row r="274">
          <cell r="R274" t="str">
            <v>['海鮮']</v>
          </cell>
        </row>
        <row r="275">
          <cell r="R275" t="str">
            <v>['弁当', '中華', '洋食']</v>
          </cell>
        </row>
        <row r="276">
          <cell r="R276" t="str">
            <v>['カレー', 'インド料理']</v>
          </cell>
        </row>
        <row r="277">
          <cell r="R277" t="str">
            <v>['和食', '弁当', '米']</v>
          </cell>
        </row>
        <row r="278">
          <cell r="R278" t="str">
            <v>['カレー', 'ネパール料理', 'エスニック']</v>
          </cell>
        </row>
        <row r="279">
          <cell r="R279" t="str">
            <v>['ラーメン', '麺類']</v>
          </cell>
        </row>
        <row r="280">
          <cell r="R280" t="str">
            <v>['ステーキ', 'ステーキハウス']</v>
          </cell>
        </row>
        <row r="281">
          <cell r="R281" t="str">
            <v>['弁当', '中華', '麺類']</v>
          </cell>
        </row>
        <row r="282">
          <cell r="R282" t="str">
            <v>['中華', '麺類']</v>
          </cell>
        </row>
        <row r="283">
          <cell r="R283" t="str">
            <v>['カレー', '弁当']</v>
          </cell>
        </row>
        <row r="284">
          <cell r="R284" t="str">
            <v>['弁当', '丼', '和食']</v>
          </cell>
        </row>
        <row r="285">
          <cell r="R285" t="str">
            <v>['丼', 'サラダ', 'カレー']</v>
          </cell>
        </row>
        <row r="286">
          <cell r="R286" t="str">
            <v>['カレー', 'インド料理']</v>
          </cell>
        </row>
        <row r="287">
          <cell r="R287" t="str">
            <v>['コーヒー', 'スイーツ']</v>
          </cell>
        </row>
        <row r="288">
          <cell r="R288" t="str">
            <v>['和食']</v>
          </cell>
        </row>
        <row r="289">
          <cell r="R289" t="str">
            <v>['麺類', 'お好み焼き', '鉄板焼']</v>
          </cell>
        </row>
        <row r="290">
          <cell r="R290" t="str">
            <v>['焼き鳥']</v>
          </cell>
        </row>
        <row r="291">
          <cell r="R291" t="str">
            <v>['魚介類', '海鮮', 'お寿司']</v>
          </cell>
        </row>
        <row r="292">
          <cell r="R292" t="str">
            <v>['お寿司', '和食']</v>
          </cell>
        </row>
        <row r="293">
          <cell r="R293" t="str">
            <v>['イタリアン', '洋食', '弁当']</v>
          </cell>
        </row>
        <row r="294">
          <cell r="R294" t="str">
            <v>['ラーメン', '麺類']</v>
          </cell>
        </row>
        <row r="295">
          <cell r="R295" t="str">
            <v>['揚げ鶏', 'サンドイッチ', '米']</v>
          </cell>
        </row>
        <row r="296">
          <cell r="R296" t="str">
            <v>['和食', '弁当', '丼']</v>
          </cell>
        </row>
        <row r="297">
          <cell r="R297" t="str">
            <v>['アメリカン', '揚げ鶏', 'サンドイッチ']</v>
          </cell>
        </row>
        <row r="298">
          <cell r="R298" t="str">
            <v>['カレー', 'サラダ']</v>
          </cell>
        </row>
        <row r="299">
          <cell r="R299" t="str">
            <v>['ラーメン', '麺類']</v>
          </cell>
        </row>
        <row r="300">
          <cell r="R300" t="str">
            <v>['お好み焼き', '焼き鳥', '焼きそば']</v>
          </cell>
        </row>
        <row r="301">
          <cell r="R301" t="str">
            <v>['カレー']</v>
          </cell>
        </row>
        <row r="302">
          <cell r="R302" t="str">
            <v>['お寿司']</v>
          </cell>
        </row>
        <row r="303">
          <cell r="R303" t="str">
            <v>['ドリンク', '揚げ鶏', '韓国料理']</v>
          </cell>
        </row>
        <row r="304">
          <cell r="R304" t="str">
            <v>['デザート']</v>
          </cell>
        </row>
        <row r="305">
          <cell r="R305" t="str">
            <v>['丼', '米', 'おにぎり']</v>
          </cell>
        </row>
        <row r="306">
          <cell r="R306" t="str">
            <v>['お好み焼き', '屋台飯', '焼きそば']</v>
          </cell>
        </row>
        <row r="307">
          <cell r="R307" t="str">
            <v>['和食', '弁当', '丼']</v>
          </cell>
        </row>
        <row r="308">
          <cell r="R308" t="str">
            <v>['お好み焼き', '鉄板焼']</v>
          </cell>
        </row>
        <row r="309">
          <cell r="R309" t="str">
            <v>['コーヒー', 'カフェ', 'スムージー']</v>
          </cell>
        </row>
        <row r="310">
          <cell r="R310" t="str">
            <v>['カフェ', 'タピオカ']</v>
          </cell>
        </row>
        <row r="311">
          <cell r="R311" t="str">
            <v>['ピザ', 'パスタ']</v>
          </cell>
        </row>
        <row r="312">
          <cell r="R312" t="str">
            <v>['お寿司', '魚介類', '丼']</v>
          </cell>
        </row>
        <row r="313">
          <cell r="R313" t="str">
            <v>['魚介類', '丼']</v>
          </cell>
        </row>
        <row r="314">
          <cell r="R314" t="str">
            <v>['ラーメン']</v>
          </cell>
        </row>
        <row r="315">
          <cell r="R315" t="str">
            <v>['鳥料理', '焼き鳥', 'そば']</v>
          </cell>
        </row>
        <row r="316">
          <cell r="R316" t="str">
            <v>['ハンバーガー', 'イタリアン', 'ピザ']</v>
          </cell>
        </row>
        <row r="317">
          <cell r="R317" t="str">
            <v>['ラーメン', '麺類']</v>
          </cell>
        </row>
        <row r="318">
          <cell r="R318" t="str">
            <v>['イタリアン', 'パスタ', 'ピザ']</v>
          </cell>
        </row>
        <row r="319">
          <cell r="R319" t="str">
            <v>['弁当', 'カレー', 'スイーツ']</v>
          </cell>
        </row>
        <row r="320">
          <cell r="R320" t="str">
            <v>['麺類', 'ラーメン', 'つけ麺']</v>
          </cell>
        </row>
        <row r="321">
          <cell r="R321" t="str">
            <v>['カフェ', 'サンドイッチ', '弁当']</v>
          </cell>
        </row>
        <row r="322">
          <cell r="R322" t="str">
            <v>['カフェ', 'デザート', 'サンドイッチ']</v>
          </cell>
        </row>
        <row r="323">
          <cell r="R323" t="str">
            <v>['デザート', 'スイーツ']</v>
          </cell>
        </row>
        <row r="324">
          <cell r="R324" t="str">
            <v>['焼き鳥', '揚げ鶏']</v>
          </cell>
        </row>
        <row r="325">
          <cell r="R325" t="str">
            <v>['ラーメン', '麺類']</v>
          </cell>
        </row>
        <row r="326">
          <cell r="R326" t="str">
            <v>['デザート', 'スイーツ', '台湾料理']</v>
          </cell>
        </row>
        <row r="327">
          <cell r="R327" t="str">
            <v>['屋台飯']</v>
          </cell>
        </row>
        <row r="328">
          <cell r="R328" t="str">
            <v>['弁当', '揚げ鶏', 'カレー']</v>
          </cell>
        </row>
        <row r="329">
          <cell r="R329" t="str">
            <v>['コーヒー', 'ドリンク']</v>
          </cell>
        </row>
        <row r="330">
          <cell r="R330" t="str">
            <v>['ステーキ']</v>
          </cell>
        </row>
        <row r="331">
          <cell r="R331" t="str">
            <v>['弁当']</v>
          </cell>
        </row>
        <row r="332">
          <cell r="R332" t="str">
            <v>['中華', 'カレー', '点心']</v>
          </cell>
        </row>
        <row r="333">
          <cell r="R333" t="str">
            <v>['タピオカ', 'ドリンク', '台湾料理']</v>
          </cell>
        </row>
        <row r="334">
          <cell r="R334" t="str">
            <v>['カレー', 'インド料理']</v>
          </cell>
        </row>
        <row r="335">
          <cell r="R335" t="str">
            <v>['弁当', '和食', 'カフェ']</v>
          </cell>
        </row>
        <row r="336">
          <cell r="R336" t="str">
            <v>['コーヒー', 'デザート', 'ベーカリー']</v>
          </cell>
        </row>
        <row r="337">
          <cell r="R337" t="str">
            <v>['中華', 'カレー', '麺類']</v>
          </cell>
        </row>
        <row r="338">
          <cell r="R338" t="str">
            <v>['麺類']</v>
          </cell>
        </row>
        <row r="339">
          <cell r="R339" t="str">
            <v>['ピザ', 'アメリカン']</v>
          </cell>
        </row>
        <row r="340">
          <cell r="R340" t="str">
            <v>['野菜', '海鮮']</v>
          </cell>
        </row>
        <row r="341">
          <cell r="R341" t="str">
            <v>['韓国料理', '揚げ鶏', '丼']</v>
          </cell>
        </row>
        <row r="342">
          <cell r="R342" t="str">
            <v>['丼', '刺身', 'お寿司']</v>
          </cell>
        </row>
        <row r="343">
          <cell r="R343" t="str">
            <v>['焼肉', '丼', '鳥料理']</v>
          </cell>
        </row>
        <row r="344">
          <cell r="R344" t="str">
            <v>['焼き鳥', '弁当', '丼']</v>
          </cell>
        </row>
        <row r="345">
          <cell r="R345" t="str">
            <v>['和食', 'お寿司']</v>
          </cell>
        </row>
        <row r="346">
          <cell r="R346" t="str">
            <v>['丼', 'サラダ', 'カレー']</v>
          </cell>
        </row>
        <row r="347">
          <cell r="R347" t="str">
            <v>['タピオカ', 'スイーツ', 'デザート']</v>
          </cell>
        </row>
        <row r="348">
          <cell r="R348" t="str">
            <v>['丼', '弁当']</v>
          </cell>
        </row>
        <row r="349">
          <cell r="R349" t="str">
            <v>['和食', '米', '麺類']</v>
          </cell>
        </row>
        <row r="350">
          <cell r="R350" t="str">
            <v>['カフェ', 'コーヒー']</v>
          </cell>
        </row>
        <row r="351">
          <cell r="R351" t="str">
            <v>['弁当', 'ステーキ']</v>
          </cell>
        </row>
        <row r="352">
          <cell r="R352" t="str">
            <v>['エスニック', 'サンドイッチ', '丼']</v>
          </cell>
        </row>
        <row r="353">
          <cell r="R353" t="str">
            <v>['餃子', '弁当']</v>
          </cell>
        </row>
        <row r="354">
          <cell r="R354" t="str">
            <v>['カレー', '各国料理', '麺類']</v>
          </cell>
        </row>
        <row r="355">
          <cell r="R355" t="str">
            <v>['韓国料理', '揚げ鶏']</v>
          </cell>
        </row>
        <row r="356">
          <cell r="R356" t="str">
            <v>['焼き鳥', '弁当']</v>
          </cell>
        </row>
        <row r="357">
          <cell r="R357" t="str">
            <v>['イタリアン', 'ピザ']</v>
          </cell>
        </row>
        <row r="358">
          <cell r="R358" t="str">
            <v>['お寿司', '魚介類', '丼']</v>
          </cell>
        </row>
        <row r="359">
          <cell r="R359" t="str">
            <v>['アメリカン', '揚げ鶏', 'サンドイッチ']</v>
          </cell>
        </row>
        <row r="360">
          <cell r="R360" t="str">
            <v>['お寿司', '魚介類', '丼']</v>
          </cell>
        </row>
        <row r="361">
          <cell r="R361" t="str">
            <v>['弁当', '和食', '屋台飯']</v>
          </cell>
        </row>
        <row r="362">
          <cell r="R362" t="str">
            <v>['タピオカ', 'ドリンク']</v>
          </cell>
        </row>
        <row r="363">
          <cell r="R363" t="str">
            <v>['カフェ', 'コーヒー', 'スイーツ']</v>
          </cell>
        </row>
        <row r="364">
          <cell r="R364" t="str">
            <v>['ラーメン', '麺類']</v>
          </cell>
        </row>
        <row r="365">
          <cell r="R365" t="str">
            <v>['カフェ']</v>
          </cell>
        </row>
        <row r="366">
          <cell r="R366" t="str">
            <v>['弁当', '麺類']</v>
          </cell>
        </row>
        <row r="367">
          <cell r="R367" t="str">
            <v>['鳥料理', '中華料理']</v>
          </cell>
        </row>
        <row r="368">
          <cell r="R368" t="str">
            <v>['ラーメン', '焼飯', '中華']</v>
          </cell>
        </row>
        <row r="369">
          <cell r="R369" t="str">
            <v>['スムージー', 'ヘルシー', 'デザート']</v>
          </cell>
        </row>
        <row r="370">
          <cell r="R370" t="str">
            <v>['鳥料理', 'サンドイッチ', 'ドリンク']</v>
          </cell>
        </row>
        <row r="371">
          <cell r="R371" t="str">
            <v>['弁当', '鳥料理', '揚げ鶏']</v>
          </cell>
        </row>
        <row r="372">
          <cell r="R372" t="str">
            <v>['弁当']</v>
          </cell>
        </row>
        <row r="373">
          <cell r="R373" t="str">
            <v>['ハンバーガー', '洋食', 'スムージー']</v>
          </cell>
        </row>
        <row r="374">
          <cell r="R374" t="str">
            <v>['イタリアン', 'ピザ', 'パスタ']</v>
          </cell>
        </row>
        <row r="375">
          <cell r="R375" t="str">
            <v>['中華', 'お酒', '麺類']</v>
          </cell>
        </row>
        <row r="376">
          <cell r="R376" t="str">
            <v>['お寿司', '和食', '海鮮']</v>
          </cell>
        </row>
        <row r="377">
          <cell r="R377" t="str">
            <v>['弁当', '丼', '和食']</v>
          </cell>
        </row>
        <row r="378">
          <cell r="R378" t="str">
            <v>['中華', '揚げ鶏', '焼飯']</v>
          </cell>
        </row>
        <row r="379">
          <cell r="R379" t="str">
            <v>['弁当', '和食']</v>
          </cell>
        </row>
        <row r="380">
          <cell r="R380" t="str">
            <v>['弁当']</v>
          </cell>
        </row>
        <row r="381">
          <cell r="R381" t="str">
            <v>['ラーメン', '麺類']</v>
          </cell>
        </row>
        <row r="382">
          <cell r="R382" t="str">
            <v>['中華', '焼きそば', '焼飯']</v>
          </cell>
        </row>
        <row r="383">
          <cell r="R383" t="str">
            <v>['ケバブ', 'ハラール']</v>
          </cell>
        </row>
        <row r="384">
          <cell r="R384" t="str">
            <v>['和食']</v>
          </cell>
        </row>
        <row r="385">
          <cell r="R385" t="str">
            <v>['弁当', '丼', '和食']</v>
          </cell>
        </row>
        <row r="386">
          <cell r="R386" t="str">
            <v>['弁当', '丼', 'カレー']</v>
          </cell>
        </row>
        <row r="387">
          <cell r="R387" t="str">
            <v>['アメリカン', '揚げ鶏', 'サンドイッチ']</v>
          </cell>
        </row>
        <row r="388">
          <cell r="R388" t="str">
            <v>['海鮮', '丼', 'ヘルシー']</v>
          </cell>
        </row>
        <row r="389">
          <cell r="R389" t="str">
            <v>['焼き鳥', '丼', '和食']</v>
          </cell>
        </row>
        <row r="390">
          <cell r="R390" t="str">
            <v>['お寿司', '丼', '和食']</v>
          </cell>
        </row>
        <row r="391">
          <cell r="R391" t="str">
            <v>['デザート', '洋食', 'サラダ']</v>
          </cell>
        </row>
        <row r="392">
          <cell r="R392" t="str">
            <v>['ケーキ', 'アイス', 'スイーツ']</v>
          </cell>
        </row>
        <row r="393">
          <cell r="R393" t="str">
            <v>['鳥料理', '和食', '弁当']</v>
          </cell>
        </row>
        <row r="394">
          <cell r="R394" t="str">
            <v>['弁当', '丼', 'パスタ']</v>
          </cell>
        </row>
        <row r="395">
          <cell r="R395" t="str">
            <v>['和食', 'お寿司']</v>
          </cell>
        </row>
        <row r="396">
          <cell r="R396" t="str">
            <v>['焼き鳥', '弁当']</v>
          </cell>
        </row>
        <row r="397">
          <cell r="R397" t="str">
            <v>['ラーメン', '麺類']</v>
          </cell>
        </row>
        <row r="398">
          <cell r="R398" t="str">
            <v>['bistro', 'ステーキ']</v>
          </cell>
        </row>
        <row r="399">
          <cell r="R399" t="str">
            <v>['タイ料理', 'エスニック']</v>
          </cell>
        </row>
        <row r="400">
          <cell r="R400" t="str">
            <v>['海鮮', '刺身']</v>
          </cell>
        </row>
        <row r="401">
          <cell r="R401" t="str">
            <v>['カレー']</v>
          </cell>
        </row>
        <row r="402">
          <cell r="R402" t="str">
            <v>['カレー', 'ヘルシー']</v>
          </cell>
        </row>
        <row r="403">
          <cell r="R403" t="str">
            <v>['ヴィーガン', 'ヘルシー', '弁当']</v>
          </cell>
        </row>
        <row r="404">
          <cell r="R404" t="str">
            <v>['ラーメン', '麺類']</v>
          </cell>
        </row>
        <row r="405">
          <cell r="R405" t="str">
            <v>['イタリアン', 'パスタ', 'ピザ']</v>
          </cell>
        </row>
        <row r="406">
          <cell r="R406" t="str">
            <v>['パスタ', 'ピザ', 'イタリアン']</v>
          </cell>
        </row>
        <row r="407">
          <cell r="R407" t="str">
            <v>['コーヒー', 'スイーツ']</v>
          </cell>
        </row>
        <row r="408">
          <cell r="R408" t="str">
            <v>['カフェ', 'コーヒー']</v>
          </cell>
        </row>
        <row r="409">
          <cell r="R409" t="str">
            <v>['ピザ']</v>
          </cell>
        </row>
        <row r="410">
          <cell r="R410" t="str">
            <v>['ベーカリー', 'カフェ', 'コーヒー']</v>
          </cell>
        </row>
        <row r="411">
          <cell r="R411" t="str">
            <v>['ケバブ', 'トルコ料理']</v>
          </cell>
        </row>
        <row r="412">
          <cell r="R412" t="str">
            <v>['イタリアン', 'パスタ', 'ピザ']</v>
          </cell>
        </row>
        <row r="413">
          <cell r="R413" t="str">
            <v>['鳥料理', 'duck', '焼飯']</v>
          </cell>
        </row>
        <row r="414">
          <cell r="R414" t="str">
            <v>['丼', 'お寿司', '和食']</v>
          </cell>
        </row>
        <row r="415">
          <cell r="R415" t="str">
            <v>['スープカレー', 'カレー']</v>
          </cell>
        </row>
        <row r="416">
          <cell r="R416" t="str">
            <v>['アメリカン', '揚げ鶏', 'サンドイッチ']</v>
          </cell>
        </row>
        <row r="417">
          <cell r="R417" t="str">
            <v>['麺類', 'ラーメン', 'つけ麺']</v>
          </cell>
        </row>
        <row r="418">
          <cell r="R418" t="str">
            <v>['ケーキ', '惣菜', 'フレンチ']</v>
          </cell>
        </row>
        <row r="419">
          <cell r="R419" t="str">
            <v>['パスタ', 'イタリアン', 'グリル']</v>
          </cell>
        </row>
        <row r="420">
          <cell r="R420" t="str">
            <v>['ハンバーガー', 'ヘルシー']</v>
          </cell>
        </row>
        <row r="421">
          <cell r="R421" t="str">
            <v>['韓国料理']</v>
          </cell>
        </row>
        <row r="422">
          <cell r="R422" t="str">
            <v>['丼', '海鮮', '魚介類']</v>
          </cell>
        </row>
        <row r="423">
          <cell r="R423" t="str">
            <v>['ハンバーガー', 'サンドイッチ', 'ピザ']</v>
          </cell>
        </row>
        <row r="424">
          <cell r="R424" t="str">
            <v>['お酒']</v>
          </cell>
        </row>
        <row r="425">
          <cell r="R425" t="str">
            <v>['うどん', '麺類', '天ぷら']</v>
          </cell>
        </row>
        <row r="426">
          <cell r="R426" t="str">
            <v>['和食', '丼', '弁当']</v>
          </cell>
        </row>
        <row r="427">
          <cell r="R427" t="str">
            <v>['フレンチ', '弁当']</v>
          </cell>
        </row>
        <row r="428">
          <cell r="R428" t="str">
            <v>['ベーカリー', 'デザート', 'カフェ']</v>
          </cell>
        </row>
        <row r="429">
          <cell r="R429" t="str">
            <v>['パスタ', 'カフェ', 'サンドイッチ']</v>
          </cell>
        </row>
        <row r="430">
          <cell r="R430" t="str">
            <v>['麺類', 'パスタ']</v>
          </cell>
        </row>
        <row r="431">
          <cell r="R431" t="str">
            <v>['和食', '麺類', 'うどん']</v>
          </cell>
        </row>
        <row r="432">
          <cell r="R432" t="str">
            <v>['和食', '弁当']</v>
          </cell>
        </row>
        <row r="433">
          <cell r="R433" t="str">
            <v>['中華', '餃子']</v>
          </cell>
        </row>
        <row r="434">
          <cell r="R434" t="str">
            <v>['弁当', '丼']</v>
          </cell>
        </row>
        <row r="435">
          <cell r="R435" t="str">
            <v>['お好み焼き', '焼きそば', '麺類']</v>
          </cell>
        </row>
        <row r="436">
          <cell r="R436" t="str">
            <v>['ベーカリー']</v>
          </cell>
        </row>
        <row r="437">
          <cell r="R437" t="str">
            <v>['中華', '弁当']</v>
          </cell>
        </row>
        <row r="438">
          <cell r="R438" t="str">
            <v>['お酒', 'ビール', 'イタリアン']</v>
          </cell>
        </row>
        <row r="439">
          <cell r="R439" t="str">
            <v>['ベトナム料理', 'ドリンク']</v>
          </cell>
        </row>
        <row r="440">
          <cell r="R440" t="str">
            <v>['韓国料理', 'スイーツ']</v>
          </cell>
        </row>
        <row r="441">
          <cell r="R441" t="str">
            <v>['カレー', 'スープカレー', 'スイーツ']</v>
          </cell>
        </row>
        <row r="442">
          <cell r="R442" t="str">
            <v>['メキシコ料理', 'タコス', '屋台飯']</v>
          </cell>
        </row>
        <row r="443">
          <cell r="R443" t="str">
            <v>['コーヒー', 'カフェ']</v>
          </cell>
        </row>
        <row r="444">
          <cell r="R444" t="str">
            <v>['丼', '麺類']</v>
          </cell>
        </row>
        <row r="445">
          <cell r="R445" t="str">
            <v>['カレー', '麺類', 'パスタ']</v>
          </cell>
        </row>
        <row r="446">
          <cell r="R446" t="str">
            <v>['カフェ', 'タピオカ', 'スイーツ']</v>
          </cell>
        </row>
        <row r="447">
          <cell r="R447" t="str">
            <v>['カレー', '各国料理', '麺類']</v>
          </cell>
        </row>
        <row r="448">
          <cell r="R448" t="str">
            <v>['丼', '麺類', 'うどん']</v>
          </cell>
        </row>
        <row r="449">
          <cell r="R449" t="str">
            <v>['和食', 'うなぎ']</v>
          </cell>
        </row>
        <row r="450">
          <cell r="R450" t="str">
            <v>['ピザ', 'パスタ', 'イタリアン']</v>
          </cell>
        </row>
        <row r="451">
          <cell r="R451" t="str">
            <v>['コーヒー', 'サンドイッチ', 'juice']</v>
          </cell>
        </row>
        <row r="452">
          <cell r="R452" t="str">
            <v>['魚介類', 'お寿司', '丼']</v>
          </cell>
        </row>
        <row r="453">
          <cell r="R453" t="str">
            <v>['和食']</v>
          </cell>
        </row>
        <row r="454">
          <cell r="R454" t="str">
            <v>['ベーカリー']</v>
          </cell>
        </row>
        <row r="455">
          <cell r="R455" t="str">
            <v>['メキシコ料理', '米', 'サラダ']</v>
          </cell>
        </row>
        <row r="456">
          <cell r="R456" t="str">
            <v>['和食', '丼']</v>
          </cell>
        </row>
        <row r="457">
          <cell r="R457" t="str">
            <v>['ハンバーガー', '揚げ鶏', 'スイーツ']</v>
          </cell>
        </row>
        <row r="458">
          <cell r="R458" t="str">
            <v>['惣菜', '和食', '麺類']</v>
          </cell>
        </row>
        <row r="459">
          <cell r="R459" t="str">
            <v>['中華', 'スープ', '鳥料理']</v>
          </cell>
        </row>
        <row r="460">
          <cell r="R460" t="str">
            <v>['アメリカン']</v>
          </cell>
        </row>
        <row r="461">
          <cell r="R461" t="str">
            <v>['弁当', '韓国料理']</v>
          </cell>
        </row>
        <row r="462">
          <cell r="R462" t="str">
            <v>['焼き鳥', '弁当', 'グリル']</v>
          </cell>
        </row>
        <row r="463">
          <cell r="R463" t="str">
            <v>['イタリアン', 'ピザ', '麺類']</v>
          </cell>
        </row>
        <row r="464">
          <cell r="R464" t="str">
            <v>['台湾料理', '中華', '点心']</v>
          </cell>
        </row>
        <row r="465">
          <cell r="R465" t="str">
            <v>['イタリアン', 'ピザ', 'パスタ']</v>
          </cell>
        </row>
        <row r="466">
          <cell r="R466" t="str">
            <v>['イタリアン']</v>
          </cell>
        </row>
        <row r="467">
          <cell r="R467" t="str">
            <v>['洋食']</v>
          </cell>
        </row>
        <row r="468">
          <cell r="R468" t="str">
            <v>['そば', 'うどん', '丼']</v>
          </cell>
        </row>
        <row r="469">
          <cell r="R469" t="str">
            <v>['エスニック', '鳥料理', '弁当']</v>
          </cell>
        </row>
        <row r="470">
          <cell r="R470" t="str">
            <v>['デザート', '洋食', 'soft drinks']</v>
          </cell>
        </row>
        <row r="471">
          <cell r="R471" t="str">
            <v>['揚げ鶏', '餃子']</v>
          </cell>
        </row>
        <row r="472">
          <cell r="R472" t="str">
            <v>['弁当', '丼', '惣菜']</v>
          </cell>
        </row>
        <row r="473">
          <cell r="R473" t="str">
            <v>['洋食', 'サラダ', 'カレー']</v>
          </cell>
        </row>
        <row r="474">
          <cell r="R474" t="str">
            <v>['ドリンク', 'メキシコ料理', '米']</v>
          </cell>
        </row>
        <row r="475">
          <cell r="R475" t="str">
            <v>['デザート', 'パスタ', 'ピザ']</v>
          </cell>
        </row>
        <row r="476">
          <cell r="R476" t="str">
            <v>['コーヒー', 'スイーツ']</v>
          </cell>
        </row>
        <row r="477">
          <cell r="R477" t="str">
            <v>['和食', 'カレー', '弁当']</v>
          </cell>
        </row>
        <row r="478">
          <cell r="R478" t="str">
            <v>['ラーメン', '麺類']</v>
          </cell>
        </row>
        <row r="479">
          <cell r="R479" t="str">
            <v>['お好み焼き', '鉄板焼']</v>
          </cell>
        </row>
        <row r="480">
          <cell r="R480" t="str">
            <v>['弁当', 'お寿司', '和食']</v>
          </cell>
        </row>
        <row r="481">
          <cell r="R481" t="str">
            <v>['丼', '麺類', 'ラーメン']</v>
          </cell>
        </row>
        <row r="482">
          <cell r="R482" t="str">
            <v>['カフェ']</v>
          </cell>
        </row>
        <row r="483">
          <cell r="R483" t="str">
            <v>['ラーメン', '麺類', '和食']</v>
          </cell>
        </row>
        <row r="484">
          <cell r="R484" t="str">
            <v>[]</v>
          </cell>
        </row>
        <row r="485">
          <cell r="R485" t="str">
            <v>['ピザ', 'ステーキ']</v>
          </cell>
        </row>
        <row r="486">
          <cell r="R486" t="str">
            <v>['エスニック', '中華', '麺類']</v>
          </cell>
        </row>
        <row r="487">
          <cell r="R487" t="str">
            <v>['和食']</v>
          </cell>
        </row>
        <row r="488">
          <cell r="R488" t="str">
            <v>['つけ麺', '麺類']</v>
          </cell>
        </row>
        <row r="489">
          <cell r="R489" t="str">
            <v>['カレー']</v>
          </cell>
        </row>
        <row r="490">
          <cell r="R490" t="str">
            <v>['弁当', '丼', '和食']</v>
          </cell>
        </row>
        <row r="491">
          <cell r="R491" t="str">
            <v>['コーヒー', 'スイーツ']</v>
          </cell>
        </row>
        <row r="492">
          <cell r="R492" t="str">
            <v>['フレンチ', 'サラダ', 'ステーキ']</v>
          </cell>
        </row>
        <row r="493">
          <cell r="R493" t="str">
            <v>['弁当']</v>
          </cell>
        </row>
        <row r="494">
          <cell r="R494" t="str">
            <v>['お好み焼き', '焼きそば']</v>
          </cell>
        </row>
        <row r="495">
          <cell r="R495" t="str">
            <v>['タピオカ', 'スムージー']</v>
          </cell>
        </row>
        <row r="496">
          <cell r="R496" t="str">
            <v>['ベーカリー', 'サンドイッチ']</v>
          </cell>
        </row>
        <row r="497">
          <cell r="R497" t="str">
            <v>['弁当']</v>
          </cell>
        </row>
        <row r="498">
          <cell r="R498" t="str">
            <v>['鉄板焼', '焼きそば', 'お好み焼き']</v>
          </cell>
        </row>
        <row r="499">
          <cell r="R499" t="str">
            <v>['カフェ', 'デザート', 'コーヒー']</v>
          </cell>
        </row>
        <row r="500">
          <cell r="R500" t="str">
            <v>['コーヒー', 'カフェ', 'スムージー']</v>
          </cell>
        </row>
        <row r="501">
          <cell r="R501" t="str">
            <v>['弁当', '揚げ鶏', '韓国料理']</v>
          </cell>
        </row>
        <row r="502">
          <cell r="R502" t="str">
            <v>['ラーメン', '丼', '揚げ鶏']</v>
          </cell>
        </row>
        <row r="503">
          <cell r="R503" t="str">
            <v>['丼', '和食', 'お寿司']</v>
          </cell>
        </row>
        <row r="504">
          <cell r="R504" t="str">
            <v>['麺類', 'つけ麺']</v>
          </cell>
        </row>
        <row r="505">
          <cell r="R505" t="str">
            <v>['おにぎり']</v>
          </cell>
        </row>
        <row r="506">
          <cell r="R506" t="str">
            <v>['カフェ', 'コーヒー', 'デザート']</v>
          </cell>
        </row>
        <row r="507">
          <cell r="R507" t="str">
            <v>['麺類', 'うどん', '和食']</v>
          </cell>
        </row>
        <row r="508">
          <cell r="R508" t="str">
            <v>['ラーメン', '麺類', '弁当']</v>
          </cell>
        </row>
        <row r="509">
          <cell r="R509" t="str">
            <v>['中華', 'エスニック', 'お酒']</v>
          </cell>
        </row>
        <row r="510">
          <cell r="R510" t="str">
            <v>['洋食']</v>
          </cell>
        </row>
        <row r="511">
          <cell r="R511" t="str">
            <v>['丼', '天ぷら', 'カレー']</v>
          </cell>
        </row>
        <row r="512">
          <cell r="R512" t="str">
            <v>['うどん', '和食']</v>
          </cell>
        </row>
        <row r="513">
          <cell r="R513" t="str">
            <v>['ハンバーガー', 'サンドイッチ', 'カフェ']</v>
          </cell>
        </row>
        <row r="514">
          <cell r="R514" t="str">
            <v>['中華', '餃子', '魚介類']</v>
          </cell>
        </row>
        <row r="515">
          <cell r="R515" t="str">
            <v>['サラダ', '海鮮', 'パスタ']</v>
          </cell>
        </row>
        <row r="516">
          <cell r="R516" t="str">
            <v>['揚げ鶏', '麺類', '鳥料理']</v>
          </cell>
        </row>
        <row r="517">
          <cell r="R517" t="str">
            <v>['アメリカン', '揚げ鶏', 'サンドイッチ']</v>
          </cell>
        </row>
        <row r="518">
          <cell r="R518" t="str">
            <v>['和食', 'ステーキ']</v>
          </cell>
        </row>
        <row r="519">
          <cell r="R519" t="str">
            <v>['中華', '焼飯']</v>
          </cell>
        </row>
        <row r="520">
          <cell r="R520" t="str">
            <v>['中華', '麺類']</v>
          </cell>
        </row>
        <row r="521">
          <cell r="R521" t="str">
            <v>['ステーキ', 'ステーキハウス', '弁当']</v>
          </cell>
        </row>
        <row r="522">
          <cell r="R522" t="str">
            <v>['和食', '丼']</v>
          </cell>
        </row>
        <row r="523">
          <cell r="R523" t="str">
            <v>['和食', '焼き鳥']</v>
          </cell>
        </row>
        <row r="524">
          <cell r="R524" t="str">
            <v>['イタリアン', '和食', '揚げ鶏']</v>
          </cell>
        </row>
        <row r="525">
          <cell r="R525" t="str">
            <v>['海鮮', '弁当']</v>
          </cell>
        </row>
        <row r="526">
          <cell r="R526" t="str">
            <v>['麺類']</v>
          </cell>
        </row>
        <row r="527">
          <cell r="R527" t="str">
            <v>['鉄板焼', 'うどん', '麺類']</v>
          </cell>
        </row>
        <row r="528">
          <cell r="R528" t="str">
            <v>['弁当', '丼', '惣菜']</v>
          </cell>
        </row>
        <row r="529">
          <cell r="R529" t="str">
            <v>['鳥料理', '揚げ鶏', '手羽']</v>
          </cell>
        </row>
        <row r="530">
          <cell r="R530" t="str">
            <v>['鳥料理', '揚げ鶏', 'タピオカ']</v>
          </cell>
        </row>
        <row r="531">
          <cell r="R531" t="str">
            <v>['ピザ']</v>
          </cell>
        </row>
        <row r="532">
          <cell r="R532" t="str">
            <v>['和食', 'お寿司', '魚介類']</v>
          </cell>
        </row>
        <row r="533">
          <cell r="R533" t="str">
            <v>['イタリアン', 'ピザ']</v>
          </cell>
        </row>
        <row r="534">
          <cell r="R534" t="str">
            <v>['アメリカン', '揚げ鶏', 'サンドイッチ']</v>
          </cell>
        </row>
        <row r="535">
          <cell r="R535" t="str">
            <v>['丼', 'サラダ', 'カレー']</v>
          </cell>
        </row>
        <row r="536">
          <cell r="R536" t="str">
            <v>['ドリンク', 'タピオカ', 'お茶']</v>
          </cell>
        </row>
        <row r="537">
          <cell r="R537" t="str">
            <v>['焼き鳥']</v>
          </cell>
        </row>
        <row r="538">
          <cell r="R538" t="str">
            <v>['イタリアン', 'ピザ', 'パスタ']</v>
          </cell>
        </row>
        <row r="539">
          <cell r="R539" t="str">
            <v>['グリル', '洋食']</v>
          </cell>
        </row>
        <row r="540">
          <cell r="R540" t="str">
            <v>['サラダ', 'ヘルシー', 'スープ']</v>
          </cell>
        </row>
        <row r="541">
          <cell r="R541" t="str">
            <v>['弁当', 'カレー']</v>
          </cell>
        </row>
        <row r="542">
          <cell r="R542" t="str">
            <v>['ステーキ', 'ステーキハウス']</v>
          </cell>
        </row>
        <row r="543">
          <cell r="R543" t="str">
            <v>['コーヒー', 'スイーツ']</v>
          </cell>
        </row>
        <row r="544">
          <cell r="R544" t="str">
            <v>['ドリンク', 'イタリアン', 'パスタ']</v>
          </cell>
        </row>
        <row r="545">
          <cell r="R545" t="str">
            <v>['ハンバーガー']</v>
          </cell>
        </row>
        <row r="546">
          <cell r="R546" t="str">
            <v>['デザート', 'パスタ', 'ピザ']</v>
          </cell>
        </row>
        <row r="547">
          <cell r="R547" t="str">
            <v>['アイス', 'デザート']</v>
          </cell>
        </row>
        <row r="548">
          <cell r="R548" t="str">
            <v>['弁当', 'ステーキ', '洋食']</v>
          </cell>
        </row>
        <row r="549">
          <cell r="R549" t="str">
            <v>['パスタ', 'サラダ', 'ピザ']</v>
          </cell>
        </row>
        <row r="550">
          <cell r="R550" t="str">
            <v>['魚介類', '海鮮', 'お寿司']</v>
          </cell>
        </row>
        <row r="551">
          <cell r="R551" t="str">
            <v>['鳥料理', '魚介類', '海鮮']</v>
          </cell>
        </row>
        <row r="552">
          <cell r="R552" t="str">
            <v>[]</v>
          </cell>
        </row>
        <row r="553">
          <cell r="R553" t="str">
            <v>['カレー', 'ステーキ']</v>
          </cell>
        </row>
        <row r="554">
          <cell r="R554" t="str">
            <v>['カフェ', 'ドリンク', 'パスタ']</v>
          </cell>
        </row>
        <row r="555">
          <cell r="R555" t="str">
            <v>['韓国料理']</v>
          </cell>
        </row>
        <row r="556">
          <cell r="R556" t="str">
            <v>['韓国料理', '揚げ鶏']</v>
          </cell>
        </row>
        <row r="557">
          <cell r="R557" t="str">
            <v>['ラーメン']</v>
          </cell>
        </row>
        <row r="558">
          <cell r="R558" t="str">
            <v>['アメリカン', 'ハンバーガー', '丼']</v>
          </cell>
        </row>
        <row r="559">
          <cell r="R559" t="str">
            <v>['お好み焼き', '麺類']</v>
          </cell>
        </row>
        <row r="560">
          <cell r="R560" t="str">
            <v>['和食', '弁当']</v>
          </cell>
        </row>
        <row r="561">
          <cell r="R561" t="str">
            <v>['ラーメン', '麺類']</v>
          </cell>
        </row>
        <row r="562">
          <cell r="R562" t="str">
            <v>['コーヒー', 'スイーツ']</v>
          </cell>
        </row>
        <row r="563">
          <cell r="R563" t="str">
            <v>['麺類', '丼']</v>
          </cell>
        </row>
        <row r="564">
          <cell r="R564" t="str">
            <v>['焼肉']</v>
          </cell>
        </row>
        <row r="565">
          <cell r="R565" t="str">
            <v>['焼き鳥']</v>
          </cell>
        </row>
        <row r="566">
          <cell r="R566" t="str">
            <v>['スイーツ', 'デザート']</v>
          </cell>
        </row>
        <row r="567">
          <cell r="R567" t="str">
            <v>['スイーツ', 'アイス', 'カップケーキ']</v>
          </cell>
        </row>
        <row r="568">
          <cell r="R568" t="str">
            <v>['お好み焼き', '丼', 'カレー']</v>
          </cell>
        </row>
        <row r="569">
          <cell r="R569" t="str">
            <v>['弁当', '中華', '麺類']</v>
          </cell>
        </row>
        <row r="570">
          <cell r="R570" t="str">
            <v>['イタリアン']</v>
          </cell>
        </row>
        <row r="571">
          <cell r="R571" t="str">
            <v>['和食', '弁当', '麺類']</v>
          </cell>
        </row>
        <row r="572">
          <cell r="R572" t="str">
            <v>['野菜', 'ベジタリアン', 'ヴィーガン']</v>
          </cell>
        </row>
        <row r="573">
          <cell r="R573" t="str">
            <v>[]</v>
          </cell>
        </row>
        <row r="574">
          <cell r="R574" t="str">
            <v>['弁当', '鳥料理']</v>
          </cell>
        </row>
        <row r="575">
          <cell r="R575" t="str">
            <v>['和食', '丼', '弁当']</v>
          </cell>
        </row>
        <row r="576">
          <cell r="R576" t="str">
            <v>['弁当', '丼', '中華']</v>
          </cell>
        </row>
        <row r="577">
          <cell r="R577" t="str">
            <v>['スイーツ', 'デザート']</v>
          </cell>
        </row>
        <row r="578">
          <cell r="R578" t="str">
            <v>['揚げ鶏', 'イタリアン', 'ピザ']</v>
          </cell>
        </row>
        <row r="579">
          <cell r="R579" t="str">
            <v>['和食', '弁当', '屋台飯']</v>
          </cell>
        </row>
        <row r="580">
          <cell r="R580" t="str">
            <v>['ピザ', 'サラダ']</v>
          </cell>
        </row>
        <row r="581">
          <cell r="R581" t="str">
            <v>['ベーカリー']</v>
          </cell>
        </row>
        <row r="582">
          <cell r="R582" t="str">
            <v>['魚介類', 'お寿司', '丼']</v>
          </cell>
        </row>
        <row r="583">
          <cell r="R583" t="str">
            <v>['和食', '弁当']</v>
          </cell>
        </row>
        <row r="584">
          <cell r="R584" t="str">
            <v>['韓国料理']</v>
          </cell>
        </row>
        <row r="585">
          <cell r="R585" t="str">
            <v>['イタリアン', 'ケーキ']</v>
          </cell>
        </row>
        <row r="586">
          <cell r="R586" t="str">
            <v>['ピザ', 'パスタ', 'デザート']</v>
          </cell>
        </row>
        <row r="587">
          <cell r="R587" t="str">
            <v>['エスニック', 'ヘルシー', 'カレー']</v>
          </cell>
        </row>
        <row r="588">
          <cell r="R588" t="str">
            <v>['ケバブ']</v>
          </cell>
        </row>
        <row r="589">
          <cell r="R589" t="str">
            <v>['お寿司', '魚介類', '丼']</v>
          </cell>
        </row>
        <row r="590">
          <cell r="R590" t="str">
            <v>['和食', '鳥料理', '丼']</v>
          </cell>
        </row>
        <row r="591">
          <cell r="R591" t="str">
            <v>['お酒', 'ワイン']</v>
          </cell>
        </row>
        <row r="592">
          <cell r="R592" t="str">
            <v>['中華', 'シチュー']</v>
          </cell>
        </row>
        <row r="593">
          <cell r="R593" t="str">
            <v>['中華', '弁当', '点心']</v>
          </cell>
        </row>
        <row r="594">
          <cell r="R594" t="str">
            <v>['弁当', '和食', '屋台飯']</v>
          </cell>
        </row>
        <row r="595">
          <cell r="R595" t="str">
            <v>['和食']</v>
          </cell>
        </row>
        <row r="596">
          <cell r="R596" t="str">
            <v>['カレー', '丼', 'インド料理']</v>
          </cell>
        </row>
        <row r="597">
          <cell r="R597" t="str">
            <v>['鉄板焼', 'お好み焼き']</v>
          </cell>
        </row>
        <row r="598">
          <cell r="R598" t="str">
            <v>['丼', 'イタリアン', '和食']</v>
          </cell>
        </row>
        <row r="599">
          <cell r="R599" t="str">
            <v>['弁当', '丼']</v>
          </cell>
        </row>
        <row r="600">
          <cell r="R600" t="str">
            <v>['弁当']</v>
          </cell>
        </row>
        <row r="601">
          <cell r="R601" t="str">
            <v>['和食', 'お好み焼き']</v>
          </cell>
        </row>
        <row r="602">
          <cell r="R602" t="str">
            <v>['弁当', '鳥料理', '洋食']</v>
          </cell>
        </row>
        <row r="603">
          <cell r="R603" t="str">
            <v>['インド料理', 'カレー']</v>
          </cell>
        </row>
        <row r="604">
          <cell r="R604" t="str">
            <v>['弁当', '野菜']</v>
          </cell>
        </row>
        <row r="605">
          <cell r="R605" t="str">
            <v>['和食']</v>
          </cell>
        </row>
        <row r="606">
          <cell r="R606" t="str">
            <v>['米', 'タイ料理', '麺類']</v>
          </cell>
        </row>
        <row r="607">
          <cell r="R607" t="str">
            <v>['台湾料理', '中華']</v>
          </cell>
        </row>
        <row r="608">
          <cell r="R608" t="str">
            <v>['ハンバーガー', 'サンドイッチ', '揚げ鶏']</v>
          </cell>
        </row>
        <row r="609">
          <cell r="R609" t="str">
            <v>['丼', '和食']</v>
          </cell>
        </row>
        <row r="610">
          <cell r="R610" t="str">
            <v>['屋台飯', '和食']</v>
          </cell>
        </row>
        <row r="611">
          <cell r="R611" t="str">
            <v>['弁当', '中華', '麺類']</v>
          </cell>
        </row>
        <row r="612">
          <cell r="R612" t="str">
            <v>['中華料理', '点心']</v>
          </cell>
        </row>
        <row r="613">
          <cell r="R613" t="str">
            <v>['ピザ', 'パスタ']</v>
          </cell>
        </row>
        <row r="614">
          <cell r="R614" t="str">
            <v>['洋食', 'サンドイッチ']</v>
          </cell>
        </row>
        <row r="615">
          <cell r="R615" t="str">
            <v>['洋食', '和食', 'イタリアン']</v>
          </cell>
        </row>
        <row r="616">
          <cell r="R616" t="str">
            <v>['ステーキ', 'サラダ', '洋食']</v>
          </cell>
        </row>
        <row r="617">
          <cell r="R617" t="str">
            <v>['ステーキ', 'お寿司']</v>
          </cell>
        </row>
        <row r="618">
          <cell r="R618" t="str">
            <v>['海鮮', '丼']</v>
          </cell>
        </row>
        <row r="619">
          <cell r="R619" t="str">
            <v>['カフェ', 'デザート']</v>
          </cell>
        </row>
        <row r="620">
          <cell r="R620" t="str">
            <v>['カレー', 'インド料理']</v>
          </cell>
        </row>
        <row r="621">
          <cell r="R621" t="str">
            <v>['イタリアン', 'パスタ', 'ピザ']</v>
          </cell>
        </row>
        <row r="622">
          <cell r="R622" t="str">
            <v>['和食', 'お好み焼き', 'カレー']</v>
          </cell>
        </row>
        <row r="623">
          <cell r="R623" t="str">
            <v>['ラーメン', '麺類', 'カレー']</v>
          </cell>
        </row>
        <row r="624">
          <cell r="R624" t="str">
            <v>['丼', '麺類']</v>
          </cell>
        </row>
        <row r="625">
          <cell r="R625" t="str">
            <v>['弁当']</v>
          </cell>
        </row>
        <row r="626">
          <cell r="R626" t="str">
            <v>['カレー', 'インド料理', 'ドリンク']</v>
          </cell>
        </row>
        <row r="627">
          <cell r="R627" t="str">
            <v>['カフェ', 'コーヒー', 'ドリンク']</v>
          </cell>
        </row>
        <row r="628">
          <cell r="R628" t="str">
            <v>['鳥料理', '和食', '焼き鳥']</v>
          </cell>
        </row>
        <row r="629">
          <cell r="R629" t="str">
            <v>['弁当', '丼']</v>
          </cell>
        </row>
        <row r="630">
          <cell r="R630" t="str">
            <v>['カレー', 'インド料理']</v>
          </cell>
        </row>
        <row r="631">
          <cell r="R631" t="str">
            <v>['お寿司', '海鮮', '和食']</v>
          </cell>
        </row>
        <row r="632">
          <cell r="R632" t="str">
            <v>['アメリカン', 'デザート']</v>
          </cell>
        </row>
        <row r="633">
          <cell r="R633" t="str">
            <v>[]</v>
          </cell>
        </row>
        <row r="634">
          <cell r="R634" t="str">
            <v>['海鮮', '丼', '弁当']</v>
          </cell>
        </row>
        <row r="635">
          <cell r="R635" t="str">
            <v>['弁当', '丼']</v>
          </cell>
        </row>
        <row r="636">
          <cell r="R636" t="str">
            <v>['エスニック', 'タイ料理']</v>
          </cell>
        </row>
        <row r="637">
          <cell r="R637" t="str">
            <v>['弁当', '和食', '屋台飯']</v>
          </cell>
        </row>
        <row r="638">
          <cell r="R638" t="str">
            <v>['丼', '弁当', '麺類']</v>
          </cell>
        </row>
        <row r="639">
          <cell r="R639" t="str">
            <v>['和食', '屋台飯']</v>
          </cell>
        </row>
        <row r="640">
          <cell r="R640" t="str">
            <v>['中華', 'ラーメン', '麺類']</v>
          </cell>
        </row>
        <row r="641">
          <cell r="R641" t="str">
            <v>['イタリアン', 'ピザ', 'サラダ']</v>
          </cell>
        </row>
        <row r="642">
          <cell r="R642" t="str">
            <v>['お寿司', '魚介類', '丼']</v>
          </cell>
        </row>
        <row r="643">
          <cell r="R643" t="str">
            <v>['ドリンク', 'スープ', 'スイーツ']</v>
          </cell>
        </row>
        <row r="644">
          <cell r="R644" t="str">
            <v>['タピオカ', 'カフェ', 'タピオカ']</v>
          </cell>
        </row>
        <row r="645">
          <cell r="R645" t="str">
            <v>['弁当', '和食', '屋台飯']</v>
          </cell>
        </row>
        <row r="646">
          <cell r="R646" t="str">
            <v>['スープ', 'カレー', 'ヘルシー']</v>
          </cell>
        </row>
        <row r="647">
          <cell r="R647" t="str">
            <v>['ピザ']</v>
          </cell>
        </row>
        <row r="648">
          <cell r="R648" t="str">
            <v>['パスタ', '麺類']</v>
          </cell>
        </row>
        <row r="649">
          <cell r="R649" t="str">
            <v>['インド料理', 'カレー', '丼']</v>
          </cell>
        </row>
        <row r="650">
          <cell r="R650" t="str">
            <v>['丼', '和食']</v>
          </cell>
        </row>
        <row r="651">
          <cell r="R651" t="str">
            <v>['丼', '和食']</v>
          </cell>
        </row>
        <row r="652">
          <cell r="R652" t="str">
            <v>['ケーキ', 'カフェ', 'デザート']</v>
          </cell>
        </row>
        <row r="653">
          <cell r="R653" t="str">
            <v>['インド料理', 'カレー']</v>
          </cell>
        </row>
        <row r="654">
          <cell r="R654" t="str">
            <v>['イタリアン', 'ピザ', 'パスタ']</v>
          </cell>
        </row>
        <row r="655">
          <cell r="R655" t="str">
            <v>['中華']</v>
          </cell>
        </row>
        <row r="656">
          <cell r="R656" t="str">
            <v>['弁当', 'うなぎ']</v>
          </cell>
        </row>
        <row r="657">
          <cell r="R657" t="str">
            <v>['スムージー', 'スイーツ', 'ヘルシー']</v>
          </cell>
        </row>
        <row r="658">
          <cell r="R658" t="str">
            <v>['揚げ鶏', '韓国料理', '手羽']</v>
          </cell>
        </row>
        <row r="659">
          <cell r="R659" t="str">
            <v>['milkshake']</v>
          </cell>
        </row>
        <row r="660">
          <cell r="R660" t="str">
            <v>['カレー']</v>
          </cell>
        </row>
        <row r="661">
          <cell r="R661" t="str">
            <v>['デザート', 'パスタ', 'ピザ']</v>
          </cell>
        </row>
        <row r="662">
          <cell r="R662" t="str">
            <v>['スープカレー']</v>
          </cell>
        </row>
        <row r="663">
          <cell r="R663" t="str">
            <v>['焼き鳥', '鳥料理']</v>
          </cell>
        </row>
        <row r="664">
          <cell r="R664" t="str">
            <v>['イタリアン', 'ステーキ', 'お寿司']</v>
          </cell>
        </row>
        <row r="665">
          <cell r="R665" t="str">
            <v>['麺類', 'ラーメン', '丼']</v>
          </cell>
        </row>
        <row r="666">
          <cell r="R666" t="str">
            <v>['揚げ鶏', '韓国料理', 'スープ']</v>
          </cell>
        </row>
        <row r="667">
          <cell r="R667" t="str">
            <v>['ベーカリー', 'ヘルシー']</v>
          </cell>
        </row>
        <row r="668">
          <cell r="R668" t="str">
            <v>['カレー', 'インド料理']</v>
          </cell>
        </row>
        <row r="669">
          <cell r="R669" t="str">
            <v>['カレー', 'インド料理']</v>
          </cell>
        </row>
        <row r="670">
          <cell r="R670" t="str">
            <v>['中華', '丼', '麺類']</v>
          </cell>
        </row>
        <row r="671">
          <cell r="R671" t="str">
            <v>['ピザ', 'イタリアン']</v>
          </cell>
        </row>
        <row r="672">
          <cell r="R672" t="str">
            <v>['麺類', '丼', 'カレー']</v>
          </cell>
        </row>
        <row r="673">
          <cell r="R673" t="str">
            <v>['弁当', 'ハンバーガー']</v>
          </cell>
        </row>
        <row r="674">
          <cell r="R674" t="str">
            <v>['弁当']</v>
          </cell>
        </row>
        <row r="675">
          <cell r="R675" t="str">
            <v>['ハンバーガー']</v>
          </cell>
        </row>
        <row r="676">
          <cell r="R676" t="str">
            <v>['中華']</v>
          </cell>
        </row>
        <row r="677">
          <cell r="R677" t="str">
            <v>['和食']</v>
          </cell>
        </row>
        <row r="678">
          <cell r="R678" t="str">
            <v>['韓国料理', '弁当']</v>
          </cell>
        </row>
        <row r="679">
          <cell r="R679" t="str">
            <v>['パンケーキ', 'ハンバーガー', 'ピザ']</v>
          </cell>
        </row>
        <row r="680">
          <cell r="R680" t="str">
            <v>['スイーツ', 'タピオカ']</v>
          </cell>
        </row>
        <row r="681">
          <cell r="R681" t="str">
            <v>['お好み焼き', '麺類']</v>
          </cell>
        </row>
        <row r="682">
          <cell r="R682" t="str">
            <v>['和食']</v>
          </cell>
        </row>
        <row r="683">
          <cell r="R683" t="str">
            <v>['中華', '揚げ鶏']</v>
          </cell>
        </row>
        <row r="684">
          <cell r="R684" t="str">
            <v>['ドーナツ', 'スイーツ', 'デザート']</v>
          </cell>
        </row>
        <row r="685">
          <cell r="R685" t="str">
            <v>['和食']</v>
          </cell>
        </row>
        <row r="686">
          <cell r="R686" t="str">
            <v>['弁当']</v>
          </cell>
        </row>
        <row r="687">
          <cell r="R687" t="str">
            <v>['焼き鳥', 'ピザ']</v>
          </cell>
        </row>
        <row r="688">
          <cell r="R688" t="str">
            <v>['メキシコ料理', 'タコス']</v>
          </cell>
        </row>
        <row r="689">
          <cell r="R689" t="str">
            <v>['ハンバーガー', 'カフェ', 'コーヒー']</v>
          </cell>
        </row>
        <row r="690">
          <cell r="R690" t="str">
            <v>['和食', '魚介類', 'ステーキ']</v>
          </cell>
        </row>
        <row r="691">
          <cell r="R691" t="str">
            <v>['コーヒー']</v>
          </cell>
        </row>
        <row r="692">
          <cell r="R692" t="str">
            <v>['ヘルシー', 'エスニック']</v>
          </cell>
        </row>
        <row r="693">
          <cell r="R693" t="str">
            <v>['ハンバーガー', 'サンドイッチ', 'デザート']</v>
          </cell>
        </row>
        <row r="694">
          <cell r="R694" t="str">
            <v>['カフェ', 'コーヒー', 'ドリンク']</v>
          </cell>
        </row>
        <row r="695">
          <cell r="R695" t="str">
            <v>['丼', '中華', 'ドリンク']</v>
          </cell>
        </row>
        <row r="696">
          <cell r="R696" t="str">
            <v>['焼肉']</v>
          </cell>
        </row>
        <row r="697">
          <cell r="R697" t="str">
            <v>['鳥料理', 'スープカレー']</v>
          </cell>
        </row>
        <row r="698">
          <cell r="R698" t="str">
            <v>['お寿司', '和食']</v>
          </cell>
        </row>
        <row r="699">
          <cell r="R699" t="str">
            <v>['和食', '屋台飯', '弁当']</v>
          </cell>
        </row>
        <row r="700">
          <cell r="R700" t="str">
            <v>['カレー', 'ドリンク', 'ラーメン']</v>
          </cell>
        </row>
        <row r="701">
          <cell r="R701" t="str">
            <v>['中華', '点心', 'ドリンク']</v>
          </cell>
        </row>
        <row r="702">
          <cell r="R702" t="str">
            <v>['中華']</v>
          </cell>
        </row>
        <row r="703">
          <cell r="R703" t="str">
            <v>['和食', 'お寿司', '天ぷら']</v>
          </cell>
        </row>
        <row r="704">
          <cell r="R704" t="str">
            <v>['弁当', 'カレー', '韓国料理']</v>
          </cell>
        </row>
        <row r="705">
          <cell r="R705" t="str">
            <v>['海鮮', '焼き鳥', '弁当']</v>
          </cell>
        </row>
        <row r="706">
          <cell r="R706" t="str">
            <v>['中華', '弁当', '丼']</v>
          </cell>
        </row>
        <row r="707">
          <cell r="R707" t="str">
            <v>['メキシコ料理', 'タコス']</v>
          </cell>
        </row>
        <row r="708">
          <cell r="R708" t="str">
            <v>['お寿司', '弁当', '和食']</v>
          </cell>
        </row>
        <row r="709">
          <cell r="R709" t="str">
            <v>['ステーキ', '弁当']</v>
          </cell>
        </row>
        <row r="710">
          <cell r="R710" t="str">
            <v>['米', 'タコス', '鳥料理']</v>
          </cell>
        </row>
        <row r="711">
          <cell r="R711" t="str">
            <v>['和食', '弁当']</v>
          </cell>
        </row>
        <row r="712">
          <cell r="R712" t="str">
            <v>['カフェ', 'ケーキ', 'コーヒー']</v>
          </cell>
        </row>
        <row r="713">
          <cell r="R713" t="str">
            <v>['ハンバーガー', 'カレー', 'デザート']</v>
          </cell>
        </row>
        <row r="714">
          <cell r="R714" t="str">
            <v>['カフェ', 'ベーカリー', 'サンドイッチ']</v>
          </cell>
        </row>
        <row r="715">
          <cell r="R715" t="str">
            <v>['カレー', '丼', 'うどん']</v>
          </cell>
        </row>
        <row r="716">
          <cell r="R716" t="str">
            <v>['弁当', '丼', 'カレー']</v>
          </cell>
        </row>
        <row r="717">
          <cell r="R717" t="str">
            <v>['ラーメン', '麺類']</v>
          </cell>
        </row>
        <row r="718">
          <cell r="R718" t="str">
            <v>['お好み焼き', '鉄板焼']</v>
          </cell>
        </row>
        <row r="719">
          <cell r="R719" t="str">
            <v>['スープカレー']</v>
          </cell>
        </row>
        <row r="720">
          <cell r="R720" t="str">
            <v>['弁当']</v>
          </cell>
        </row>
        <row r="721">
          <cell r="R721" t="str">
            <v>['インド料理', 'ネパール料理', 'カレー']</v>
          </cell>
        </row>
        <row r="722">
          <cell r="R722" t="str">
            <v>['カレー', 'インド料理']</v>
          </cell>
        </row>
        <row r="723">
          <cell r="R723" t="str">
            <v>['イタリアン', 'ピザ', 'パスタ']</v>
          </cell>
        </row>
        <row r="724">
          <cell r="R724" t="str">
            <v>['ラーメン', '餃子', '焼飯']</v>
          </cell>
        </row>
        <row r="725">
          <cell r="R725" t="str">
            <v>['エスニック', 'カレー']</v>
          </cell>
        </row>
        <row r="726">
          <cell r="R726" t="str">
            <v>['中華', '和食', '焼飯']</v>
          </cell>
        </row>
        <row r="727">
          <cell r="R727" t="str">
            <v>['カフェ', 'カレー', 'パンケーキ']</v>
          </cell>
        </row>
        <row r="728">
          <cell r="R728" t="str">
            <v>['スープカレー']</v>
          </cell>
        </row>
        <row r="729">
          <cell r="R729" t="str">
            <v>['お好み焼き', '屋台飯', '焼きそば']</v>
          </cell>
        </row>
        <row r="730">
          <cell r="R730" t="str">
            <v>['ベーカリー']</v>
          </cell>
        </row>
        <row r="731">
          <cell r="R731" t="str">
            <v>['お好み焼き', '麺類']</v>
          </cell>
        </row>
        <row r="732">
          <cell r="R732" t="str">
            <v>['スープカレー']</v>
          </cell>
        </row>
        <row r="733">
          <cell r="R733" t="str">
            <v>['和食', 'そば', '揚げ鶏']</v>
          </cell>
        </row>
        <row r="734">
          <cell r="R734" t="str">
            <v>['パスタ']</v>
          </cell>
        </row>
        <row r="735">
          <cell r="R735" t="str">
            <v>['弁当', 'カレー', '各国料理']</v>
          </cell>
        </row>
        <row r="736">
          <cell r="R736" t="str">
            <v>['中華', '弁当', '丼']</v>
          </cell>
        </row>
        <row r="737">
          <cell r="R737" t="str">
            <v>['カフェ', 'カレー']</v>
          </cell>
        </row>
        <row r="738">
          <cell r="R738" t="str">
            <v>['弁当', '洋食', 'イタリアン']</v>
          </cell>
        </row>
        <row r="739">
          <cell r="R739" t="str">
            <v>['中華']</v>
          </cell>
        </row>
        <row r="740">
          <cell r="R740" t="str">
            <v>['和食', '弁当', '海鮮']</v>
          </cell>
        </row>
        <row r="741">
          <cell r="R741" t="str">
            <v>['タピオカ', 'カレー', 'カフェ']</v>
          </cell>
        </row>
        <row r="742">
          <cell r="R742" t="str">
            <v>['丼', 'サラダ', 'カレー']</v>
          </cell>
        </row>
        <row r="743">
          <cell r="R743" t="str">
            <v>['海鮮', 'お寿司', '丼']</v>
          </cell>
        </row>
        <row r="744">
          <cell r="R744" t="str">
            <v>['ラーメン', '米']</v>
          </cell>
        </row>
        <row r="745">
          <cell r="R745" t="str">
            <v>['ラーメン', '麺類', '弁当']</v>
          </cell>
        </row>
        <row r="746">
          <cell r="R746" t="str">
            <v>['丼', 'カレー', '麺類']</v>
          </cell>
        </row>
        <row r="747">
          <cell r="R747" t="str">
            <v>['丼', 'サラダ', 'カレー']</v>
          </cell>
        </row>
        <row r="748">
          <cell r="R748" t="str">
            <v>['弁当', '鳥料理', '和食']</v>
          </cell>
        </row>
        <row r="749">
          <cell r="R749" t="str">
            <v>[]</v>
          </cell>
        </row>
        <row r="750">
          <cell r="R750" t="str">
            <v>['弁当', '洋食']</v>
          </cell>
        </row>
        <row r="751">
          <cell r="R751" t="str">
            <v>['カレー', 'おにぎり', '揚げ鶏']</v>
          </cell>
        </row>
        <row r="752">
          <cell r="R752" t="str">
            <v>['お茶', 'カフェ']</v>
          </cell>
        </row>
        <row r="753">
          <cell r="R753" t="str">
            <v>['フルーツ', 'タピオカ', 'お茶']</v>
          </cell>
        </row>
        <row r="754">
          <cell r="R754" t="str">
            <v>['サラダ', 'ヘルシー', 'カフェ']</v>
          </cell>
        </row>
        <row r="755">
          <cell r="R755" t="str">
            <v>['パスタ', '麺類']</v>
          </cell>
        </row>
        <row r="756">
          <cell r="R756" t="str">
            <v>['弁当', 'ステーキ', '揚げ鶏']</v>
          </cell>
        </row>
        <row r="757">
          <cell r="R757" t="str">
            <v>['丼']</v>
          </cell>
        </row>
        <row r="758">
          <cell r="R758" t="str">
            <v>['スープカレー']</v>
          </cell>
        </row>
        <row r="759">
          <cell r="R759" t="str">
            <v>['ベーカリー']</v>
          </cell>
        </row>
        <row r="760">
          <cell r="R760" t="str">
            <v>['ステーキ', 'ピザ', 'お酒']</v>
          </cell>
        </row>
        <row r="761">
          <cell r="R761" t="str">
            <v>['弁当']</v>
          </cell>
        </row>
        <row r="762">
          <cell r="R762" t="str">
            <v>['焼飯', '中華', '鳥料理']</v>
          </cell>
        </row>
        <row r="763">
          <cell r="R763" t="str">
            <v>['お酒', '弁当', '韓国料理']</v>
          </cell>
        </row>
        <row r="764">
          <cell r="R764" t="str">
            <v>['ピザ']</v>
          </cell>
        </row>
        <row r="765">
          <cell r="R765" t="str">
            <v>['韓国料理', '麺類', 'スープ']</v>
          </cell>
        </row>
        <row r="766">
          <cell r="R766" t="str">
            <v>['麺類', '丼', '中華']</v>
          </cell>
        </row>
        <row r="767">
          <cell r="R767" t="str">
            <v>['和食', '海鮮']</v>
          </cell>
        </row>
        <row r="768">
          <cell r="R768" t="str">
            <v>['鳥料理', 'ドリンク', '揚げ鶏']</v>
          </cell>
        </row>
        <row r="769">
          <cell r="R769" t="str">
            <v>['ピザ']</v>
          </cell>
        </row>
        <row r="770">
          <cell r="R770" t="str">
            <v>['和食', 'カレー', 'そば']</v>
          </cell>
        </row>
        <row r="771">
          <cell r="R771" t="str">
            <v>['中華']</v>
          </cell>
        </row>
        <row r="772">
          <cell r="R772" t="str">
            <v>['弁当']</v>
          </cell>
        </row>
        <row r="773">
          <cell r="R773" t="str">
            <v>['インド料理', 'カレー', '鳥料理']</v>
          </cell>
        </row>
        <row r="774">
          <cell r="R774" t="str">
            <v>['和食']</v>
          </cell>
        </row>
        <row r="775">
          <cell r="R775" t="str">
            <v>['アメリカン']</v>
          </cell>
        </row>
        <row r="776">
          <cell r="R776" t="str">
            <v>['洋食', '弁当']</v>
          </cell>
        </row>
        <row r="777">
          <cell r="R777" t="str">
            <v>['弁当', '揚げ鶏', 'カレー']</v>
          </cell>
        </row>
        <row r="778">
          <cell r="R778" t="str">
            <v>['洋食', 'ステーキ']</v>
          </cell>
        </row>
        <row r="779">
          <cell r="R779" t="str">
            <v>['弁当']</v>
          </cell>
        </row>
        <row r="780">
          <cell r="R780" t="str">
            <v>['アイス', 'デザート', 'カフェ']</v>
          </cell>
        </row>
        <row r="781">
          <cell r="R781" t="str">
            <v>['韓国料理']</v>
          </cell>
        </row>
        <row r="782">
          <cell r="R782" t="str">
            <v>['ラーメン', '麺類']</v>
          </cell>
        </row>
        <row r="783">
          <cell r="R783" t="str">
            <v>['カレー']</v>
          </cell>
        </row>
        <row r="784">
          <cell r="R784" t="str">
            <v>['弁当']</v>
          </cell>
        </row>
        <row r="785">
          <cell r="R785" t="str">
            <v>['弁当']</v>
          </cell>
        </row>
        <row r="786">
          <cell r="R786" t="str">
            <v>['台湾料理', 'ドリンク']</v>
          </cell>
        </row>
        <row r="787">
          <cell r="R787" t="str">
            <v>['弁当', '丼']</v>
          </cell>
        </row>
        <row r="788">
          <cell r="R788" t="str">
            <v>['海鮮', '和食']</v>
          </cell>
        </row>
        <row r="789">
          <cell r="R789" t="str">
            <v>['丼', 'お寿司', '魚介類']</v>
          </cell>
        </row>
        <row r="790">
          <cell r="R790" t="str">
            <v>['弁当', 'ドリンク']</v>
          </cell>
        </row>
        <row r="791">
          <cell r="R791" t="str">
            <v>['ラーメン', '麺類']</v>
          </cell>
        </row>
        <row r="792">
          <cell r="R792" t="str">
            <v>['スイーツ', 'アイス']</v>
          </cell>
        </row>
        <row r="793">
          <cell r="R793" t="str">
            <v>['弁当', '焼肉']</v>
          </cell>
        </row>
        <row r="794">
          <cell r="R794" t="str">
            <v>['和食', '焼き鳥', '弁当']</v>
          </cell>
        </row>
        <row r="795">
          <cell r="R795" t="str">
            <v>['弁当']</v>
          </cell>
        </row>
        <row r="796">
          <cell r="R796" t="str">
            <v>['インド料理', 'カレー', '各国料理']</v>
          </cell>
        </row>
        <row r="797">
          <cell r="R797" t="str">
            <v>['インド料理', 'カレー']</v>
          </cell>
        </row>
        <row r="798">
          <cell r="R798" t="str">
            <v>['カレー', 'サラダ']</v>
          </cell>
        </row>
        <row r="799">
          <cell r="R799" t="str">
            <v>['弁当', '丼', 'ステーキ']</v>
          </cell>
        </row>
        <row r="800">
          <cell r="R800" t="str">
            <v>['鳥料理', '惣菜', '魚介類']</v>
          </cell>
        </row>
        <row r="801">
          <cell r="R801" t="str">
            <v>['中華', '麺類']</v>
          </cell>
        </row>
        <row r="802">
          <cell r="R802" t="str">
            <v>['和食', 'うどん']</v>
          </cell>
        </row>
        <row r="803">
          <cell r="R803" t="str">
            <v>['中華', '麺類']</v>
          </cell>
        </row>
        <row r="804">
          <cell r="R804" t="str">
            <v>['丼', 'カレー', '和食']</v>
          </cell>
        </row>
        <row r="805">
          <cell r="R805" t="str">
            <v>['弁当', '洋食', '韓国料理']</v>
          </cell>
        </row>
        <row r="806">
          <cell r="R806" t="str">
            <v>['ラーメン', '麺類']</v>
          </cell>
        </row>
        <row r="807">
          <cell r="R807" t="str">
            <v>['エスニック', '丼', '麺類']</v>
          </cell>
        </row>
        <row r="808">
          <cell r="R808" t="str">
            <v>['デザート']</v>
          </cell>
        </row>
        <row r="809">
          <cell r="R809" t="str">
            <v>['和食', '丼', '弁当']</v>
          </cell>
        </row>
        <row r="810">
          <cell r="R810" t="str">
            <v>['アメリカン', 'ハンバーガー']</v>
          </cell>
        </row>
        <row r="811">
          <cell r="R811" t="str">
            <v>['鳥料理', '中華', 'サラダ']</v>
          </cell>
        </row>
        <row r="812">
          <cell r="R812" t="str">
            <v>['弁当', '和食', '魚介類']</v>
          </cell>
        </row>
        <row r="813">
          <cell r="R813" t="str">
            <v>['和食', '丼', '天ぷら']</v>
          </cell>
        </row>
        <row r="814">
          <cell r="R814" t="str">
            <v>['弁当', '麺類']</v>
          </cell>
        </row>
        <row r="815">
          <cell r="R815" t="str">
            <v>['弁当', '丼', 'カレー']</v>
          </cell>
        </row>
        <row r="816">
          <cell r="R816" t="str">
            <v>['麺類', 'つけ麺']</v>
          </cell>
        </row>
        <row r="817">
          <cell r="R817" t="str">
            <v>['サラダ', '洋食']</v>
          </cell>
        </row>
        <row r="818">
          <cell r="R818" t="str">
            <v>['弁当', 'ステーキ', 'グリル']</v>
          </cell>
        </row>
        <row r="819">
          <cell r="R819" t="str">
            <v>['弁当', '和食']</v>
          </cell>
        </row>
        <row r="820">
          <cell r="R820" t="str">
            <v>['弁当']</v>
          </cell>
        </row>
        <row r="821">
          <cell r="R821" t="str">
            <v>['和食', '海鮮', '弁当']</v>
          </cell>
        </row>
        <row r="822">
          <cell r="R822" t="str">
            <v>['お好み焼き', '屋台飯', '焼きそば']</v>
          </cell>
        </row>
        <row r="823">
          <cell r="R823" t="str">
            <v>['揚げ鶏', '麺類', '焼きそば']</v>
          </cell>
        </row>
        <row r="824">
          <cell r="R824" t="str">
            <v>['焼肉']</v>
          </cell>
        </row>
        <row r="825">
          <cell r="R825" t="str">
            <v>['カレー', 'イタリアン', 'サラダ']</v>
          </cell>
        </row>
        <row r="826">
          <cell r="R826" t="str">
            <v>['ステーキ', '洋食']</v>
          </cell>
        </row>
        <row r="827">
          <cell r="R827" t="str">
            <v>['デザート', 'ドリンク']</v>
          </cell>
        </row>
        <row r="828">
          <cell r="R828" t="str">
            <v>['弁当', '鳥料理', '揚げ鶏']</v>
          </cell>
        </row>
        <row r="829">
          <cell r="R829" t="str">
            <v>['うなぎ', '和食', '麺類']</v>
          </cell>
        </row>
        <row r="830">
          <cell r="R830" t="str">
            <v>['丼', '和食']</v>
          </cell>
        </row>
        <row r="831">
          <cell r="R831" t="str">
            <v>['お寿司', '和食']</v>
          </cell>
        </row>
        <row r="832">
          <cell r="R832" t="str">
            <v>['丼', 'サラダ', 'カレー']</v>
          </cell>
        </row>
        <row r="833">
          <cell r="R833" t="str">
            <v>['弁当', '和食', 'カフェ']</v>
          </cell>
        </row>
        <row r="834">
          <cell r="R834" t="str">
            <v>['ポキ']</v>
          </cell>
        </row>
        <row r="835">
          <cell r="R835" t="str">
            <v>['和食', '弁当', '丼']</v>
          </cell>
        </row>
        <row r="836">
          <cell r="R836" t="str">
            <v>['弁当', 'デザート', 'カレー']</v>
          </cell>
        </row>
        <row r="837">
          <cell r="R837" t="str">
            <v>['韓国料理', 'パンケーキ', 'スープ']</v>
          </cell>
        </row>
        <row r="838">
          <cell r="R838" t="str">
            <v>['デザート', 'パスタ', 'ピザ']</v>
          </cell>
        </row>
        <row r="839">
          <cell r="R839" t="str">
            <v>['カフェ', 'ドリンク']</v>
          </cell>
        </row>
        <row r="840">
          <cell r="R840" t="str">
            <v>['お寿司', '魚介類', '丼']</v>
          </cell>
        </row>
        <row r="841">
          <cell r="R841" t="str">
            <v>['丼', 'サラダ', 'カレー']</v>
          </cell>
        </row>
        <row r="842">
          <cell r="R842" t="str">
            <v>['麺類', 'ラーメン', 'ピザ']</v>
          </cell>
        </row>
        <row r="843">
          <cell r="R843" t="str">
            <v>['コーヒー']</v>
          </cell>
        </row>
        <row r="844">
          <cell r="R844" t="str">
            <v>['デザート', 'サンドイッチ']</v>
          </cell>
        </row>
        <row r="845">
          <cell r="R845" t="str">
            <v>['魚介類', '和食', '刺身']</v>
          </cell>
        </row>
        <row r="846">
          <cell r="R846" t="str">
            <v>['おにぎり', 'スープ', '和食']</v>
          </cell>
        </row>
        <row r="847">
          <cell r="R847" t="str">
            <v>['お茶', 'ドリンク']</v>
          </cell>
        </row>
        <row r="848">
          <cell r="R848" t="str">
            <v>['和食', 'お寿司', '弁当']</v>
          </cell>
        </row>
        <row r="849">
          <cell r="R849" t="str">
            <v>['カレー', 'ドリンク', 'インド料理']</v>
          </cell>
        </row>
        <row r="850">
          <cell r="R850" t="str">
            <v>['韓国料理']</v>
          </cell>
        </row>
        <row r="851">
          <cell r="R851" t="str">
            <v>['タピオカ', 'カフェ']</v>
          </cell>
        </row>
        <row r="852">
          <cell r="R852" t="str">
            <v>['ステーキハウス', '弁当', '洋食']</v>
          </cell>
        </row>
        <row r="853">
          <cell r="R853" t="str">
            <v>['カフェ', 'コーヒー', 'カレー']</v>
          </cell>
        </row>
        <row r="854">
          <cell r="R854" t="str">
            <v>['弁当', '麺類', 'ラーメン']</v>
          </cell>
        </row>
        <row r="855">
          <cell r="R855" t="str">
            <v>['麺類', 'ラーメン']</v>
          </cell>
        </row>
        <row r="856">
          <cell r="R856" t="str">
            <v>['洋食']</v>
          </cell>
        </row>
        <row r="857">
          <cell r="R857" t="str">
            <v>['麺類', 'ラーメン']</v>
          </cell>
        </row>
        <row r="858">
          <cell r="R858" t="str">
            <v>['アメリカン', 'ハンバーガー']</v>
          </cell>
        </row>
        <row r="859">
          <cell r="R859" t="str">
            <v>['和食', '弁当', 'お酒']</v>
          </cell>
        </row>
        <row r="860">
          <cell r="R860" t="str">
            <v>['弁当', '麺類']</v>
          </cell>
        </row>
        <row r="861">
          <cell r="R861" t="str">
            <v>['焼き鳥', '弁当', 'お寿司']</v>
          </cell>
        </row>
        <row r="862">
          <cell r="R862" t="str">
            <v>['インド料理', 'カレー']</v>
          </cell>
        </row>
        <row r="863">
          <cell r="R863" t="str">
            <v>['タピオカ', '中華', 'デザート']</v>
          </cell>
        </row>
        <row r="864">
          <cell r="R864" t="str">
            <v>['和食', 'スープ']</v>
          </cell>
        </row>
        <row r="865">
          <cell r="R865" t="str">
            <v>['ラーメン', '麺類']</v>
          </cell>
        </row>
        <row r="866">
          <cell r="R866" t="str">
            <v>['麺類']</v>
          </cell>
        </row>
        <row r="867">
          <cell r="R867" t="str">
            <v>['和食', '丼']</v>
          </cell>
        </row>
        <row r="868">
          <cell r="R868" t="str">
            <v>['お寿司', '魚介類', '丼']</v>
          </cell>
        </row>
        <row r="869">
          <cell r="R869" t="str">
            <v>['カレー']</v>
          </cell>
        </row>
        <row r="870">
          <cell r="R870" t="str">
            <v>['カレー', 'インド料理', '各国料理']</v>
          </cell>
        </row>
        <row r="871">
          <cell r="R871" t="str">
            <v>['中華', '焼飯', '弁当']</v>
          </cell>
        </row>
        <row r="872">
          <cell r="R872" t="str">
            <v>['ハラール', 'カフェ', 'カレー']</v>
          </cell>
        </row>
        <row r="873">
          <cell r="R873" t="str">
            <v>['つけ麺']</v>
          </cell>
        </row>
        <row r="874">
          <cell r="R874" t="str">
            <v>['お好み焼き', '焼きそば']</v>
          </cell>
        </row>
        <row r="875">
          <cell r="R875" t="str">
            <v>['インド料理', 'カレー']</v>
          </cell>
        </row>
        <row r="876">
          <cell r="R876" t="str">
            <v>['ベーカリー']</v>
          </cell>
        </row>
        <row r="877">
          <cell r="R877" t="str">
            <v>['弁当', '丼', 'カレー']</v>
          </cell>
        </row>
        <row r="878">
          <cell r="R878" t="str">
            <v>['ピザ', 'パスタ', 'イタリアン']</v>
          </cell>
        </row>
        <row r="879">
          <cell r="R879" t="str">
            <v>['洋食', 'ステーキ', '弁当']</v>
          </cell>
        </row>
        <row r="880">
          <cell r="R880" t="str">
            <v>['コーヒー']</v>
          </cell>
        </row>
        <row r="881">
          <cell r="R881" t="str">
            <v>['ハンバーガー', '丼', 'タコス']</v>
          </cell>
        </row>
        <row r="882">
          <cell r="R882" t="str">
            <v>['丼', 'サラダ', 'カレー']</v>
          </cell>
        </row>
        <row r="883">
          <cell r="R883" t="str">
            <v>['和食', '弁当', '丼']</v>
          </cell>
        </row>
        <row r="884">
          <cell r="R884" t="str">
            <v>['丼', 'カレー', 'サラダ']</v>
          </cell>
        </row>
        <row r="885">
          <cell r="R885" t="str">
            <v>['ステーキ', '弁当', '洋食']</v>
          </cell>
        </row>
        <row r="886">
          <cell r="R886" t="str">
            <v>['カフェ', 'コーヒー', 'クレープ']</v>
          </cell>
        </row>
        <row r="887">
          <cell r="R887" t="str">
            <v>['和食']</v>
          </cell>
        </row>
        <row r="888">
          <cell r="R888" t="str">
            <v>['カフェ', 'コーヒー', 'サンドイッチ']</v>
          </cell>
        </row>
        <row r="889">
          <cell r="R889" t="str">
            <v>['焼き鳥', 'ステーキ', '海鮮']</v>
          </cell>
        </row>
        <row r="890">
          <cell r="R890" t="str">
            <v>['ステーキ', '丼', 'カレー']</v>
          </cell>
        </row>
        <row r="891">
          <cell r="R891" t="str">
            <v>['焼きそば', '麺類']</v>
          </cell>
        </row>
        <row r="892">
          <cell r="R892" t="str">
            <v>['中華', '麺類']</v>
          </cell>
        </row>
        <row r="893">
          <cell r="R893" t="str">
            <v>['カレー', '鳥料理', 'カフェ']</v>
          </cell>
        </row>
        <row r="894">
          <cell r="R894" t="str">
            <v>['デザート', 'ピザ', 'ステーキ']</v>
          </cell>
        </row>
        <row r="895">
          <cell r="R895" t="str">
            <v>['イタリアン', 'ピザ', 'パスタ']</v>
          </cell>
        </row>
        <row r="896">
          <cell r="R896" t="str">
            <v>['スイーツ', 'クレープ']</v>
          </cell>
        </row>
        <row r="897">
          <cell r="R897" t="str">
            <v>['魚介類', '海鮮', '鳥料理']</v>
          </cell>
        </row>
        <row r="898">
          <cell r="R898" t="str">
            <v>['和食', '丼', 'カレー']</v>
          </cell>
        </row>
        <row r="899">
          <cell r="R899" t="str">
            <v>['サンドイッチ', 'スイーツ', '鳥料理']</v>
          </cell>
        </row>
        <row r="900">
          <cell r="R900" t="str">
            <v>['カレー', '麺類']</v>
          </cell>
        </row>
        <row r="901">
          <cell r="R901" t="str">
            <v>['ベーカリー', 'カフェ', 'コーヒー']</v>
          </cell>
        </row>
        <row r="902">
          <cell r="R902" t="str">
            <v>['お好み焼き', '鉄板焼']</v>
          </cell>
        </row>
        <row r="903">
          <cell r="R903" t="str">
            <v>['ラーメン', '麺類']</v>
          </cell>
        </row>
        <row r="904">
          <cell r="R904" t="str">
            <v>['カフェ', '洋食']</v>
          </cell>
        </row>
        <row r="905">
          <cell r="R905" t="str">
            <v>['弁当', '丼']</v>
          </cell>
        </row>
        <row r="906">
          <cell r="R906" t="str">
            <v>['デザート', 'クレープ', 'サラダ']</v>
          </cell>
        </row>
        <row r="907">
          <cell r="R907" t="str">
            <v>['和食', '弁当']</v>
          </cell>
        </row>
        <row r="908">
          <cell r="R908" t="str">
            <v>['お好み焼き']</v>
          </cell>
        </row>
        <row r="909">
          <cell r="R909" t="str">
            <v>['フレンチ', 'サラダ']</v>
          </cell>
        </row>
        <row r="910">
          <cell r="R910" t="str">
            <v>['グリル', '洋食', '弁当']</v>
          </cell>
        </row>
        <row r="911">
          <cell r="R911" t="str">
            <v>['ビール', 'ハンバーガー', 'お酒']</v>
          </cell>
        </row>
        <row r="912">
          <cell r="R912" t="str">
            <v>['鳥料理', '魚介類', '海鮮']</v>
          </cell>
        </row>
        <row r="913">
          <cell r="R913" t="str">
            <v>['揚げ鶏', '丼', 'カレー']</v>
          </cell>
        </row>
        <row r="914">
          <cell r="R914" t="str">
            <v>['弁当', '韓国料理']</v>
          </cell>
        </row>
        <row r="915">
          <cell r="R915" t="str">
            <v>['弁当', 'ステーキ']</v>
          </cell>
        </row>
        <row r="916">
          <cell r="R916" t="str">
            <v>['ラーメン', '麺類', '弁当']</v>
          </cell>
        </row>
        <row r="917">
          <cell r="R917" t="str">
            <v>['ステーキ']</v>
          </cell>
        </row>
        <row r="918">
          <cell r="R918" t="str">
            <v>['カレー', 'デザート', 'ハラール']</v>
          </cell>
        </row>
        <row r="919">
          <cell r="R919" t="str">
            <v>['ラーメン', '麺類']</v>
          </cell>
        </row>
        <row r="920">
          <cell r="R920" t="str">
            <v>['丼', 'ヘルシー', 'サラダ']</v>
          </cell>
        </row>
        <row r="921">
          <cell r="R921" t="str">
            <v>['和食', '丼']</v>
          </cell>
        </row>
        <row r="922">
          <cell r="R922" t="str">
            <v>['スープカレー', '野菜', 'カレー']</v>
          </cell>
        </row>
        <row r="923">
          <cell r="R923" t="str">
            <v>['中華', '麺類']</v>
          </cell>
        </row>
        <row r="924">
          <cell r="R924" t="str">
            <v>['弁当', '丼']</v>
          </cell>
        </row>
        <row r="925">
          <cell r="R925" t="str">
            <v>['丼', '海鮮', '弁当']</v>
          </cell>
        </row>
        <row r="926">
          <cell r="R926" t="str">
            <v>['弁当', 'カフェ', '中華']</v>
          </cell>
        </row>
        <row r="927">
          <cell r="R927" t="str">
            <v>['和食', '弁当']</v>
          </cell>
        </row>
        <row r="928">
          <cell r="R928" t="str">
            <v>['うなぎ', '和食', '丼']</v>
          </cell>
        </row>
        <row r="929">
          <cell r="R929" t="str">
            <v>['弁当', '中華料理', '焼飯']</v>
          </cell>
        </row>
        <row r="930">
          <cell r="R930" t="str">
            <v>['中華']</v>
          </cell>
        </row>
        <row r="931">
          <cell r="R931" t="str">
            <v>['麺類', 'ラーメン', 'つけ麺']</v>
          </cell>
        </row>
        <row r="932">
          <cell r="R932" t="str">
            <v>['和食']</v>
          </cell>
        </row>
        <row r="933">
          <cell r="R933" t="str">
            <v>['弁当', '中華', '揚げ鶏']</v>
          </cell>
        </row>
        <row r="934">
          <cell r="R934" t="str">
            <v>['カレー', 'インド料理']</v>
          </cell>
        </row>
        <row r="935">
          <cell r="R935" t="str">
            <v>['インド料理', 'カレー']</v>
          </cell>
        </row>
        <row r="936">
          <cell r="R936" t="str">
            <v>['お好み焼き']</v>
          </cell>
        </row>
        <row r="937">
          <cell r="R937" t="str">
            <v>['丼', 'サラダ', 'カレー']</v>
          </cell>
        </row>
        <row r="938">
          <cell r="R938" t="str">
            <v>['魚介類', '麺類', 'お寿司']</v>
          </cell>
        </row>
        <row r="939">
          <cell r="R939" t="str">
            <v>['麺類', 'ラーメン', 'お酒']</v>
          </cell>
        </row>
        <row r="940">
          <cell r="R940" t="str">
            <v>['弁当', '和食', '屋台飯']</v>
          </cell>
        </row>
        <row r="941">
          <cell r="R941" t="str">
            <v>['イタリアン', 'パスタ', 'サラダ']</v>
          </cell>
        </row>
        <row r="942">
          <cell r="R942" t="str">
            <v>['ブリトー', 'メキシコ料理', 'タコス']</v>
          </cell>
        </row>
        <row r="943">
          <cell r="R943" t="str">
            <v>['丼', 'サラダ', 'カレー']</v>
          </cell>
        </row>
        <row r="944">
          <cell r="R944" t="str">
            <v>['ピザ', 'イタリアン']</v>
          </cell>
        </row>
        <row r="945">
          <cell r="R945" t="str">
            <v>['洋食', 'アメリカン', '屋台飯']</v>
          </cell>
        </row>
        <row r="946">
          <cell r="R946" t="str">
            <v>['デザート', 'パスタ', 'ピザ']</v>
          </cell>
        </row>
        <row r="947">
          <cell r="R947" t="str">
            <v>['アメリカン', '揚げ鶏', 'サンドイッチ']</v>
          </cell>
        </row>
        <row r="948">
          <cell r="R948" t="str">
            <v>['デザート', 'スムージー']</v>
          </cell>
        </row>
        <row r="949">
          <cell r="R949" t="str">
            <v>['カレー', 'サラダ']</v>
          </cell>
        </row>
        <row r="950">
          <cell r="R950" t="str">
            <v>['鳥料理', 'カレー', '焼飯']</v>
          </cell>
        </row>
        <row r="951">
          <cell r="R951" t="str">
            <v>['サラダ', 'タンパク質', 'ヘルシー']</v>
          </cell>
        </row>
        <row r="952">
          <cell r="R952" t="str">
            <v>['ラーメン', '揚げ鶏']</v>
          </cell>
        </row>
        <row r="953">
          <cell r="R953" t="str">
            <v>['ドーナツ', 'スイーツ']</v>
          </cell>
        </row>
        <row r="954">
          <cell r="R954" t="str">
            <v>['麺類']</v>
          </cell>
        </row>
        <row r="955">
          <cell r="R955" t="str">
            <v>['カフェ', '鳥料理', 'コーヒー']</v>
          </cell>
        </row>
        <row r="956">
          <cell r="R956" t="str">
            <v>['鳥料理', '揚げ鶏', 'ドリンク']</v>
          </cell>
        </row>
        <row r="957">
          <cell r="R957" t="str">
            <v>['弁当']</v>
          </cell>
        </row>
        <row r="958">
          <cell r="R958" t="str">
            <v>['丼', 'サラダ', 'カレー']</v>
          </cell>
        </row>
        <row r="959">
          <cell r="R959" t="str">
            <v>['弁当', 'カフェ', 'コーヒー']</v>
          </cell>
        </row>
        <row r="960">
          <cell r="R960" t="str">
            <v>['丼']</v>
          </cell>
        </row>
        <row r="961">
          <cell r="R961" t="str">
            <v>['カレー', 'エスニック', '弁当']</v>
          </cell>
        </row>
        <row r="962">
          <cell r="R962" t="str">
            <v>['中華', '麺類', '丼']</v>
          </cell>
        </row>
        <row r="963">
          <cell r="R963" t="str">
            <v>['スープカレー']</v>
          </cell>
        </row>
        <row r="964">
          <cell r="R964" t="str">
            <v>['ラーメン', '麺類']</v>
          </cell>
        </row>
        <row r="965">
          <cell r="R965" t="str">
            <v>['スープカレー']</v>
          </cell>
        </row>
        <row r="966">
          <cell r="R966" t="str">
            <v>['魚介類', 'お寿司', '和食']</v>
          </cell>
        </row>
        <row r="967">
          <cell r="R967" t="str">
            <v>['弁当', '鳥料理']</v>
          </cell>
        </row>
        <row r="968">
          <cell r="R968" t="str">
            <v>['麺類', '丼']</v>
          </cell>
        </row>
        <row r="969">
          <cell r="R969" t="str">
            <v>['洋食']</v>
          </cell>
        </row>
        <row r="970">
          <cell r="R970" t="str">
            <v>['カレー']</v>
          </cell>
        </row>
        <row r="971">
          <cell r="R971" t="str">
            <v>['洋食', 'カフェ', 'デザート']</v>
          </cell>
        </row>
        <row r="972">
          <cell r="R972" t="str">
            <v>['お好み焼き', '鉄板焼']</v>
          </cell>
        </row>
        <row r="973">
          <cell r="R973" t="str">
            <v>['カレー']</v>
          </cell>
        </row>
        <row r="974">
          <cell r="R974" t="str">
            <v>['洋食', 'カレー']</v>
          </cell>
        </row>
        <row r="975">
          <cell r="R975" t="str">
            <v>['和食', '弁当']</v>
          </cell>
        </row>
        <row r="976">
          <cell r="R976" t="str">
            <v>['カフェ', 'コーヒー', 'サンドイッチ']</v>
          </cell>
        </row>
        <row r="977">
          <cell r="R977" t="str">
            <v>['焼き鳥', '丼']</v>
          </cell>
        </row>
        <row r="978">
          <cell r="R978" t="str">
            <v>['インド料理', 'カレー', 'スイーツ']</v>
          </cell>
        </row>
        <row r="979">
          <cell r="R979" t="str">
            <v>['ラーメン', '麺類']</v>
          </cell>
        </row>
        <row r="980">
          <cell r="R980" t="str">
            <v>['弁当', '和食', 'カフェ']</v>
          </cell>
        </row>
        <row r="981">
          <cell r="R981" t="str">
            <v>['弁当']</v>
          </cell>
        </row>
        <row r="982">
          <cell r="R982" t="str">
            <v>['弁当', '和食', 'カフェ']</v>
          </cell>
        </row>
        <row r="983">
          <cell r="R983" t="str">
            <v>['和食', '洋食']</v>
          </cell>
        </row>
        <row r="984">
          <cell r="R984" t="str">
            <v>['スープカレー']</v>
          </cell>
        </row>
        <row r="985">
          <cell r="R985" t="str">
            <v>['弁当']</v>
          </cell>
        </row>
        <row r="986">
          <cell r="R986" t="str">
            <v>['弁当', '揚げ鶏', 'カレー']</v>
          </cell>
        </row>
        <row r="987">
          <cell r="R987" t="str">
            <v>['鳥料理', 'スープカレー', 'カレー']</v>
          </cell>
        </row>
        <row r="988">
          <cell r="R988" t="str">
            <v>['和食', '海鮮', '弁当']</v>
          </cell>
        </row>
        <row r="989">
          <cell r="R989" t="str">
            <v>['和食']</v>
          </cell>
        </row>
        <row r="990">
          <cell r="R990" t="str">
            <v>['カレー', 'インド料理']</v>
          </cell>
        </row>
        <row r="991">
          <cell r="R991" t="str">
            <v>['丼', '鳥料理', 'ステーキ']</v>
          </cell>
        </row>
        <row r="992">
          <cell r="R992" t="str">
            <v>['丼', '和食']</v>
          </cell>
        </row>
        <row r="993">
          <cell r="R993" t="str">
            <v>['弁当', 'サラダ']</v>
          </cell>
        </row>
        <row r="994">
          <cell r="R994" t="str">
            <v>['中華']</v>
          </cell>
        </row>
        <row r="995">
          <cell r="R995" t="str">
            <v>['丼', 'サラダ', 'カレー']</v>
          </cell>
        </row>
        <row r="996">
          <cell r="R996" t="str">
            <v>['ベーカリー', 'カフェ', 'コーヒー']</v>
          </cell>
        </row>
        <row r="997">
          <cell r="R997" t="str">
            <v>['中華', '弁当', '麺類']</v>
          </cell>
        </row>
        <row r="998">
          <cell r="R998" t="str">
            <v>['イタリアン', 'パスタ', 'ピザ']</v>
          </cell>
        </row>
        <row r="999">
          <cell r="R999" t="str">
            <v>['ハンバーガー', 'サンドイッチ', 'デザート']</v>
          </cell>
        </row>
        <row r="1000">
          <cell r="R1000" t="str">
            <v>['和食', 'そば', '麺類']</v>
          </cell>
        </row>
        <row r="1001">
          <cell r="R1001" t="str">
            <v>['焼き鳥', '和食', '鳥料理']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38B446-E380-4250-A1A7-27C931C32B0E}" autoFormatId="16" applyNumberFormats="0" applyBorderFormats="0" applyFontFormats="0" applyPatternFormats="0" applyAlignmentFormats="0" applyWidthHeightFormats="0">
  <queryTableRefresh nextId="5">
    <queryTableFields count="3">
      <queryTableField id="1" name="rstcat (jap)" tableColumnId="1"/>
      <queryTableField id="2" name="rstcat (eng) raw" tableColumnId="2"/>
      <queryTableField id="3" name="Count" tableColumnId="3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D1D126-0B95-4E5D-A697-4E63691CF09A}" name="rstcat2" displayName="rstcat2" ref="A1:D178" totalsRowShown="0">
  <autoFilter ref="A1:D178" xr:uid="{00000000-0001-0000-0100-000000000000}"/>
  <tableColumns count="4">
    <tableColumn id="1" xr3:uid="{AB7067E5-3FD0-4AB2-937C-84BC45AC2602}" name="rstcat (jap)" dataDxfId="10"/>
    <tableColumn id="2" xr3:uid="{192FDE49-A362-4946-8AB6-B26B3C8EC485}" name="rstcat (eng) raw" dataDxfId="0"/>
    <tableColumn id="3" xr3:uid="{16F82409-FE83-479A-9D49-E231B416DA79}" name="Count (fx)" dataDxfId="9">
      <calculatedColumnFormula>COUNTIF([1]!SAMPLE2C[RSTCAT],"*"&amp;A2&amp;"*")</calculatedColumnFormula>
    </tableColumn>
    <tableColumn id="4" xr3:uid="{08FEF3CF-D805-4210-B791-BB6B57E06F0F}" name="Count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6E99C1-7D9E-4B8D-BF5A-8653425BAED2}" name="rstcat3" displayName="rstcat3" ref="A1:C125" totalsRowShown="0">
  <autoFilter ref="A1:C125" xr:uid="{7A6E99C1-7D9E-4B8D-BF5A-8653425BAED2}"/>
  <tableColumns count="3">
    <tableColumn id="1" xr3:uid="{B9C33AB2-9086-46B5-AFE0-E8B4A917719E}" name="rstcat (eng) raw" dataDxfId="7"/>
    <tableColumn id="2" xr3:uid="{0BC9B0E5-3500-44B5-B39A-C400D53FC909}" name="Count (fx)" dataDxfId="6">
      <calculatedColumnFormula>COUNTIF([2]!SAMPLE3C[CATEGORY_1],"*"&amp;A2&amp;"*")+COUNTIF([2]!SAMPLE3C[CATEGORY_2],"*"&amp;A2&amp;"*")+COUNTIF([2]!SAMPLE3C[CATEGORY_3],"*"&amp;A2&amp;"*")+COUNTIF([2]!SAMPLE3C[CATEGORY_4],"*"&amp;A2&amp;"*")+COUNTIF([2]!SAMPLE3C[CATEGORY_5],"*"&amp;A2&amp;"*")</calculatedColumnFormula>
    </tableColumn>
    <tableColumn id="3" xr3:uid="{40B02A0E-9AA7-4CE9-840B-705362B103D2}" name="Count" dataDxf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5DFEC9-AA72-44C0-A4D1-BE97729C6D53}" name="rstcat4" displayName="rstcat4" ref="A1:D94" totalsRowShown="0">
  <autoFilter ref="A1:D94" xr:uid="{CB5DFEC9-AA72-44C0-A4D1-BE97729C6D53}"/>
  <tableColumns count="4">
    <tableColumn id="1" xr3:uid="{9877F320-C8A8-4204-8751-957B7C87D3E3}" name="rstcat (jap)" dataDxfId="4"/>
    <tableColumn id="2" xr3:uid="{058EAEEF-7F53-4B7F-B372-91369954508E}" name="rstcat (eng) raw" dataDxfId="3"/>
    <tableColumn id="3" xr3:uid="{1DB8D29B-6AA1-4A4A-9D7D-FA51CA1AC343}" name="Count (fx)" dataDxfId="2">
      <calculatedColumnFormula>COUNTIF([3]SAMPLE4C!$R:$R,"*"&amp;A2&amp;"*")</calculatedColumnFormula>
    </tableColumn>
    <tableColumn id="4" xr3:uid="{AC0A50DA-7EAF-46C9-8BD5-B4B5C2917BDA}" name="Count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819201A-7E2F-4532-840F-76C5598D692B}" name="Append1" displayName="Append1" ref="A1:C395" tableType="queryTable" totalsRowShown="0">
  <autoFilter ref="A1:C395" xr:uid="{5819201A-7E2F-4532-840F-76C5598D692B}"/>
  <sortState xmlns:xlrd2="http://schemas.microsoft.com/office/spreadsheetml/2017/richdata2" ref="A2:C395">
    <sortCondition ref="B1:B395"/>
  </sortState>
  <tableColumns count="3">
    <tableColumn id="1" xr3:uid="{8F7C1110-318D-4C16-9E4F-44AEC0EF8E48}" uniqueName="1" name="rstcat (jap)" queryTableFieldId="1"/>
    <tableColumn id="2" xr3:uid="{612E8DB3-13CB-43EC-880D-B7BEB595A321}" uniqueName="2" name="rstcat (eng) raw" queryTableFieldId="2"/>
    <tableColumn id="3" xr3:uid="{0CD7D9D5-9106-4C29-9765-CAE08A80D170}" uniqueName="3" name="Count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C188"/>
  <sheetViews>
    <sheetView tabSelected="1" workbookViewId="0">
      <selection activeCell="C13" sqref="C13"/>
    </sheetView>
  </sheetViews>
  <sheetFormatPr defaultColWidth="14.42578125" defaultRowHeight="15" customHeight="1" x14ac:dyDescent="0.25"/>
  <cols>
    <col min="1" max="1" width="34.85546875" customWidth="1"/>
    <col min="2" max="2" width="102.7109375" bestFit="1" customWidth="1"/>
    <col min="3" max="3" width="21.7109375" bestFit="1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3" t="s">
        <v>783</v>
      </c>
    </row>
    <row r="2" spans="1:3" x14ac:dyDescent="0.25">
      <c r="A2" s="1" t="s">
        <v>2</v>
      </c>
      <c r="B2" s="6" t="str">
        <f>HYPERLINK("https://www.google.com/search?q="&amp;A2&amp;"+restaurant+tokyo")</f>
        <v>https://www.google.com/search?q=ARMS+restaurant+tokyo</v>
      </c>
      <c r="C2" s="3" t="s">
        <v>721</v>
      </c>
    </row>
    <row r="3" spans="1:3" x14ac:dyDescent="0.25">
      <c r="A3" s="1" t="s">
        <v>3</v>
      </c>
      <c r="B3" s="6" t="str">
        <f t="shared" ref="B3:B66" si="0">HYPERLINK("https://www.google.com/search?q="&amp;A3&amp;"+restaurant+tokyo")</f>
        <v>https://www.google.com/search?q=バーミヤン+restaurant+tokyo</v>
      </c>
      <c r="C3" s="3" t="s">
        <v>722</v>
      </c>
    </row>
    <row r="4" spans="1:3" x14ac:dyDescent="0.25">
      <c r="A4" s="1" t="s">
        <v>4</v>
      </c>
      <c r="B4" s="6" t="str">
        <f t="shared" si="0"/>
        <v>https://www.google.com/search?q=BROZERS’+restaurant+tokyo</v>
      </c>
      <c r="C4" s="3" t="s">
        <v>721</v>
      </c>
    </row>
    <row r="5" spans="1:3" x14ac:dyDescent="0.25">
      <c r="A5" s="1" t="s">
        <v>5</v>
      </c>
      <c r="B5" s="6" t="str">
        <f t="shared" si="0"/>
        <v>https://www.google.com/search?q=カレーハウスCoCo壱番屋+restaurant+tokyo</v>
      </c>
      <c r="C5" s="3" t="s">
        <v>765</v>
      </c>
    </row>
    <row r="6" spans="1:3" x14ac:dyDescent="0.25">
      <c r="A6" s="1" t="s">
        <v>6</v>
      </c>
      <c r="B6" s="6" t="str">
        <f t="shared" si="0"/>
        <v>https://www.google.com/search?q=ココイチエキスプレス+restaurant+tokyo</v>
      </c>
      <c r="C6" s="3" t="s">
        <v>765</v>
      </c>
    </row>
    <row r="7" spans="1:3" x14ac:dyDescent="0.25">
      <c r="A7" s="1" t="s">
        <v>7</v>
      </c>
      <c r="B7" s="6" t="str">
        <f t="shared" si="0"/>
        <v>https://www.google.com/search?q=ピザ・カリフォルニア+restaurant+tokyo</v>
      </c>
      <c r="C7" s="3" t="s">
        <v>438</v>
      </c>
    </row>
    <row r="8" spans="1:3" x14ac:dyDescent="0.25">
      <c r="A8" s="1" t="s">
        <v>8</v>
      </c>
      <c r="B8" s="6" t="str">
        <f t="shared" si="0"/>
        <v>https://www.google.com/search?q=吉祥寺中華街+restaurant+tokyo</v>
      </c>
      <c r="C8" s="3" t="s">
        <v>722</v>
      </c>
    </row>
    <row r="9" spans="1:3" x14ac:dyDescent="0.25">
      <c r="A9" s="1" t="s">
        <v>9</v>
      </c>
      <c r="B9" s="6" t="str">
        <f t="shared" si="0"/>
        <v>https://www.google.com/search?q=ドミノ・ピザ+restaurant+tokyo</v>
      </c>
      <c r="C9" s="3" t="s">
        <v>438</v>
      </c>
    </row>
    <row r="10" spans="1:3" x14ac:dyDescent="0.25">
      <c r="A10" s="1" t="s">
        <v>10</v>
      </c>
      <c r="B10" s="6" t="str">
        <f t="shared" si="0"/>
        <v>https://www.google.com/search?q=大黒屋+restaurant+tokyo</v>
      </c>
      <c r="C10" s="3" t="s">
        <v>464</v>
      </c>
    </row>
    <row r="11" spans="1:3" x14ac:dyDescent="0.25">
      <c r="A11" s="1" t="s">
        <v>11</v>
      </c>
      <c r="B11" s="6" t="str">
        <f t="shared" si="0"/>
        <v>https://www.google.com/search?q=Fresh+restaurant+tokyo</v>
      </c>
      <c r="C11" s="3" t="s">
        <v>407</v>
      </c>
    </row>
    <row r="12" spans="1:3" x14ac:dyDescent="0.25">
      <c r="A12" s="1" t="s">
        <v>12</v>
      </c>
      <c r="B12" s="6" t="str">
        <f t="shared" si="0"/>
        <v>https://www.google.com/search?q=FIRE+restaurant+tokyo</v>
      </c>
      <c r="C12" s="3" t="s">
        <v>781</v>
      </c>
    </row>
    <row r="13" spans="1:3" x14ac:dyDescent="0.25">
      <c r="A13" s="1" t="s">
        <v>13</v>
      </c>
      <c r="B13" s="6" t="str">
        <f t="shared" si="0"/>
        <v>https://www.google.com/search?q=FAITH（フェイス）+restaurant+tokyo</v>
      </c>
      <c r="C13" s="3" t="s">
        <v>721</v>
      </c>
    </row>
    <row r="14" spans="1:3" x14ac:dyDescent="0.25">
      <c r="A14" s="1" t="s">
        <v>14</v>
      </c>
      <c r="B14" s="6" t="str">
        <f t="shared" si="0"/>
        <v>https://www.google.com/search?q=がんばり屋+restaurant+tokyo</v>
      </c>
      <c r="C14" s="3" t="s">
        <v>781</v>
      </c>
    </row>
    <row r="15" spans="1:3" x14ac:dyDescent="0.25">
      <c r="A15" s="1" t="s">
        <v>15</v>
      </c>
      <c r="B15" s="6" t="str">
        <f t="shared" si="0"/>
        <v>https://www.google.com/search?q=ガスト+restaurant+tokyo</v>
      </c>
      <c r="C15" s="3" t="s">
        <v>721</v>
      </c>
    </row>
    <row r="16" spans="1:3" x14ac:dyDescent="0.25">
      <c r="A16" s="1" t="s">
        <v>16</v>
      </c>
      <c r="B16" s="6" t="str">
        <f t="shared" si="0"/>
        <v>https://www.google.com/search?q=香港の達人+restaurant+tokyo</v>
      </c>
      <c r="C16" s="3" t="s">
        <v>722</v>
      </c>
    </row>
    <row r="17" spans="1:3" x14ac:dyDescent="0.25">
      <c r="A17" s="1" t="s">
        <v>17</v>
      </c>
      <c r="B17" s="6" t="str">
        <f t="shared" si="0"/>
        <v>https://www.google.com/search?q=香港ロジ+restaurant+tokyo</v>
      </c>
      <c r="C17" s="3" t="s">
        <v>722</v>
      </c>
    </row>
    <row r="18" spans="1:3" x14ac:dyDescent="0.25">
      <c r="A18" s="1" t="s">
        <v>18</v>
      </c>
      <c r="B18" s="6" t="str">
        <f t="shared" si="0"/>
        <v>https://www.google.com/search?q=本格インド料理+restaurant+tokyo</v>
      </c>
      <c r="C18" s="3" t="s">
        <v>723</v>
      </c>
    </row>
    <row r="19" spans="1:3" x14ac:dyDescent="0.25">
      <c r="A19" s="1" t="s">
        <v>19</v>
      </c>
      <c r="B19" s="6" t="str">
        <f t="shared" si="0"/>
        <v>https://www.google.com/search?q=柿家すし+restaurant+tokyo</v>
      </c>
      <c r="C19" s="3" t="s">
        <v>459</v>
      </c>
    </row>
    <row r="20" spans="1:3" x14ac:dyDescent="0.25">
      <c r="A20" s="1" t="s">
        <v>20</v>
      </c>
      <c r="B20" s="6" t="str">
        <f t="shared" si="0"/>
        <v>https://www.google.com/search?q=手作りの店+restaurant+tokyo</v>
      </c>
      <c r="C20" s="3" t="s">
        <v>717</v>
      </c>
    </row>
    <row r="21" spans="1:3" ht="15.75" customHeight="1" x14ac:dyDescent="0.25">
      <c r="A21" s="1" t="s">
        <v>21</v>
      </c>
      <c r="B21" s="6" t="str">
        <f t="shared" si="0"/>
        <v>https://www.google.com/search?q=鮮度抜群天然地魚取扱店+restaurant+tokyo</v>
      </c>
      <c r="C21" s="3" t="s">
        <v>732</v>
      </c>
    </row>
    <row r="22" spans="1:3" ht="15.75" customHeight="1" x14ac:dyDescent="0.25">
      <c r="A22" s="1" t="s">
        <v>22</v>
      </c>
      <c r="B22" s="6" t="str">
        <f t="shared" si="0"/>
        <v>https://www.google.com/search?q=ビストロ+restaurant+tokyo</v>
      </c>
      <c r="C22" s="3" t="s">
        <v>729</v>
      </c>
    </row>
    <row r="23" spans="1:3" ht="15.75" customHeight="1" x14ac:dyDescent="0.25">
      <c r="A23" s="1" t="s">
        <v>23</v>
      </c>
      <c r="B23" s="6" t="str">
        <f t="shared" si="0"/>
        <v>https://www.google.com/search?q=萬福来+restaurant+tokyo</v>
      </c>
      <c r="C23" s="3" t="s">
        <v>722</v>
      </c>
    </row>
    <row r="24" spans="1:3" ht="15.75" customHeight="1" x14ac:dyDescent="0.25">
      <c r="A24" s="1" t="s">
        <v>24</v>
      </c>
      <c r="B24" s="6" t="str">
        <f t="shared" si="0"/>
        <v>https://www.google.com/search?q=ニューヨークニューヨーク+restaurant+tokyo</v>
      </c>
      <c r="C24" s="3" t="s">
        <v>721</v>
      </c>
    </row>
    <row r="25" spans="1:3" ht="15.75" customHeight="1" x14ac:dyDescent="0.25">
      <c r="A25" s="1" t="s">
        <v>25</v>
      </c>
      <c r="B25" s="6" t="str">
        <f t="shared" si="0"/>
        <v>https://www.google.com/search?q=オーベルジーヌ+restaurant+tokyo</v>
      </c>
      <c r="C25" s="3" t="s">
        <v>729</v>
      </c>
    </row>
    <row r="26" spans="1:3" ht="15.75" customHeight="1" x14ac:dyDescent="0.25">
      <c r="A26" s="1" t="s">
        <v>26</v>
      </c>
      <c r="B26" s="6" t="str">
        <f t="shared" si="0"/>
        <v>https://www.google.com/search?q=本格タイ料理+restaurant+tokyo</v>
      </c>
      <c r="C26" s="3" t="s">
        <v>726</v>
      </c>
    </row>
    <row r="27" spans="1:3" ht="15.75" customHeight="1" x14ac:dyDescent="0.25">
      <c r="A27" s="1" t="s">
        <v>27</v>
      </c>
      <c r="B27" s="6" t="str">
        <f t="shared" si="0"/>
        <v>https://www.google.com/search?q=ピザポケット+restaurant+tokyo</v>
      </c>
      <c r="C27" s="3" t="s">
        <v>438</v>
      </c>
    </row>
    <row r="28" spans="1:3" ht="15.75" customHeight="1" x14ac:dyDescent="0.25">
      <c r="A28" s="1" t="s">
        <v>28</v>
      </c>
      <c r="B28" s="6" t="str">
        <f t="shared" si="0"/>
        <v>https://www.google.com/search?q=ピザハット+restaurant+tokyo</v>
      </c>
      <c r="C28" s="3" t="s">
        <v>438</v>
      </c>
    </row>
    <row r="29" spans="1:3" ht="15.75" customHeight="1" x14ac:dyDescent="0.25">
      <c r="A29" s="1" t="s">
        <v>29</v>
      </c>
      <c r="B29" s="6" t="str">
        <f t="shared" si="0"/>
        <v>https://www.google.com/search?q=Pe’z+restaurant+tokyo</v>
      </c>
      <c r="C29" s="3" t="s">
        <v>721</v>
      </c>
    </row>
    <row r="30" spans="1:3" ht="15.75" customHeight="1" x14ac:dyDescent="0.25">
      <c r="A30" s="1" t="s">
        <v>30</v>
      </c>
      <c r="B30" s="6" t="str">
        <f t="shared" si="0"/>
        <v>https://www.google.com/search?q=ピザーラ+restaurant+tokyo</v>
      </c>
      <c r="C30" s="3" t="s">
        <v>438</v>
      </c>
    </row>
    <row r="31" spans="1:3" ht="15.75" customHeight="1" x14ac:dyDescent="0.25">
      <c r="A31" s="1" t="s">
        <v>31</v>
      </c>
      <c r="B31" s="6" t="str">
        <f t="shared" si="0"/>
        <v>https://www.google.com/search?q=出前レストラン+restaurant+tokyo</v>
      </c>
      <c r="C31" s="3" t="s">
        <v>721</v>
      </c>
    </row>
    <row r="32" spans="1:3" ht="15.75" customHeight="1" x14ac:dyDescent="0.25">
      <c r="A32" s="1" t="s">
        <v>32</v>
      </c>
      <c r="B32" s="6" t="str">
        <f t="shared" si="0"/>
        <v>https://www.google.com/search?q=プリモピザ+restaurant+tokyo</v>
      </c>
      <c r="C32" s="3" t="s">
        <v>438</v>
      </c>
    </row>
    <row r="33" spans="1:3" ht="15.75" customHeight="1" x14ac:dyDescent="0.25">
      <c r="A33" s="1" t="s">
        <v>33</v>
      </c>
      <c r="B33" s="6" t="str">
        <f t="shared" si="0"/>
        <v>https://www.google.com/search?q=ワンランク上のデリバリー+restaurant+tokyo</v>
      </c>
      <c r="C33" s="3" t="s">
        <v>729</v>
      </c>
    </row>
    <row r="34" spans="1:3" ht="15.75" customHeight="1" x14ac:dyDescent="0.25">
      <c r="A34" s="1" t="s">
        <v>34</v>
      </c>
      <c r="B34" s="6" t="str">
        <f t="shared" si="0"/>
        <v>https://www.google.com/search?q=龍香居+restaurant+tokyo</v>
      </c>
      <c r="C34" s="3" t="s">
        <v>722</v>
      </c>
    </row>
    <row r="35" spans="1:3" ht="15.75" customHeight="1" x14ac:dyDescent="0.25">
      <c r="A35" s="1" t="s">
        <v>35</v>
      </c>
      <c r="B35" s="6" t="str">
        <f t="shared" si="0"/>
        <v>https://www.google.com/search?q=PIZZA+restaurant+tokyo</v>
      </c>
      <c r="C35" s="3" t="s">
        <v>438</v>
      </c>
    </row>
    <row r="36" spans="1:3" ht="15.75" customHeight="1" x14ac:dyDescent="0.25">
      <c r="A36" s="1" t="s">
        <v>36</v>
      </c>
      <c r="B36" s="6" t="str">
        <f t="shared" si="0"/>
        <v>https://www.google.com/search?q=シカゴデリータ+restaurant+tokyo</v>
      </c>
      <c r="C36" s="3" t="s">
        <v>438</v>
      </c>
    </row>
    <row r="37" spans="1:3" ht="15.75" customHeight="1" x14ac:dyDescent="0.25">
      <c r="A37" s="1" t="s">
        <v>37</v>
      </c>
      <c r="B37" s="6" t="str">
        <f t="shared" si="0"/>
        <v>https://www.google.com/search?q=中華料理+restaurant+tokyo</v>
      </c>
      <c r="C37" s="3" t="s">
        <v>722</v>
      </c>
    </row>
    <row r="38" spans="1:3" ht="15.75" customHeight="1" x14ac:dyDescent="0.25">
      <c r="A38" s="1" t="s">
        <v>38</v>
      </c>
      <c r="B38" s="6" t="str">
        <f t="shared" si="0"/>
        <v>https://www.google.com/search?q=仙楽亭+restaurant+tokyo</v>
      </c>
      <c r="C38" s="3" t="s">
        <v>722</v>
      </c>
    </row>
    <row r="39" spans="1:3" ht="15.75" customHeight="1" x14ac:dyDescent="0.25">
      <c r="A39" s="1" t="s">
        <v>39</v>
      </c>
      <c r="B39" s="6" t="str">
        <f t="shared" si="0"/>
        <v>https://www.google.com/search?q=兎月+restaurant+tokyo</v>
      </c>
      <c r="C39" s="3" t="s">
        <v>724</v>
      </c>
    </row>
    <row r="40" spans="1:3" ht="15.75" customHeight="1" x14ac:dyDescent="0.25">
      <c r="A40" s="1" t="s">
        <v>40</v>
      </c>
      <c r="B40" s="6" t="str">
        <f t="shared" si="0"/>
        <v>https://www.google.com/search?q=中華デリバリー+restaurant+tokyo</v>
      </c>
      <c r="C40" s="3" t="s">
        <v>722</v>
      </c>
    </row>
    <row r="41" spans="1:3" ht="15.75" customHeight="1" x14ac:dyDescent="0.25">
      <c r="A41" s="1" t="s">
        <v>41</v>
      </c>
      <c r="B41" s="6" t="str">
        <f t="shared" si="0"/>
        <v>https://www.google.com/search?q=弁当デリバリー+restaurant+tokyo</v>
      </c>
      <c r="C41" s="3" t="s">
        <v>366</v>
      </c>
    </row>
    <row r="42" spans="1:3" ht="15.75" customHeight="1" x14ac:dyDescent="0.25">
      <c r="A42" s="1" t="s">
        <v>42</v>
      </c>
      <c r="B42" s="6" t="str">
        <f t="shared" si="0"/>
        <v>https://www.google.com/search?q=米山酒店+restaurant+tokyo</v>
      </c>
      <c r="C42" s="3" t="s">
        <v>763</v>
      </c>
    </row>
    <row r="43" spans="1:3" ht="15.75" customHeight="1" x14ac:dyDescent="0.25">
      <c r="A43" s="1" t="s">
        <v>43</v>
      </c>
      <c r="B43" s="6" t="str">
        <f t="shared" si="0"/>
        <v>https://www.google.com/search?q=東京ケータリングスタイル+restaurant+tokyo</v>
      </c>
      <c r="C43" s="3" t="s">
        <v>366</v>
      </c>
    </row>
    <row r="44" spans="1:3" ht="15.75" customHeight="1" x14ac:dyDescent="0.25">
      <c r="A44" s="1" t="s">
        <v>44</v>
      </c>
      <c r="B44" s="6" t="str">
        <f t="shared" si="0"/>
        <v>https://www.google.com/search?q=匠のカレーうどん+restaurant+tokyo</v>
      </c>
      <c r="C44" s="3" t="s">
        <v>432</v>
      </c>
    </row>
    <row r="45" spans="1:3" ht="15.75" customHeight="1" x14ac:dyDescent="0.25">
      <c r="A45" s="1" t="s">
        <v>45</v>
      </c>
      <c r="B45" s="6" t="str">
        <f t="shared" si="0"/>
        <v>https://www.google.com/search?q=OKONOMI－9+restaurant+tokyo</v>
      </c>
      <c r="C45" s="3" t="s">
        <v>724</v>
      </c>
    </row>
    <row r="46" spans="1:3" ht="15.75" customHeight="1" x14ac:dyDescent="0.25">
      <c r="A46" s="1" t="s">
        <v>46</v>
      </c>
      <c r="B46" s="6" t="str">
        <f t="shared" si="0"/>
        <v>https://www.google.com/search?q=本格中華料理+restaurant+tokyo</v>
      </c>
      <c r="C46" s="3" t="s">
        <v>722</v>
      </c>
    </row>
    <row r="47" spans="1:3" ht="15.75" customHeight="1" x14ac:dyDescent="0.25">
      <c r="A47" s="1" t="s">
        <v>47</v>
      </c>
      <c r="B47" s="6" t="str">
        <f t="shared" si="0"/>
        <v>https://www.google.com/search?q=モスバーガー+restaurant+tokyo</v>
      </c>
      <c r="C47" s="3" t="s">
        <v>721</v>
      </c>
    </row>
    <row r="48" spans="1:3" ht="15.75" customHeight="1" x14ac:dyDescent="0.25">
      <c r="A48" s="1" t="s">
        <v>48</v>
      </c>
      <c r="B48" s="6" t="str">
        <f t="shared" si="0"/>
        <v>https://www.google.com/search?q=広島焼+restaurant+tokyo</v>
      </c>
      <c r="C48" s="3" t="s">
        <v>724</v>
      </c>
    </row>
    <row r="49" spans="1:3" ht="15.75" customHeight="1" x14ac:dyDescent="0.25">
      <c r="A49" s="1" t="s">
        <v>49</v>
      </c>
      <c r="B49" s="6" t="str">
        <f t="shared" si="0"/>
        <v>https://www.google.com/search?q=ジョナサン+restaurant+tokyo</v>
      </c>
      <c r="C49" s="3" t="s">
        <v>721</v>
      </c>
    </row>
    <row r="50" spans="1:3" ht="15.75" customHeight="1" x14ac:dyDescent="0.25">
      <c r="A50" s="1" t="s">
        <v>50</v>
      </c>
      <c r="B50" s="6" t="str">
        <f t="shared" si="0"/>
        <v>https://www.google.com/search?q=インド定食+restaurant+tokyo</v>
      </c>
      <c r="C50" s="3" t="s">
        <v>723</v>
      </c>
    </row>
    <row r="51" spans="1:3" ht="15.75" customHeight="1" x14ac:dyDescent="0.25">
      <c r="A51" s="1" t="s">
        <v>51</v>
      </c>
      <c r="B51" s="6" t="str">
        <f t="shared" si="0"/>
        <v>https://www.google.com/search?q=本格グルメバーガーを一個からお届け+restaurant+tokyo</v>
      </c>
      <c r="C51" s="3" t="s">
        <v>721</v>
      </c>
    </row>
    <row r="52" spans="1:3" ht="15.75" customHeight="1" x14ac:dyDescent="0.25">
      <c r="A52" s="1" t="s">
        <v>52</v>
      </c>
      <c r="B52" s="6" t="str">
        <f t="shared" si="0"/>
        <v>https://www.google.com/search?q=笹互+restaurant+tokyo</v>
      </c>
      <c r="C52" s="3" t="s">
        <v>459</v>
      </c>
    </row>
    <row r="53" spans="1:3" ht="15.75" customHeight="1" x14ac:dyDescent="0.25">
      <c r="A53" s="1" t="s">
        <v>53</v>
      </c>
      <c r="B53" s="6" t="str">
        <f t="shared" si="0"/>
        <v>https://www.google.com/search?q=ザ・パントリー+restaurant+tokyo</v>
      </c>
      <c r="C53" s="3" t="s">
        <v>721</v>
      </c>
    </row>
    <row r="54" spans="1:3" ht="15.75" customHeight="1" x14ac:dyDescent="0.25">
      <c r="A54" s="1" t="s">
        <v>54</v>
      </c>
      <c r="B54" s="6" t="str">
        <f t="shared" si="0"/>
        <v>https://www.google.com/search?q=上海エクスプレス+restaurant+tokyo</v>
      </c>
      <c r="C54" s="3" t="s">
        <v>722</v>
      </c>
    </row>
    <row r="55" spans="1:3" ht="15.75" customHeight="1" x14ac:dyDescent="0.25">
      <c r="A55" s="1" t="s">
        <v>55</v>
      </c>
      <c r="B55" s="6" t="str">
        <f t="shared" si="0"/>
        <v>https://www.google.com/search?q=ソウルランチ+restaurant+tokyo</v>
      </c>
      <c r="C55" s="3" t="s">
        <v>725</v>
      </c>
    </row>
    <row r="56" spans="1:3" ht="15.75" customHeight="1" x14ac:dyDescent="0.25">
      <c r="A56" s="1" t="s">
        <v>56</v>
      </c>
      <c r="B56" s="6" t="str">
        <f t="shared" si="0"/>
        <v>https://www.google.com/search?q=「うまい！」が大集合！+restaurant+tokyo</v>
      </c>
      <c r="C56" s="3" t="s">
        <v>660</v>
      </c>
    </row>
    <row r="57" spans="1:3" ht="15.75" customHeight="1" x14ac:dyDescent="0.25">
      <c r="A57" s="1" t="s">
        <v>57</v>
      </c>
      <c r="B57" s="6" t="str">
        <f t="shared" si="0"/>
        <v>https://www.google.com/search?q=四川料理+restaurant+tokyo</v>
      </c>
      <c r="C57" s="3" t="s">
        <v>722</v>
      </c>
    </row>
    <row r="58" spans="1:3" ht="15.75" customHeight="1" x14ac:dyDescent="0.25">
      <c r="A58" s="1" t="s">
        <v>58</v>
      </c>
      <c r="B58" s="6" t="str">
        <f t="shared" si="0"/>
        <v>https://www.google.com/search?q=MUNCH’S+restaurant+tokyo</v>
      </c>
      <c r="C58" s="3" t="s">
        <v>721</v>
      </c>
    </row>
    <row r="59" spans="1:3" ht="15.75" customHeight="1" x14ac:dyDescent="0.25">
      <c r="A59" s="1" t="s">
        <v>59</v>
      </c>
      <c r="B59" s="6" t="str">
        <f t="shared" si="0"/>
        <v>https://www.google.com/search?q=つけ麺エクスプレス+restaurant+tokyo</v>
      </c>
      <c r="C59" s="3" t="s">
        <v>432</v>
      </c>
    </row>
    <row r="60" spans="1:3" ht="15.75" customHeight="1" x14ac:dyDescent="0.25">
      <c r="A60" s="1" t="s">
        <v>60</v>
      </c>
      <c r="B60" s="6" t="str">
        <f t="shared" si="0"/>
        <v>https://www.google.com/search?q=中華一丁+restaurant+tokyo</v>
      </c>
      <c r="C60" s="3" t="s">
        <v>722</v>
      </c>
    </row>
    <row r="61" spans="1:3" ht="15.75" customHeight="1" x14ac:dyDescent="0.25">
      <c r="A61" s="1" t="s">
        <v>61</v>
      </c>
      <c r="B61" s="6" t="str">
        <f t="shared" si="0"/>
        <v>https://www.google.com/search?q=26号くるりんカレー+restaurant+tokyo</v>
      </c>
      <c r="C61" s="3" t="s">
        <v>765</v>
      </c>
    </row>
    <row r="62" spans="1:3" ht="15.75" customHeight="1" x14ac:dyDescent="0.25">
      <c r="A62" s="1" t="s">
        <v>62</v>
      </c>
      <c r="B62" s="6" t="str">
        <f t="shared" si="0"/>
        <v>https://www.google.com/search?q=中華レストラン+restaurant+tokyo</v>
      </c>
      <c r="C62" s="3" t="s">
        <v>722</v>
      </c>
    </row>
    <row r="63" spans="1:3" ht="15.75" customHeight="1" x14ac:dyDescent="0.25">
      <c r="A63" s="1" t="s">
        <v>63</v>
      </c>
      <c r="B63" s="6" t="str">
        <f t="shared" si="0"/>
        <v>https://www.google.com/search?q=place+restaurant+tokyo</v>
      </c>
    </row>
    <row r="64" spans="1:3" ht="15.75" customHeight="1" x14ac:dyDescent="0.25">
      <c r="A64" s="1" t="s">
        <v>64</v>
      </c>
      <c r="B64" s="6" t="str">
        <f t="shared" si="0"/>
        <v>https://www.google.com/search?q=中華宅配+restaurant+tokyo</v>
      </c>
      <c r="C64" s="3" t="s">
        <v>722</v>
      </c>
    </row>
    <row r="65" spans="1:3" ht="15.75" customHeight="1" x14ac:dyDescent="0.25">
      <c r="A65" s="1" t="s">
        <v>65</v>
      </c>
      <c r="B65" s="6" t="str">
        <f t="shared" si="0"/>
        <v>https://www.google.com/search?q=天ぴん+restaurant+tokyo</v>
      </c>
      <c r="C65" s="3" t="s">
        <v>464</v>
      </c>
    </row>
    <row r="66" spans="1:3" ht="15.75" customHeight="1" x14ac:dyDescent="0.25">
      <c r="A66" s="1" t="s">
        <v>66</v>
      </c>
      <c r="B66" s="6" t="str">
        <f t="shared" si="0"/>
        <v>https://www.google.com/search?q=一品房+restaurant+tokyo</v>
      </c>
      <c r="C66" s="3" t="s">
        <v>722</v>
      </c>
    </row>
    <row r="67" spans="1:3" ht="15.75" customHeight="1" x14ac:dyDescent="0.25">
      <c r="A67" s="1" t="s">
        <v>67</v>
      </c>
      <c r="B67" s="6" t="str">
        <f t="shared" ref="B67:B130" si="1">HYPERLINK("https://www.google.com/search?q="&amp;A67&amp;"+restaurant+tokyo")</f>
        <v>https://www.google.com/search?q=Burger+restaurant+tokyo</v>
      </c>
      <c r="C67" s="3" t="s">
        <v>721</v>
      </c>
    </row>
    <row r="68" spans="1:3" ht="15.75" customHeight="1" x14ac:dyDescent="0.25">
      <c r="A68" s="1" t="s">
        <v>68</v>
      </c>
      <c r="B68" s="6" t="str">
        <f t="shared" si="1"/>
        <v>https://www.google.com/search?q=台湾亭+restaurant+tokyo</v>
      </c>
      <c r="C68" s="3" t="s">
        <v>722</v>
      </c>
    </row>
    <row r="69" spans="1:3" ht="15.75" customHeight="1" x14ac:dyDescent="0.25">
      <c r="A69" s="1" t="s">
        <v>69</v>
      </c>
      <c r="B69" s="6" t="str">
        <f t="shared" si="1"/>
        <v>https://www.google.com/search?q=特選ロケ弁+restaurant+tokyo</v>
      </c>
      <c r="C69" s="3" t="s">
        <v>366</v>
      </c>
    </row>
    <row r="70" spans="1:3" ht="15.75" customHeight="1" x14ac:dyDescent="0.25">
      <c r="A70" s="1" t="s">
        <v>70</v>
      </c>
      <c r="B70" s="6" t="str">
        <f t="shared" si="1"/>
        <v>https://www.google.com/search?q=なんでも酒やカクヤス+restaurant+tokyo</v>
      </c>
      <c r="C70" s="3" t="s">
        <v>763</v>
      </c>
    </row>
    <row r="71" spans="1:3" ht="15.75" customHeight="1" x14ac:dyDescent="0.25">
      <c r="A71" s="1" t="s">
        <v>71</v>
      </c>
      <c r="B71" s="6" t="str">
        <f t="shared" si="1"/>
        <v>https://www.google.com/search?q=ZAIKA+restaurant+tokyo</v>
      </c>
      <c r="C71" s="3" t="s">
        <v>723</v>
      </c>
    </row>
    <row r="72" spans="1:3" ht="15.75" customHeight="1" x14ac:dyDescent="0.25">
      <c r="A72" s="1" t="s">
        <v>72</v>
      </c>
      <c r="B72" s="6" t="str">
        <f t="shared" si="1"/>
        <v>https://www.google.com/search?q=ふわとろオムライス+restaurant+tokyo</v>
      </c>
      <c r="C72" s="3" t="s">
        <v>731</v>
      </c>
    </row>
    <row r="73" spans="1:3" ht="15.75" customHeight="1" x14ac:dyDescent="0.25">
      <c r="A73" s="1" t="s">
        <v>73</v>
      </c>
      <c r="B73" s="6" t="str">
        <f t="shared" si="1"/>
        <v>https://www.google.com/search?q=本場中華+restaurant+tokyo</v>
      </c>
      <c r="C73" s="3" t="s">
        <v>722</v>
      </c>
    </row>
    <row r="74" spans="1:3" ht="15.75" customHeight="1" x14ac:dyDescent="0.25">
      <c r="A74" s="1" t="s">
        <v>74</v>
      </c>
      <c r="B74" s="6" t="str">
        <f t="shared" si="1"/>
        <v>https://www.google.com/search?q=チャンモニムチキン+restaurant+tokyo</v>
      </c>
      <c r="C74" s="3" t="s">
        <v>725</v>
      </c>
    </row>
    <row r="75" spans="1:3" ht="15.75" customHeight="1" x14ac:dyDescent="0.25">
      <c r="A75" s="1" t="s">
        <v>75</v>
      </c>
      <c r="B75" s="6" t="str">
        <f t="shared" si="1"/>
        <v>https://www.google.com/search?q=NEO+restaurant+tokyo</v>
      </c>
      <c r="C75" s="3" t="s">
        <v>459</v>
      </c>
    </row>
    <row r="76" spans="1:3" ht="15.75" customHeight="1" x14ac:dyDescent="0.25">
      <c r="A76" s="1" t="s">
        <v>76</v>
      </c>
      <c r="B76" s="6" t="str">
        <f t="shared" si="1"/>
        <v>https://www.google.com/search?q=大阪王将+restaurant+tokyo</v>
      </c>
      <c r="C76" s="3" t="s">
        <v>722</v>
      </c>
    </row>
    <row r="77" spans="1:3" ht="15.75" customHeight="1" x14ac:dyDescent="0.25">
      <c r="A77" s="1" t="s">
        <v>77</v>
      </c>
      <c r="B77" s="6" t="str">
        <f t="shared" si="1"/>
        <v>https://www.google.com/search?q=ネパール・インドレストラン＆バー+restaurant+tokyo</v>
      </c>
      <c r="C77" s="3" t="s">
        <v>723</v>
      </c>
    </row>
    <row r="78" spans="1:3" ht="15.75" customHeight="1" x14ac:dyDescent="0.25">
      <c r="A78" s="1" t="s">
        <v>78</v>
      </c>
      <c r="B78" s="6" t="str">
        <f t="shared" si="1"/>
        <v>https://www.google.com/search?q=神戸+restaurant+tokyo</v>
      </c>
      <c r="C78" s="3" t="s">
        <v>730</v>
      </c>
    </row>
    <row r="79" spans="1:3" ht="15.75" customHeight="1" x14ac:dyDescent="0.25">
      <c r="A79" s="1" t="s">
        <v>79</v>
      </c>
      <c r="B79" s="6" t="str">
        <f t="shared" si="1"/>
        <v>https://www.google.com/search?q=FREMONTCURRY＆DELI（フリーモントカレー＆デリ）+restaurant+tokyo</v>
      </c>
      <c r="C79" s="3" t="s">
        <v>765</v>
      </c>
    </row>
    <row r="80" spans="1:3" ht="15.75" customHeight="1" x14ac:dyDescent="0.25">
      <c r="A80" s="1" t="s">
        <v>80</v>
      </c>
      <c r="B80" s="6" t="str">
        <f t="shared" si="1"/>
        <v>https://www.google.com/search?q=あったぶた+restaurant+tokyo</v>
      </c>
      <c r="C80" s="3" t="s">
        <v>725</v>
      </c>
    </row>
    <row r="81" spans="1:3" ht="15.75" customHeight="1" x14ac:dyDescent="0.25">
      <c r="A81" s="1" t="s">
        <v>81</v>
      </c>
      <c r="B81" s="6" t="str">
        <f t="shared" si="1"/>
        <v>https://www.google.com/search?q=兄夫食堂+restaurant+tokyo</v>
      </c>
      <c r="C81" s="3" t="s">
        <v>725</v>
      </c>
    </row>
    <row r="82" spans="1:3" ht="15.75" customHeight="1" x14ac:dyDescent="0.25">
      <c r="A82" s="1" t="s">
        <v>82</v>
      </c>
      <c r="B82" s="6" t="str">
        <f t="shared" si="1"/>
        <v>https://www.google.com/search?q=東京下町ラーメン福徳+restaurant+tokyo</v>
      </c>
      <c r="C82" s="3" t="s">
        <v>432</v>
      </c>
    </row>
    <row r="83" spans="1:3" ht="15.75" customHeight="1" x14ac:dyDescent="0.25">
      <c r="A83" s="1" t="s">
        <v>83</v>
      </c>
      <c r="B83" s="6" t="str">
        <f t="shared" si="1"/>
        <v>https://www.google.com/search?q=大分唐揚げ専門店+restaurant+tokyo</v>
      </c>
      <c r="C83" s="3" t="s">
        <v>450</v>
      </c>
    </row>
    <row r="84" spans="1:3" ht="15.75" customHeight="1" x14ac:dyDescent="0.25">
      <c r="A84" s="1" t="s">
        <v>84</v>
      </c>
      <c r="B84" s="6" t="str">
        <f t="shared" si="1"/>
        <v>https://www.google.com/search?q=健康家庭料理+restaurant+tokyo</v>
      </c>
      <c r="C84" s="3" t="s">
        <v>407</v>
      </c>
    </row>
    <row r="85" spans="1:3" ht="15.75" customHeight="1" x14ac:dyDescent="0.25">
      <c r="A85" s="1" t="s">
        <v>85</v>
      </c>
      <c r="B85" s="6" t="str">
        <f t="shared" si="1"/>
        <v>https://www.google.com/search?q=LALI+restaurant+tokyo</v>
      </c>
      <c r="C85" s="3" t="s">
        <v>729</v>
      </c>
    </row>
    <row r="86" spans="1:3" ht="15.75" customHeight="1" x14ac:dyDescent="0.25">
      <c r="A86" s="1" t="s">
        <v>86</v>
      </c>
      <c r="B86" s="6" t="str">
        <f t="shared" si="1"/>
        <v>https://www.google.com/search?q=ヘルシーネパール料理+restaurant+tokyo</v>
      </c>
      <c r="C86" s="3" t="s">
        <v>729</v>
      </c>
    </row>
    <row r="87" spans="1:3" ht="15.75" customHeight="1" x14ac:dyDescent="0.25">
      <c r="A87" s="1" t="s">
        <v>87</v>
      </c>
      <c r="B87" s="6" t="str">
        <f t="shared" si="1"/>
        <v>https://www.google.com/search?q=Thai+restaurant+tokyo</v>
      </c>
      <c r="C87" s="3" t="s">
        <v>726</v>
      </c>
    </row>
    <row r="88" spans="1:3" ht="15.75" customHeight="1" x14ac:dyDescent="0.25">
      <c r="A88" s="1" t="s">
        <v>88</v>
      </c>
      <c r="B88" s="6" t="str">
        <f t="shared" si="1"/>
        <v>https://www.google.com/search?q=ナマステダイニング+restaurant+tokyo</v>
      </c>
      <c r="C88" s="3" t="s">
        <v>723</v>
      </c>
    </row>
    <row r="89" spans="1:3" ht="15.75" customHeight="1" x14ac:dyDescent="0.25">
      <c r="A89" s="1" t="s">
        <v>89</v>
      </c>
      <c r="B89" s="6" t="str">
        <f t="shared" si="1"/>
        <v>https://www.google.com/search?q=ととやみち+restaurant+tokyo</v>
      </c>
      <c r="C89" s="3" t="s">
        <v>459</v>
      </c>
    </row>
    <row r="90" spans="1:3" ht="15.75" customHeight="1" x14ac:dyDescent="0.25">
      <c r="A90" s="1" t="s">
        <v>90</v>
      </c>
      <c r="B90" s="6" t="str">
        <f t="shared" si="1"/>
        <v>https://www.google.com/search?q=SALAD+restaurant+tokyo</v>
      </c>
      <c r="C90" s="3" t="s">
        <v>407</v>
      </c>
    </row>
    <row r="91" spans="1:3" ht="15.75" customHeight="1" x14ac:dyDescent="0.25">
      <c r="A91" s="1" t="s">
        <v>91</v>
      </c>
      <c r="B91" s="6" t="str">
        <f t="shared" si="1"/>
        <v>https://www.google.com/search?q=ALZE+restaurant+tokyo</v>
      </c>
      <c r="C91" s="3" t="s">
        <v>721</v>
      </c>
    </row>
    <row r="92" spans="1:3" ht="15.75" customHeight="1" x14ac:dyDescent="0.25">
      <c r="A92" s="1" t="s">
        <v>92</v>
      </c>
      <c r="B92" s="6" t="str">
        <f t="shared" si="1"/>
        <v>https://www.google.com/search?q=台湾料理・幹+restaurant+tokyo</v>
      </c>
      <c r="C92" s="3" t="s">
        <v>722</v>
      </c>
    </row>
    <row r="93" spans="1:3" ht="15.75" customHeight="1" x14ac:dyDescent="0.25">
      <c r="A93" s="1" t="s">
        <v>93</v>
      </c>
      <c r="B93" s="6" t="str">
        <f t="shared" si="1"/>
        <v>https://www.google.com/search?q=KHUSHI+restaurant+tokyo</v>
      </c>
      <c r="C93" s="3" t="s">
        <v>723</v>
      </c>
    </row>
    <row r="94" spans="1:3" ht="15.75" customHeight="1" x14ac:dyDescent="0.25">
      <c r="A94" s="1" t="s">
        <v>94</v>
      </c>
      <c r="B94" s="6" t="str">
        <f t="shared" si="1"/>
        <v>https://www.google.com/search?q=カフェ・ド・グリル+restaurant+tokyo</v>
      </c>
      <c r="C94" s="3" t="s">
        <v>717</v>
      </c>
    </row>
    <row r="95" spans="1:3" ht="15.75" customHeight="1" x14ac:dyDescent="0.25">
      <c r="A95" s="1" t="s">
        <v>95</v>
      </c>
      <c r="B95" s="6" t="str">
        <f t="shared" si="1"/>
        <v>https://www.google.com/search?q=インドレストラン+restaurant+tokyo</v>
      </c>
      <c r="C95" s="3" t="s">
        <v>723</v>
      </c>
    </row>
    <row r="96" spans="1:3" ht="15.75" customHeight="1" x14ac:dyDescent="0.25">
      <c r="A96" s="1" t="s">
        <v>96</v>
      </c>
      <c r="B96" s="6" t="str">
        <f t="shared" si="1"/>
        <v>https://www.google.com/search?q=バーガーズカフェグリル+restaurant+tokyo</v>
      </c>
      <c r="C96" s="3" t="s">
        <v>721</v>
      </c>
    </row>
    <row r="97" spans="1:3" ht="15.75" customHeight="1" x14ac:dyDescent="0.25">
      <c r="A97" s="1" t="s">
        <v>97</v>
      </c>
      <c r="B97" s="6" t="str">
        <f t="shared" si="1"/>
        <v>https://www.google.com/search?q=NEWナマステヒマール+restaurant+tokyo</v>
      </c>
      <c r="C97" s="3" t="s">
        <v>723</v>
      </c>
    </row>
    <row r="98" spans="1:3" ht="15.75" customHeight="1" x14ac:dyDescent="0.25">
      <c r="A98" s="1" t="s">
        <v>98</v>
      </c>
      <c r="B98" s="6" t="str">
        <f t="shared" si="1"/>
        <v>https://www.google.com/search?q=出前のそば天+restaurant+tokyo</v>
      </c>
      <c r="C98" s="3" t="s">
        <v>464</v>
      </c>
    </row>
    <row r="99" spans="1:3" ht="15.75" customHeight="1" x14ac:dyDescent="0.25">
      <c r="A99" s="1" t="s">
        <v>99</v>
      </c>
      <c r="B99" s="6" t="str">
        <f t="shared" si="1"/>
        <v>https://www.google.com/search?q=どんぶり工房+restaurant+tokyo</v>
      </c>
      <c r="C99" s="3" t="s">
        <v>448</v>
      </c>
    </row>
    <row r="100" spans="1:3" ht="15.75" customHeight="1" x14ac:dyDescent="0.25">
      <c r="A100" s="1" t="s">
        <v>100</v>
      </c>
      <c r="B100" s="6" t="str">
        <f t="shared" si="1"/>
        <v>https://www.google.com/search?q=錦秀飯店+restaurant+tokyo</v>
      </c>
      <c r="C100" s="3" t="s">
        <v>722</v>
      </c>
    </row>
    <row r="101" spans="1:3" ht="15.75" customHeight="1" x14ac:dyDescent="0.25">
      <c r="A101" s="1" t="s">
        <v>101</v>
      </c>
      <c r="B101" s="6" t="str">
        <f t="shared" si="1"/>
        <v>https://www.google.com/search?q=黒毛和牛とろけるハンバーグ+restaurant+tokyo</v>
      </c>
      <c r="C101" s="10" t="s">
        <v>730</v>
      </c>
    </row>
    <row r="102" spans="1:3" ht="15.75" customHeight="1" x14ac:dyDescent="0.25">
      <c r="A102" s="1" t="s">
        <v>102</v>
      </c>
      <c r="B102" s="6" t="str">
        <f t="shared" si="1"/>
        <v>https://www.google.com/search?q=インドダイニング+restaurant+tokyo</v>
      </c>
      <c r="C102" s="10" t="s">
        <v>723</v>
      </c>
    </row>
    <row r="103" spans="1:3" ht="15.75" customHeight="1" x14ac:dyDescent="0.25">
      <c r="A103" s="1" t="s">
        <v>103</v>
      </c>
      <c r="B103" s="6" t="str">
        <f t="shared" si="1"/>
        <v>https://www.google.com/search?q=SUNNY+restaurant+tokyo</v>
      </c>
      <c r="C103" s="10" t="s">
        <v>721</v>
      </c>
    </row>
    <row r="104" spans="1:3" ht="15.75" customHeight="1" x14ac:dyDescent="0.25">
      <c r="A104" s="1" t="s">
        <v>104</v>
      </c>
      <c r="B104" s="6" t="str">
        <f t="shared" si="1"/>
        <v>https://www.google.com/search?q=本格インド料理ディップジョティDip+restaurant+tokyo</v>
      </c>
      <c r="C104" s="10" t="s">
        <v>723</v>
      </c>
    </row>
    <row r="105" spans="1:3" ht="15.75" customHeight="1" x14ac:dyDescent="0.25">
      <c r="A105" s="1" t="s">
        <v>105</v>
      </c>
      <c r="B105" s="6" t="str">
        <f t="shared" si="1"/>
        <v>https://www.google.com/search?q=インド・タイ・ネパール料理＆ケバブ＆バー+restaurant+tokyo</v>
      </c>
      <c r="C105" s="10" t="s">
        <v>723</v>
      </c>
    </row>
    <row r="106" spans="1:3" ht="15.75" customHeight="1" x14ac:dyDescent="0.25">
      <c r="A106" s="1" t="s">
        <v>106</v>
      </c>
      <c r="B106" s="6" t="str">
        <f t="shared" si="1"/>
        <v>https://www.google.com/search?q=KAKUYASU+restaurant+tokyo</v>
      </c>
      <c r="C106" s="10" t="s">
        <v>763</v>
      </c>
    </row>
    <row r="107" spans="1:3" ht="15.75" customHeight="1" x14ac:dyDescent="0.25">
      <c r="A107" s="1" t="s">
        <v>107</v>
      </c>
      <c r="B107" s="6" t="str">
        <f t="shared" si="1"/>
        <v>https://www.google.com/search?q=インディアン+restaurant+tokyo</v>
      </c>
      <c r="C107" s="10" t="s">
        <v>723</v>
      </c>
    </row>
    <row r="108" spans="1:3" ht="15.75" customHeight="1" x14ac:dyDescent="0.25">
      <c r="A108" s="1" t="s">
        <v>108</v>
      </c>
      <c r="B108" s="6" t="str">
        <f t="shared" si="1"/>
        <v>https://www.google.com/search?q=すしざむらい+restaurant+tokyo</v>
      </c>
      <c r="C108" s="10" t="s">
        <v>459</v>
      </c>
    </row>
    <row r="109" spans="1:3" ht="15.75" customHeight="1" x14ac:dyDescent="0.25">
      <c r="A109" s="1" t="s">
        <v>109</v>
      </c>
      <c r="B109" s="6" t="str">
        <f t="shared" si="1"/>
        <v>https://www.google.com/search?q=INDIAN+restaurant+tokyo</v>
      </c>
      <c r="C109" s="10" t="s">
        <v>723</v>
      </c>
    </row>
    <row r="110" spans="1:3" ht="15.75" customHeight="1" x14ac:dyDescent="0.25">
      <c r="A110" s="1" t="s">
        <v>110</v>
      </c>
      <c r="B110" s="6" t="str">
        <f t="shared" si="1"/>
        <v>https://www.google.com/search?q=すじ亭本舗+restaurant+tokyo</v>
      </c>
      <c r="C110" s="10" t="s">
        <v>730</v>
      </c>
    </row>
    <row r="111" spans="1:3" ht="15.75" customHeight="1" x14ac:dyDescent="0.25">
      <c r="A111" s="1" t="s">
        <v>111</v>
      </c>
      <c r="B111" s="6" t="str">
        <f t="shared" si="1"/>
        <v>https://www.google.com/search?q=国産手作り香港飲茶+restaurant+tokyo</v>
      </c>
      <c r="C111" s="3" t="s">
        <v>722</v>
      </c>
    </row>
    <row r="112" spans="1:3" ht="15.75" customHeight="1" x14ac:dyDescent="0.25">
      <c r="A112" s="1" t="s">
        <v>112</v>
      </c>
      <c r="B112" s="6" t="str">
        <f t="shared" si="1"/>
        <v>https://www.google.com/search?q=本格インドレストラン＆バー+restaurant+tokyo</v>
      </c>
      <c r="C112" s="10" t="s">
        <v>723</v>
      </c>
    </row>
    <row r="113" spans="1:3" ht="15.75" customHeight="1" x14ac:dyDescent="0.25">
      <c r="A113" s="1" t="s">
        <v>113</v>
      </c>
      <c r="B113" s="6" t="str">
        <f t="shared" si="1"/>
        <v>https://www.google.com/search?q=キッチンメリー+restaurant+tokyo</v>
      </c>
      <c r="C113" s="10" t="s">
        <v>723</v>
      </c>
    </row>
    <row r="114" spans="1:3" ht="15.75" customHeight="1" x14ac:dyDescent="0.25">
      <c r="A114" s="1" t="s">
        <v>114</v>
      </c>
      <c r="B114" s="6" t="str">
        <f t="shared" si="1"/>
        <v>https://www.google.com/search?q=インドカレー+restaurant+tokyo</v>
      </c>
      <c r="C114" s="10" t="s">
        <v>723</v>
      </c>
    </row>
    <row r="115" spans="1:3" ht="15.75" customHeight="1" x14ac:dyDescent="0.25">
      <c r="A115" s="1" t="s">
        <v>115</v>
      </c>
      <c r="B115" s="6" t="str">
        <f t="shared" si="1"/>
        <v>https://www.google.com/search?q=VIVA+restaurant+tokyo</v>
      </c>
      <c r="C115" s="10" t="s">
        <v>723</v>
      </c>
    </row>
    <row r="116" spans="1:3" ht="15.75" customHeight="1" x14ac:dyDescent="0.25">
      <c r="A116" s="1" t="s">
        <v>116</v>
      </c>
      <c r="B116" s="6" t="str">
        <f t="shared" si="1"/>
        <v>https://www.google.com/search?q=アジアン屋台+restaurant+tokyo</v>
      </c>
      <c r="C116" s="10" t="s">
        <v>727</v>
      </c>
    </row>
    <row r="117" spans="1:3" ht="15.75" customHeight="1" x14ac:dyDescent="0.25">
      <c r="A117" s="1" t="s">
        <v>117</v>
      </c>
      <c r="B117" s="6" t="str">
        <f t="shared" si="1"/>
        <v>https://www.google.com/search?q=中華弁当+restaurant+tokyo</v>
      </c>
      <c r="C117" s="3" t="s">
        <v>722</v>
      </c>
    </row>
    <row r="118" spans="1:3" ht="15.75" customHeight="1" x14ac:dyDescent="0.25">
      <c r="A118" s="1" t="s">
        <v>118</v>
      </c>
      <c r="B118" s="6" t="str">
        <f t="shared" si="1"/>
        <v>https://www.google.com/search?q=味仙+restaurant+tokyo</v>
      </c>
      <c r="C118" s="3" t="s">
        <v>722</v>
      </c>
    </row>
    <row r="119" spans="1:3" ht="15.75" customHeight="1" x14ac:dyDescent="0.25">
      <c r="A119" s="1" t="s">
        <v>119</v>
      </c>
      <c r="B119" s="6" t="str">
        <f t="shared" si="1"/>
        <v>https://www.google.com/search?q=インド料理＆アジアンダイニング+restaurant+tokyo</v>
      </c>
      <c r="C119" s="10" t="s">
        <v>723</v>
      </c>
    </row>
    <row r="120" spans="1:3" ht="15.75" customHeight="1" x14ac:dyDescent="0.25">
      <c r="A120" s="1" t="s">
        <v>120</v>
      </c>
      <c r="B120" s="6" t="str">
        <f t="shared" si="1"/>
        <v>https://www.google.com/search?q=中華厨房+restaurant+tokyo</v>
      </c>
      <c r="C120" s="3" t="s">
        <v>722</v>
      </c>
    </row>
    <row r="121" spans="1:3" ht="15.75" customHeight="1" x14ac:dyDescent="0.25">
      <c r="A121" s="1" t="s">
        <v>121</v>
      </c>
      <c r="B121" s="6" t="str">
        <f t="shared" si="1"/>
        <v>https://www.google.com/search?q=YABIN+restaurant+tokyo</v>
      </c>
      <c r="C121" s="10" t="s">
        <v>723</v>
      </c>
    </row>
    <row r="122" spans="1:3" ht="15.75" customHeight="1" x14ac:dyDescent="0.25">
      <c r="A122" s="1" t="s">
        <v>122</v>
      </c>
      <c r="B122" s="6" t="str">
        <f t="shared" si="1"/>
        <v>https://www.google.com/search?q=ステーキハウスDOUBLE+restaurant+tokyo</v>
      </c>
      <c r="C122" s="10" t="s">
        <v>730</v>
      </c>
    </row>
    <row r="123" spans="1:3" ht="15.75" customHeight="1" x14ac:dyDescent="0.25">
      <c r="A123" s="1" t="s">
        <v>123</v>
      </c>
      <c r="B123" s="6" t="str">
        <f t="shared" si="1"/>
        <v>https://www.google.com/search?q=アジアンケバブ＆カレーハウス+restaurant+tokyo</v>
      </c>
      <c r="C123" s="10" t="s">
        <v>729</v>
      </c>
    </row>
    <row r="124" spans="1:3" ht="15.75" customHeight="1" x14ac:dyDescent="0.25">
      <c r="A124" s="1" t="s">
        <v>124</v>
      </c>
      <c r="B124" s="6" t="str">
        <f t="shared" si="1"/>
        <v>https://www.google.com/search?q=日本亭+restaurant+tokyo</v>
      </c>
      <c r="C124" s="10" t="s">
        <v>724</v>
      </c>
    </row>
    <row r="125" spans="1:3" ht="15.75" customHeight="1" x14ac:dyDescent="0.25">
      <c r="A125" s="1" t="s">
        <v>125</v>
      </c>
      <c r="B125" s="6" t="str">
        <f t="shared" si="1"/>
        <v>https://www.google.com/search?q=夢庵+restaurant+tokyo</v>
      </c>
      <c r="C125" s="10" t="s">
        <v>724</v>
      </c>
    </row>
    <row r="126" spans="1:3" ht="15.75" customHeight="1" x14ac:dyDescent="0.25">
      <c r="A126" s="1" t="s">
        <v>126</v>
      </c>
      <c r="B126" s="6" t="str">
        <f t="shared" si="1"/>
        <v>https://www.google.com/search?q=天丼・かつ丼専門+restaurant+tokyo</v>
      </c>
      <c r="C126" s="10" t="s">
        <v>731</v>
      </c>
    </row>
    <row r="127" spans="1:3" ht="15.75" customHeight="1" x14ac:dyDescent="0.25">
      <c r="A127" s="1" t="s">
        <v>127</v>
      </c>
      <c r="B127" s="6" t="str">
        <f t="shared" si="1"/>
        <v>https://www.google.com/search?q=ASIAN+restaurant+tokyo</v>
      </c>
      <c r="C127" s="10" t="s">
        <v>727</v>
      </c>
    </row>
    <row r="128" spans="1:3" ht="15.75" customHeight="1" x14ac:dyDescent="0.25">
      <c r="A128" s="1" t="s">
        <v>128</v>
      </c>
      <c r="B128" s="6" t="str">
        <f t="shared" si="1"/>
        <v>https://www.google.com/search?q=天丼てんや+restaurant+tokyo</v>
      </c>
      <c r="C128" s="10" t="s">
        <v>731</v>
      </c>
    </row>
    <row r="129" spans="1:3" ht="15.75" customHeight="1" x14ac:dyDescent="0.25">
      <c r="A129" s="1" t="s">
        <v>129</v>
      </c>
      <c r="B129" s="6" t="str">
        <f t="shared" si="1"/>
        <v>https://www.google.com/search?q=香港餃子酒場+restaurant+tokyo</v>
      </c>
      <c r="C129" s="3" t="s">
        <v>722</v>
      </c>
    </row>
    <row r="130" spans="1:3" ht="15.75" customHeight="1" x14ac:dyDescent="0.25">
      <c r="A130" s="1" t="s">
        <v>130</v>
      </c>
      <c r="B130" s="6" t="str">
        <f t="shared" si="1"/>
        <v>https://www.google.com/search?q=アジアンカフェダオタイランド+restaurant+tokyo</v>
      </c>
      <c r="C130" s="10" t="s">
        <v>726</v>
      </c>
    </row>
    <row r="131" spans="1:3" ht="15.75" customHeight="1" x14ac:dyDescent="0.25">
      <c r="A131" s="1" t="s">
        <v>131</v>
      </c>
      <c r="B131" s="6" t="str">
        <f t="shared" ref="B131:B187" si="2">HYPERLINK("https://www.google.com/search?q="&amp;A131&amp;"+restaurant+tokyo")</f>
        <v>https://www.google.com/search?q=七左食堂+restaurant+tokyo</v>
      </c>
      <c r="C131" s="10" t="s">
        <v>432</v>
      </c>
    </row>
    <row r="132" spans="1:3" ht="15.75" customHeight="1" x14ac:dyDescent="0.25">
      <c r="A132" s="1" t="s">
        <v>132</v>
      </c>
      <c r="B132" s="6" t="str">
        <f t="shared" si="2"/>
        <v>https://www.google.com/search?q=Delicier’s+restaurant+tokyo</v>
      </c>
      <c r="C132" s="10" t="s">
        <v>721</v>
      </c>
    </row>
    <row r="133" spans="1:3" ht="15.75" customHeight="1" x14ac:dyDescent="0.25">
      <c r="A133" s="1" t="s">
        <v>133</v>
      </c>
      <c r="B133" s="6" t="str">
        <f t="shared" si="2"/>
        <v>https://www.google.com/search?q=福香源刀削麺+restaurant+tokyo</v>
      </c>
      <c r="C133" s="3" t="s">
        <v>722</v>
      </c>
    </row>
    <row r="134" spans="1:3" ht="15.75" customHeight="1" x14ac:dyDescent="0.25">
      <c r="A134" s="1" t="s">
        <v>134</v>
      </c>
      <c r="B134" s="6" t="str">
        <f t="shared" si="2"/>
        <v>https://www.google.com/search?q=AMERICAN+restaurant+tokyo</v>
      </c>
      <c r="C134" s="10" t="s">
        <v>721</v>
      </c>
    </row>
    <row r="135" spans="1:3" ht="15.75" customHeight="1" x14ac:dyDescent="0.25">
      <c r="A135" s="1" t="s">
        <v>135</v>
      </c>
      <c r="B135" s="6" t="str">
        <f t="shared" si="2"/>
        <v>https://www.google.com/search?q=THIS+restaurant+tokyo</v>
      </c>
      <c r="C135" s="10" t="s">
        <v>721</v>
      </c>
    </row>
    <row r="136" spans="1:3" ht="15.75" customHeight="1" x14ac:dyDescent="0.25">
      <c r="A136" s="1" t="s">
        <v>136</v>
      </c>
      <c r="B136" s="6" t="str">
        <f t="shared" si="2"/>
        <v>https://www.google.com/search?q=麺や+restaurant+tokyo</v>
      </c>
      <c r="C136" s="10" t="s">
        <v>432</v>
      </c>
    </row>
    <row r="137" spans="1:3" ht="15.75" customHeight="1" x14ac:dyDescent="0.25">
      <c r="A137" s="1" t="s">
        <v>137</v>
      </c>
      <c r="B137" s="6" t="str">
        <f t="shared" si="2"/>
        <v>https://www.google.com/search?q=肉料理のお店+restaurant+tokyo</v>
      </c>
      <c r="C137" s="10" t="s">
        <v>730</v>
      </c>
    </row>
    <row r="138" spans="1:3" ht="15.75" customHeight="1" x14ac:dyDescent="0.25">
      <c r="A138" s="1" t="s">
        <v>138</v>
      </c>
      <c r="B138" s="6" t="str">
        <f t="shared" si="2"/>
        <v>https://www.google.com/search?q=チキンワークス+restaurant+tokyo</v>
      </c>
      <c r="C138" s="10" t="s">
        <v>730</v>
      </c>
    </row>
    <row r="139" spans="1:3" ht="15.75" customHeight="1" x14ac:dyDescent="0.25">
      <c r="A139" s="1" t="s">
        <v>139</v>
      </c>
      <c r="B139" s="6" t="str">
        <f t="shared" si="2"/>
        <v>https://www.google.com/search?q=カレーは飲み物。新橋店+restaurant+tokyo</v>
      </c>
      <c r="C139" s="10" t="s">
        <v>765</v>
      </c>
    </row>
    <row r="140" spans="1:3" ht="15.75" customHeight="1" x14ac:dyDescent="0.25">
      <c r="A140" s="1" t="s">
        <v>140</v>
      </c>
      <c r="B140" s="6" t="str">
        <f t="shared" si="2"/>
        <v>https://www.google.com/search?q=BASHI+restaurant+tokyo</v>
      </c>
      <c r="C140" s="10" t="s">
        <v>721</v>
      </c>
    </row>
    <row r="141" spans="1:3" ht="15.75" customHeight="1" x14ac:dyDescent="0.25">
      <c r="A141" s="1" t="s">
        <v>141</v>
      </c>
      <c r="B141" s="6" t="str">
        <f t="shared" si="2"/>
        <v>https://www.google.com/search?q=広島お好み焼き+restaurant+tokyo</v>
      </c>
      <c r="C141" s="10" t="s">
        <v>724</v>
      </c>
    </row>
    <row r="142" spans="1:3" ht="15.75" customHeight="1" x14ac:dyDescent="0.25">
      <c r="A142" s="1" t="s">
        <v>142</v>
      </c>
      <c r="B142" s="6" t="str">
        <f t="shared" si="2"/>
        <v>https://www.google.com/search?q=張飛刀削麺+restaurant+tokyo</v>
      </c>
      <c r="C142" s="10" t="s">
        <v>432</v>
      </c>
    </row>
    <row r="143" spans="1:3" ht="15.75" customHeight="1" x14ac:dyDescent="0.25">
      <c r="A143" s="1" t="s">
        <v>143</v>
      </c>
      <c r="B143" s="6" t="str">
        <f t="shared" si="2"/>
        <v>https://www.google.com/search?q=ロッテリア+restaurant+tokyo</v>
      </c>
      <c r="C143" s="10" t="s">
        <v>721</v>
      </c>
    </row>
    <row r="144" spans="1:3" ht="15.75" customHeight="1" x14ac:dyDescent="0.25">
      <c r="A144" s="1" t="s">
        <v>144</v>
      </c>
      <c r="B144" s="6" t="str">
        <f t="shared" si="2"/>
        <v>https://www.google.com/search?q=生姜焼き定食+restaurant+tokyo</v>
      </c>
      <c r="C144" s="10" t="s">
        <v>724</v>
      </c>
    </row>
    <row r="145" spans="1:3" ht="15.75" customHeight="1" x14ac:dyDescent="0.25">
      <c r="A145" s="1" t="s">
        <v>145</v>
      </c>
      <c r="B145" s="6" t="str">
        <f t="shared" si="2"/>
        <v>https://www.google.com/search?q=博多黒カレー堂+restaurant+tokyo</v>
      </c>
      <c r="C145" s="10" t="s">
        <v>765</v>
      </c>
    </row>
    <row r="146" spans="1:3" ht="15.75" customHeight="1" x14ac:dyDescent="0.25">
      <c r="A146" s="1" t="s">
        <v>146</v>
      </c>
      <c r="B146" s="6" t="str">
        <f t="shared" si="2"/>
        <v>https://www.google.com/search?q=うどん+restaurant+tokyo</v>
      </c>
      <c r="C146" s="10" t="s">
        <v>432</v>
      </c>
    </row>
    <row r="147" spans="1:3" ht="15.75" customHeight="1" x14ac:dyDescent="0.25">
      <c r="A147" s="1" t="s">
        <v>147</v>
      </c>
      <c r="B147" s="6" t="str">
        <f t="shared" si="2"/>
        <v>https://www.google.com/search?q=COCK+restaurant+tokyo</v>
      </c>
      <c r="C147" s="10" t="s">
        <v>763</v>
      </c>
    </row>
    <row r="148" spans="1:3" ht="15.75" customHeight="1" x14ac:dyDescent="0.25">
      <c r="A148" s="1" t="s">
        <v>148</v>
      </c>
      <c r="B148" s="6" t="str">
        <f t="shared" si="2"/>
        <v>https://www.google.com/search?q=フレッシュネスバーガー+restaurant+tokyo</v>
      </c>
      <c r="C148" s="10" t="s">
        <v>721</v>
      </c>
    </row>
    <row r="149" spans="1:3" ht="15.75" customHeight="1" x14ac:dyDescent="0.25">
      <c r="A149" s="1" t="s">
        <v>149</v>
      </c>
      <c r="B149" s="6" t="str">
        <f t="shared" si="2"/>
        <v>https://www.google.com/search?q=はなまるうどん+restaurant+tokyo</v>
      </c>
      <c r="C149" s="10" t="s">
        <v>432</v>
      </c>
    </row>
    <row r="150" spans="1:3" ht="15.75" customHeight="1" x14ac:dyDescent="0.25">
      <c r="A150" s="1" t="s">
        <v>150</v>
      </c>
      <c r="B150" s="6" t="str">
        <f t="shared" si="2"/>
        <v>https://www.google.com/search?q=MR．CHICKEN鶏飯店+restaurant+tokyo</v>
      </c>
      <c r="C150" s="10" t="s">
        <v>730</v>
      </c>
    </row>
    <row r="151" spans="1:3" ht="15.75" customHeight="1" x14ac:dyDescent="0.25">
      <c r="A151" s="1" t="s">
        <v>151</v>
      </c>
      <c r="B151" s="6" t="str">
        <f t="shared" si="2"/>
        <v>https://www.google.com/search?q=うなぎ+restaurant+tokyo</v>
      </c>
      <c r="C151" s="10" t="s">
        <v>448</v>
      </c>
    </row>
    <row r="152" spans="1:3" ht="15.75" customHeight="1" x14ac:dyDescent="0.25">
      <c r="A152" s="1" t="s">
        <v>152</v>
      </c>
      <c r="B152" s="6" t="str">
        <f t="shared" si="2"/>
        <v>https://www.google.com/search?q=海鮮丼+restaurant+tokyo</v>
      </c>
      <c r="C152" s="10" t="s">
        <v>448</v>
      </c>
    </row>
    <row r="153" spans="1:3" ht="15.75" customHeight="1" x14ac:dyDescent="0.25">
      <c r="A153" s="1" t="s">
        <v>153</v>
      </c>
      <c r="B153" s="6" t="str">
        <f t="shared" si="2"/>
        <v>https://www.google.com/search?q=【直焼き×低温調理】ローストビーフマウンテン+restaurant+tokyo</v>
      </c>
      <c r="C153" s="10" t="s">
        <v>730</v>
      </c>
    </row>
    <row r="154" spans="1:3" ht="15.75" customHeight="1" x14ac:dyDescent="0.25">
      <c r="A154" s="1" t="s">
        <v>154</v>
      </c>
      <c r="B154" s="6" t="str">
        <f t="shared" si="2"/>
        <v>https://www.google.com/search?q=Not，Oily！Not，Junk！油そば専門+restaurant+tokyo</v>
      </c>
      <c r="C154" s="10" t="s">
        <v>432</v>
      </c>
    </row>
    <row r="155" spans="1:3" ht="15.75" customHeight="1" x14ac:dyDescent="0.25">
      <c r="A155" s="1" t="s">
        <v>155</v>
      </c>
      <c r="B155" s="6" t="str">
        <f t="shared" si="2"/>
        <v>https://www.google.com/search?q=いろり家+restaurant+tokyo</v>
      </c>
      <c r="C155" s="10" t="s">
        <v>660</v>
      </c>
    </row>
    <row r="156" spans="1:3" ht="15.75" customHeight="1" x14ac:dyDescent="0.25">
      <c r="A156" s="1" t="s">
        <v>156</v>
      </c>
      <c r="B156" s="6" t="str">
        <f t="shared" si="2"/>
        <v>https://www.google.com/search?q=餃子の民+restaurant+tokyo</v>
      </c>
      <c r="C156" s="10" t="s">
        <v>722</v>
      </c>
    </row>
    <row r="157" spans="1:3" ht="15.75" customHeight="1" x14ac:dyDescent="0.25">
      <c r="A157" s="1" t="s">
        <v>157</v>
      </c>
      <c r="B157" s="6" t="str">
        <f t="shared" si="2"/>
        <v>https://www.google.com/search?q=ブッチャーズテーブル+restaurant+tokyo</v>
      </c>
      <c r="C157" s="10" t="s">
        <v>721</v>
      </c>
    </row>
    <row r="158" spans="1:3" ht="15.75" customHeight="1" x14ac:dyDescent="0.25">
      <c r="A158" s="1" t="s">
        <v>158</v>
      </c>
      <c r="B158" s="6" t="str">
        <f t="shared" si="2"/>
        <v>https://www.google.com/search?q=デニーズ+restaurant+tokyo</v>
      </c>
      <c r="C158" s="10" t="s">
        <v>721</v>
      </c>
    </row>
    <row r="159" spans="1:3" ht="15.75" customHeight="1" x14ac:dyDescent="0.25">
      <c r="A159" s="1" t="s">
        <v>159</v>
      </c>
      <c r="B159" s="6" t="str">
        <f t="shared" si="2"/>
        <v>https://www.google.com/search?q=中華居酒屋+restaurant+tokyo</v>
      </c>
      <c r="C159" s="10" t="s">
        <v>722</v>
      </c>
    </row>
    <row r="160" spans="1:3" ht="15.75" customHeight="1" x14ac:dyDescent="0.25">
      <c r="A160" s="1" t="s">
        <v>160</v>
      </c>
      <c r="B160" s="6" t="str">
        <f t="shared" si="2"/>
        <v>https://www.google.com/search?q=アジアンダイニング＆バー+restaurant+tokyo</v>
      </c>
      <c r="C160" s="10" t="s">
        <v>727</v>
      </c>
    </row>
    <row r="161" spans="1:3" ht="15.75" customHeight="1" x14ac:dyDescent="0.25">
      <c r="A161" s="1" t="s">
        <v>161</v>
      </c>
      <c r="B161" s="6" t="str">
        <f>HYPERLINK("https://www.google.com/search?q="&amp;A161&amp;"+restaurant+tokyo")</f>
        <v>https://www.google.com/search?q=日乃屋カレー+restaurant+tokyo</v>
      </c>
      <c r="C161" s="10" t="s">
        <v>765</v>
      </c>
    </row>
    <row r="162" spans="1:3" ht="15.75" customHeight="1" x14ac:dyDescent="0.25">
      <c r="A162" s="1" t="s">
        <v>162</v>
      </c>
      <c r="B162" s="6" t="str">
        <f t="shared" si="2"/>
        <v>https://www.google.com/search?q=たこ焼き+restaurant+tokyo</v>
      </c>
      <c r="C162" s="10" t="s">
        <v>450</v>
      </c>
    </row>
    <row r="163" spans="1:3" ht="15.75" customHeight="1" x14ac:dyDescent="0.25">
      <c r="A163" s="1" t="s">
        <v>163</v>
      </c>
      <c r="B163" s="6" t="str">
        <f t="shared" si="2"/>
        <v>https://www.google.com/search?q=インド・ネパール・タイ・ベトナム料理+restaurant+tokyo</v>
      </c>
      <c r="C163" s="10" t="s">
        <v>723</v>
      </c>
    </row>
    <row r="164" spans="1:3" ht="15.75" customHeight="1" x14ac:dyDescent="0.25">
      <c r="A164" s="1" t="s">
        <v>164</v>
      </c>
      <c r="B164" s="6" t="str">
        <f t="shared" si="2"/>
        <v>https://www.google.com/search?q=鉄板王国+restaurant+tokyo</v>
      </c>
      <c r="C164" s="10" t="s">
        <v>660</v>
      </c>
    </row>
    <row r="165" spans="1:3" ht="15.75" customHeight="1" x14ac:dyDescent="0.25">
      <c r="A165" s="1" t="s">
        <v>165</v>
      </c>
      <c r="B165" s="6" t="str">
        <f>HYPERLINK("https://www.google.com/search?q="&amp;A165&amp;"+restaurant+tokyo")</f>
        <v>https://www.google.com/search?q=MARZAC7+restaurant+tokyo</v>
      </c>
      <c r="C165" s="10" t="s">
        <v>729</v>
      </c>
    </row>
    <row r="166" spans="1:3" ht="15.75" customHeight="1" x14ac:dyDescent="0.25">
      <c r="A166" s="1" t="s">
        <v>166</v>
      </c>
      <c r="B166" s="6" t="str">
        <f t="shared" si="2"/>
        <v>https://www.google.com/search?q=Pizzeria+restaurant+tokyo</v>
      </c>
      <c r="C166" s="10" t="s">
        <v>438</v>
      </c>
    </row>
    <row r="167" spans="1:3" ht="15.75" customHeight="1" x14ac:dyDescent="0.25">
      <c r="A167" s="1" t="s">
        <v>167</v>
      </c>
      <c r="B167" s="6" t="str">
        <f t="shared" si="2"/>
        <v>https://www.google.com/search?q=ひな鳥素揚げ+restaurant+tokyo</v>
      </c>
      <c r="C167" s="10" t="s">
        <v>763</v>
      </c>
    </row>
    <row r="168" spans="1:3" ht="15.75" customHeight="1" x14ac:dyDescent="0.25">
      <c r="A168" s="1" t="s">
        <v>168</v>
      </c>
      <c r="B168" s="6" t="str">
        <f t="shared" si="2"/>
        <v>https://www.google.com/search?q=フランス食堂+restaurant+tokyo</v>
      </c>
      <c r="C168" s="10" t="s">
        <v>729</v>
      </c>
    </row>
    <row r="169" spans="1:3" ht="15.75" customHeight="1" x14ac:dyDescent="0.25">
      <c r="A169" s="1" t="s">
        <v>169</v>
      </c>
      <c r="B169" s="6" t="str">
        <f t="shared" si="2"/>
        <v>https://www.google.com/search?q=KOSUGI+restaurant+tokyo</v>
      </c>
      <c r="C169" s="10" t="s">
        <v>722</v>
      </c>
    </row>
    <row r="170" spans="1:3" ht="15.75" customHeight="1" x14ac:dyDescent="0.25">
      <c r="A170" s="1" t="s">
        <v>170</v>
      </c>
      <c r="B170" s="6" t="str">
        <f t="shared" si="2"/>
        <v>https://www.google.com/search?q=かっぱ寿司+restaurant+tokyo</v>
      </c>
      <c r="C170" s="10" t="s">
        <v>459</v>
      </c>
    </row>
    <row r="171" spans="1:3" ht="15.75" customHeight="1" x14ac:dyDescent="0.25">
      <c r="A171" s="1" t="s">
        <v>171</v>
      </c>
      <c r="B171" s="6" t="str">
        <f t="shared" si="2"/>
        <v>https://www.google.com/search?q=ごごチキン+restaurant+tokyo</v>
      </c>
      <c r="C171" s="10" t="s">
        <v>730</v>
      </c>
    </row>
    <row r="172" spans="1:3" ht="15.75" customHeight="1" x14ac:dyDescent="0.25">
      <c r="A172" s="1" t="s">
        <v>172</v>
      </c>
      <c r="B172" s="6" t="str">
        <f t="shared" si="2"/>
        <v>https://www.google.com/search?q=クラフトビール＆広島お好み焼き+restaurant+tokyo</v>
      </c>
      <c r="C172" s="10" t="s">
        <v>724</v>
      </c>
    </row>
    <row r="173" spans="1:3" ht="15.75" customHeight="1" x14ac:dyDescent="0.25">
      <c r="A173" s="1" t="s">
        <v>173</v>
      </c>
      <c r="B173" s="6" t="str">
        <f t="shared" si="2"/>
        <v>https://www.google.com/search?q=シャンシャン食堂+restaurant+tokyo</v>
      </c>
      <c r="C173" s="10" t="s">
        <v>724</v>
      </c>
    </row>
    <row r="174" spans="1:3" ht="15.75" customHeight="1" x14ac:dyDescent="0.25">
      <c r="A174" s="1" t="s">
        <v>174</v>
      </c>
      <c r="B174" s="6" t="str">
        <f t="shared" si="2"/>
        <v>https://www.google.com/search?q=インド・ネパール・タイ料理+restaurant+tokyo</v>
      </c>
      <c r="C174" s="10" t="s">
        <v>723</v>
      </c>
    </row>
    <row r="175" spans="1:3" ht="15.75" customHeight="1" x14ac:dyDescent="0.25">
      <c r="A175" s="1" t="s">
        <v>175</v>
      </c>
      <c r="B175" s="6" t="str">
        <f t="shared" si="2"/>
        <v>https://www.google.com/search?q=炭火ホルモン焼肉+restaurant+tokyo</v>
      </c>
      <c r="C175" s="10" t="s">
        <v>660</v>
      </c>
    </row>
    <row r="176" spans="1:3" ht="15.75" customHeight="1" x14ac:dyDescent="0.25">
      <c r="A176" s="1" t="s">
        <v>176</v>
      </c>
      <c r="B176" s="6" t="str">
        <f t="shared" si="2"/>
        <v>https://www.google.com/search?q=焼肉トラジ+restaurant+tokyo</v>
      </c>
      <c r="C176" s="10" t="s">
        <v>730</v>
      </c>
    </row>
    <row r="177" spans="1:3" ht="15.75" customHeight="1" x14ac:dyDescent="0.25">
      <c r="A177" s="1" t="s">
        <v>177</v>
      </c>
      <c r="B177" s="6" t="str">
        <f t="shared" si="2"/>
        <v>https://www.google.com/search?q=WANTS+restaurant+tokyo</v>
      </c>
      <c r="C177" s="10" t="s">
        <v>721</v>
      </c>
    </row>
    <row r="178" spans="1:3" ht="15.75" customHeight="1" x14ac:dyDescent="0.25">
      <c r="A178" s="1" t="s">
        <v>178</v>
      </c>
      <c r="B178" s="6" t="str">
        <f t="shared" si="2"/>
        <v>https://www.google.com/search?q=瑞麟軒+restaurant+tokyo</v>
      </c>
      <c r="C178" s="10" t="s">
        <v>722</v>
      </c>
    </row>
    <row r="179" spans="1:3" ht="15.75" customHeight="1" x14ac:dyDescent="0.25">
      <c r="A179" s="1" t="s">
        <v>179</v>
      </c>
      <c r="B179" s="6" t="str">
        <f t="shared" si="2"/>
        <v>https://www.google.com/search?q=台湾料理+restaurant+tokyo</v>
      </c>
      <c r="C179" s="10" t="s">
        <v>722</v>
      </c>
    </row>
    <row r="180" spans="1:3" ht="15.75" customHeight="1" x14ac:dyDescent="0.25">
      <c r="A180" s="1" t="s">
        <v>180</v>
      </c>
      <c r="B180" s="6" t="str">
        <f t="shared" si="2"/>
        <v>https://www.google.com/search?q=アジアの屋台飯+restaurant+tokyo</v>
      </c>
      <c r="C180" s="10" t="s">
        <v>727</v>
      </c>
    </row>
    <row r="181" spans="1:3" ht="15.75" customHeight="1" x14ac:dyDescent="0.25">
      <c r="A181" s="1" t="s">
        <v>181</v>
      </c>
      <c r="B181" s="6" t="str">
        <f t="shared" si="2"/>
        <v>https://www.google.com/search?q=ハラペコステーキ+restaurant+tokyo</v>
      </c>
      <c r="C181" s="10" t="s">
        <v>730</v>
      </c>
    </row>
    <row r="182" spans="1:3" ht="15.75" customHeight="1" x14ac:dyDescent="0.25">
      <c r="A182" s="1" t="s">
        <v>182</v>
      </c>
      <c r="B182" s="6" t="str">
        <f t="shared" si="2"/>
        <v>https://www.google.com/search?q=PESCHERIA+restaurant+tokyo</v>
      </c>
      <c r="C182" s="10" t="s">
        <v>729</v>
      </c>
    </row>
    <row r="183" spans="1:3" ht="15.75" customHeight="1" x14ac:dyDescent="0.25">
      <c r="A183" s="1" t="s">
        <v>183</v>
      </c>
      <c r="B183" s="6" t="str">
        <f t="shared" si="2"/>
        <v>https://www.google.com/search?q=カレーうどん屋+restaurant+tokyo</v>
      </c>
      <c r="C183" s="10" t="s">
        <v>765</v>
      </c>
    </row>
    <row r="184" spans="1:3" ht="15.75" customHeight="1" x14ac:dyDescent="0.25">
      <c r="A184" s="1" t="s">
        <v>184</v>
      </c>
      <c r="B184" s="6" t="str">
        <f t="shared" si="2"/>
        <v>https://www.google.com/search?q=焼肉弁当+restaurant+tokyo</v>
      </c>
      <c r="C184" s="10" t="s">
        <v>660</v>
      </c>
    </row>
    <row r="185" spans="1:3" ht="15.75" customHeight="1" x14ac:dyDescent="0.25">
      <c r="A185" s="1" t="s">
        <v>185</v>
      </c>
      <c r="B185" s="6" t="str">
        <f t="shared" si="2"/>
        <v>https://www.google.com/search?q=MOMI＆TOY’S+restaurant+tokyo</v>
      </c>
      <c r="C185" s="10" t="s">
        <v>720</v>
      </c>
    </row>
    <row r="186" spans="1:3" ht="15.75" customHeight="1" x14ac:dyDescent="0.25">
      <c r="A186" s="1" t="s">
        <v>186</v>
      </c>
      <c r="B186" s="6" t="str">
        <f t="shared" si="2"/>
        <v>https://www.google.com/search?q=ピザ屋+restaurant+tokyo</v>
      </c>
      <c r="C186" s="10" t="s">
        <v>438</v>
      </c>
    </row>
    <row r="187" spans="1:3" ht="15.75" customHeight="1" x14ac:dyDescent="0.25">
      <c r="A187" s="1" t="s">
        <v>187</v>
      </c>
      <c r="B187" s="6" t="str">
        <f t="shared" si="2"/>
        <v>https://www.google.com/search?q=炭火焼きラムチョップ+restaurant+tokyo</v>
      </c>
      <c r="C187" s="10" t="s">
        <v>660</v>
      </c>
    </row>
    <row r="188" spans="1:3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D1000"/>
  <sheetViews>
    <sheetView workbookViewId="0">
      <selection activeCell="B5" sqref="B5"/>
    </sheetView>
  </sheetViews>
  <sheetFormatPr defaultColWidth="14.42578125" defaultRowHeight="15" customHeight="1" x14ac:dyDescent="0.25"/>
  <cols>
    <col min="1" max="2" width="36.140625" customWidth="1"/>
    <col min="3" max="3" width="12" style="5" hidden="1" customWidth="1"/>
    <col min="4" max="4" width="12.140625" style="5" bestFit="1" customWidth="1"/>
    <col min="5" max="26" width="8.7109375" customWidth="1"/>
  </cols>
  <sheetData>
    <row r="1" spans="1:4" x14ac:dyDescent="0.25">
      <c r="A1" s="3" t="s">
        <v>188</v>
      </c>
      <c r="B1" s="3" t="s">
        <v>524</v>
      </c>
      <c r="C1" s="4" t="s">
        <v>768</v>
      </c>
      <c r="D1" s="4" t="s">
        <v>767</v>
      </c>
    </row>
    <row r="2" spans="1:4" x14ac:dyDescent="0.25">
      <c r="A2" s="1" t="s">
        <v>189</v>
      </c>
      <c r="B2" s="1" t="str">
        <f ca="1">IFERROR(__xludf.DUMMYFUNCTION("GOOGLETRANSLATE(A2,""auto"",""en"")"),"ice cream")</f>
        <v>ice cream</v>
      </c>
      <c r="C2" s="5">
        <f>COUNTIF([1]!SAMPLE2C[RSTCAT],"*"&amp;A2&amp;"*")</f>
        <v>6</v>
      </c>
      <c r="D2" s="5">
        <v>6</v>
      </c>
    </row>
    <row r="3" spans="1:4" x14ac:dyDescent="0.25">
      <c r="A3" s="1" t="s">
        <v>190</v>
      </c>
      <c r="B3" s="1" t="str">
        <f ca="1">IFERROR(__xludf.DUMMYFUNCTION("GOOGLETRANSLATE(A3,""auto"",""en"")"),"Asian Ethnic Cuisine (Other)")</f>
        <v>Asian Ethnic Cuisine (Other)</v>
      </c>
      <c r="C3" s="5">
        <f>COUNTIF([1]!SAMPLE2C[RSTCAT],"*"&amp;A3&amp;"*")</f>
        <v>6</v>
      </c>
      <c r="D3" s="5">
        <v>6</v>
      </c>
    </row>
    <row r="4" spans="1:4" x14ac:dyDescent="0.25">
      <c r="A4" s="1" t="s">
        <v>191</v>
      </c>
      <c r="B4" s="1" t="str">
        <f ca="1">IFERROR(__xludf.DUMMYFUNCTION("GOOGLETRANSLATE(A4,""auto"",""en"")"),"American cuisine")</f>
        <v>American cuisine</v>
      </c>
      <c r="C4" s="5">
        <f>COUNTIF([1]!SAMPLE2C[RSTCAT],"*"&amp;A4&amp;"*")</f>
        <v>2</v>
      </c>
      <c r="D4" s="5">
        <v>2</v>
      </c>
    </row>
    <row r="5" spans="1:4" x14ac:dyDescent="0.25">
      <c r="A5" s="1" t="s">
        <v>192</v>
      </c>
      <c r="B5" s="1" t="str">
        <f ca="1">IFERROR(__xludf.DUMMYFUNCTION("GOOGLETRANSLATE(A5,""auto"",""en"")"),"Anko")</f>
        <v>Anko</v>
      </c>
      <c r="C5" s="5">
        <f>COUNTIF([1]!SAMPLE2C[RSTCAT],"*"&amp;A5&amp;"*")</f>
        <v>1</v>
      </c>
      <c r="D5" s="5">
        <v>1</v>
      </c>
    </row>
    <row r="6" spans="1:4" x14ac:dyDescent="0.25">
      <c r="A6" s="1" t="s">
        <v>193</v>
      </c>
      <c r="B6" s="1" t="str">
        <f ca="1">IFERROR(__xludf.DUMMYFUNCTION("GOOGLETRANSLATE(A6,""auto"",""en"")"),"Italian")</f>
        <v>Italian</v>
      </c>
      <c r="C6" s="5">
        <f>COUNTIF([1]!SAMPLE2C[RSTCAT],"*"&amp;A6&amp;"*")</f>
        <v>44</v>
      </c>
      <c r="D6" s="5">
        <v>44</v>
      </c>
    </row>
    <row r="7" spans="1:4" x14ac:dyDescent="0.25">
      <c r="A7" s="1" t="s">
        <v>194</v>
      </c>
      <c r="B7" s="1" t="str">
        <f ca="1">IFERROR(__xludf.DUMMYFUNCTION("GOOGLETRANSLATE(A7,""auto"",""en"")"),"Innovative Fusion")</f>
        <v>Innovative Fusion</v>
      </c>
      <c r="C7" s="5">
        <f>COUNTIF([1]!SAMPLE2C[RSTCAT],"*"&amp;A7&amp;"*")</f>
        <v>2</v>
      </c>
      <c r="D7" s="5">
        <v>2</v>
      </c>
    </row>
    <row r="8" spans="1:4" x14ac:dyDescent="0.25">
      <c r="A8" s="1" t="s">
        <v>114</v>
      </c>
      <c r="B8" s="1" t="str">
        <f ca="1">IFERROR(__xludf.DUMMYFUNCTION("GOOGLETRANSLATE(A8,""auto"",""en"")"),"Indian curry")</f>
        <v>Indian curry</v>
      </c>
      <c r="C8" s="5">
        <f>COUNTIF([1]!SAMPLE2C[RSTCAT],"*"&amp;A8&amp;"*")</f>
        <v>12</v>
      </c>
      <c r="D8" s="5">
        <v>12</v>
      </c>
    </row>
    <row r="9" spans="1:4" x14ac:dyDescent="0.25">
      <c r="A9" s="1" t="s">
        <v>195</v>
      </c>
      <c r="B9" s="1" t="str">
        <f ca="1">IFERROR(__xludf.DUMMYFUNCTION("GOOGLETRANSLATE(A9,""auto"",""en"")"),"Indian cuisine")</f>
        <v>Indian cuisine</v>
      </c>
      <c r="C9" s="5">
        <f>COUNTIF([1]!SAMPLE2C[RSTCAT],"*"&amp;A9&amp;"*")</f>
        <v>13</v>
      </c>
      <c r="D9" s="5">
        <v>13</v>
      </c>
    </row>
    <row r="10" spans="1:4" x14ac:dyDescent="0.25">
      <c r="A10" s="1" t="s">
        <v>146</v>
      </c>
      <c r="B10" s="1" t="str">
        <f ca="1">IFERROR(__xludf.DUMMYFUNCTION("GOOGLETRANSLATE(A10,""auto"",""en"")"),"Udon")</f>
        <v>Udon</v>
      </c>
      <c r="C10" s="5">
        <f>COUNTIF([1]!SAMPLE2C[RSTCAT],"*"&amp;A10&amp;"*")</f>
        <v>39</v>
      </c>
      <c r="D10" s="5">
        <v>39</v>
      </c>
    </row>
    <row r="11" spans="1:4" x14ac:dyDescent="0.25">
      <c r="A11" s="1" t="s">
        <v>151</v>
      </c>
      <c r="B11" s="1" t="str">
        <f ca="1">IFERROR(__xludf.DUMMYFUNCTION("GOOGLETRANSLATE(A11,""auto"",""en"")"),"eel")</f>
        <v>eel</v>
      </c>
      <c r="C11" s="5">
        <f>COUNTIF([1]!SAMPLE2C[RSTCAT],"*"&amp;A11&amp;"*")</f>
        <v>12</v>
      </c>
      <c r="D11" s="5">
        <v>12</v>
      </c>
    </row>
    <row r="12" spans="1:4" x14ac:dyDescent="0.25">
      <c r="A12" s="1" t="s">
        <v>196</v>
      </c>
      <c r="B12" s="1" t="str">
        <f ca="1">IFERROR(__xludf.DUMMYFUNCTION("GOOGLETRANSLATE(A12,""auto"",""en"")"),"Oyster bar")</f>
        <v>Oyster bar</v>
      </c>
      <c r="C12" s="5">
        <f>COUNTIF([1]!SAMPLE2C[RSTCAT],"*"&amp;A12&amp;"*")</f>
        <v>2</v>
      </c>
      <c r="D12" s="5">
        <v>2</v>
      </c>
    </row>
    <row r="13" spans="1:4" x14ac:dyDescent="0.25">
      <c r="A13" s="1" t="s">
        <v>197</v>
      </c>
      <c r="B13" s="1" t="str">
        <f ca="1">IFERROR(__xludf.DUMMYFUNCTION("GOOGLETRANSLATE(A13,""auto"",""en"")"),"Oden")</f>
        <v>Oden</v>
      </c>
      <c r="C13" s="5">
        <f>COUNTIF([1]!SAMPLE2C[RSTCAT],"*"&amp;A13&amp;"*")</f>
        <v>5</v>
      </c>
      <c r="D13" s="5">
        <v>5</v>
      </c>
    </row>
    <row r="14" spans="1:4" x14ac:dyDescent="0.25">
      <c r="A14" s="1" t="s">
        <v>198</v>
      </c>
      <c r="B14" s="1" t="str">
        <f ca="1">IFERROR(__xludf.DUMMYFUNCTION("GOOGLETRANSLATE(A14,""auto"",""en"")"),"rice ball")</f>
        <v>rice ball</v>
      </c>
      <c r="C14" s="5">
        <f>COUNTIF([1]!SAMPLE2C[RSTCAT],"*"&amp;A14&amp;"*")</f>
        <v>4</v>
      </c>
      <c r="D14" s="5">
        <v>4</v>
      </c>
    </row>
    <row r="15" spans="1:4" x14ac:dyDescent="0.25">
      <c r="A15" s="1" t="s">
        <v>199</v>
      </c>
      <c r="B15" s="1" t="str">
        <f ca="1">IFERROR(__xludf.DUMMYFUNCTION("GOOGLETRANSLATE(A15,""auto"",""en"")"),"Obanzai")</f>
        <v>Obanzai</v>
      </c>
      <c r="C15" s="5">
        <f>COUNTIF([1]!SAMPLE2C[RSTCAT],"*"&amp;A15&amp;"*")</f>
        <v>1</v>
      </c>
      <c r="D15" s="5">
        <v>1</v>
      </c>
    </row>
    <row r="16" spans="1:4" x14ac:dyDescent="0.25">
      <c r="A16" s="1" t="s">
        <v>200</v>
      </c>
      <c r="B16" s="1" t="str">
        <f ca="1">IFERROR(__xludf.DUMMYFUNCTION("GOOGLETRANSLATE(A16,""auto"",""en"")"),"Omelette rice")</f>
        <v>Omelette rice</v>
      </c>
      <c r="C16" s="5">
        <f>COUNTIF([1]!SAMPLE2C[RSTCAT],"*"&amp;A16&amp;"*")</f>
        <v>2</v>
      </c>
      <c r="D16" s="5">
        <v>2</v>
      </c>
    </row>
    <row r="17" spans="1:4" x14ac:dyDescent="0.25">
      <c r="A17" s="1" t="s">
        <v>201</v>
      </c>
      <c r="B17" s="1" t="str">
        <f ca="1">IFERROR(__xludf.DUMMYFUNCTION("GOOGLETRANSLATE(A17,""auto"",""en"")"),"Okonomiyaki")</f>
        <v>Okonomiyaki</v>
      </c>
      <c r="C17" s="5">
        <f>COUNTIF([1]!SAMPLE2C[RSTCAT],"*"&amp;A17&amp;"*")</f>
        <v>11</v>
      </c>
      <c r="D17" s="5">
        <v>11</v>
      </c>
    </row>
    <row r="18" spans="1:4" x14ac:dyDescent="0.25">
      <c r="A18" s="1" t="s">
        <v>202</v>
      </c>
      <c r="B18" s="1" t="str">
        <f ca="1">IFERROR(__xludf.DUMMYFUNCTION("GOOGLETRANSLATE(A18,""auto"",""en"")"),"shaved ice")</f>
        <v>shaved ice</v>
      </c>
      <c r="C18" s="5">
        <f>COUNTIF([1]!SAMPLE2C[RSTCAT],"*"&amp;A18&amp;"*")</f>
        <v>2</v>
      </c>
      <c r="D18" s="5">
        <v>2</v>
      </c>
    </row>
    <row r="19" spans="1:4" x14ac:dyDescent="0.25">
      <c r="A19" s="1" t="s">
        <v>203</v>
      </c>
      <c r="B19" s="1" t="str">
        <f ca="1">IFERROR(__xludf.DUMMYFUNCTION("GOOGLETRANSLATE(A19,""auto"",""en"")"),"Katsudon / Katsuga")</f>
        <v>Katsudon / Katsuga</v>
      </c>
      <c r="C19" s="5">
        <f>COUNTIF([1]!SAMPLE2C[RSTCAT],"*"&amp;A19&amp;"*")</f>
        <v>4</v>
      </c>
      <c r="D19" s="5">
        <v>4</v>
      </c>
    </row>
    <row r="20" spans="1:4" x14ac:dyDescent="0.25">
      <c r="A20" s="1" t="s">
        <v>204</v>
      </c>
      <c r="B20" s="1" t="str">
        <f ca="1">IFERROR(__xludf.DUMMYFUNCTION("GOOGLETRANSLATE(A20,""auto"",""en"")"),"Crab")</f>
        <v>Crab</v>
      </c>
      <c r="C20" s="5">
        <f>COUNTIF([1]!SAMPLE2C[RSTCAT],"*"&amp;A20&amp;"*")</f>
        <v>2</v>
      </c>
      <c r="D20" s="5">
        <v>2</v>
      </c>
    </row>
    <row r="21" spans="1:4" ht="15.75" customHeight="1" x14ac:dyDescent="0.25">
      <c r="A21" s="1" t="s">
        <v>205</v>
      </c>
      <c r="B21" s="1" t="str">
        <f ca="1">IFERROR(__xludf.DUMMYFUNCTION("GOOGLETRANSLATE(A21,""auto"",""en"")"),"Cafe")</f>
        <v>Cafe</v>
      </c>
      <c r="C21" s="5">
        <f>COUNTIF([1]!SAMPLE2C[RSTCAT],"*"&amp;A21&amp;"*")</f>
        <v>82</v>
      </c>
      <c r="D21" s="5">
        <v>82</v>
      </c>
    </row>
    <row r="22" spans="1:4" ht="15.75" customHeight="1" x14ac:dyDescent="0.25">
      <c r="A22" s="1" t="s">
        <v>206</v>
      </c>
      <c r="B22" s="1" t="str">
        <f ca="1">IFERROR(__xludf.DUMMYFUNCTION("GOOGLETRANSLATE(A22,""auto"",""en"")"),"Cafe / cafe (other)")</f>
        <v>Cafe / cafe (other)</v>
      </c>
      <c r="C22" s="5">
        <f>COUNTIF([1]!SAMPLE2C[RSTCAT],"*"&amp;A22&amp;"*")</f>
        <v>9</v>
      </c>
      <c r="D22" s="5">
        <v>9</v>
      </c>
    </row>
    <row r="23" spans="1:4" ht="15.75" customHeight="1" x14ac:dyDescent="0.25">
      <c r="A23" s="1" t="s">
        <v>207</v>
      </c>
      <c r="B23" s="1" t="str">
        <f ca="1">IFERROR(__xludf.DUMMYFUNCTION("GOOGLETRANSLATE(A23,""auto"",""en"")"),"Kerage")</f>
        <v>Kerage</v>
      </c>
      <c r="C23" s="5">
        <f>COUNTIF([1]!SAMPLE2C[RSTCAT],"*"&amp;A23&amp;"*")</f>
        <v>7</v>
      </c>
      <c r="D23" s="5">
        <v>7</v>
      </c>
    </row>
    <row r="24" spans="1:4" ht="15.75" customHeight="1" x14ac:dyDescent="0.25">
      <c r="A24" s="1" t="s">
        <v>208</v>
      </c>
      <c r="B24" s="1" t="str">
        <f ca="1">IFERROR(__xludf.DUMMYFUNCTION("GOOGLETRANSLATE(A24,""auto"",""en"")"),"Curry (other)")</f>
        <v>Curry (other)</v>
      </c>
      <c r="C24" s="5">
        <f>COUNTIF([1]!SAMPLE2C[RSTCAT],"*"&amp;A24&amp;"*")</f>
        <v>3</v>
      </c>
      <c r="D24" s="5">
        <v>3</v>
      </c>
    </row>
    <row r="25" spans="1:4" ht="15.75" customHeight="1" x14ac:dyDescent="0.25">
      <c r="A25" s="1" t="s">
        <v>209</v>
      </c>
      <c r="B25" s="1" t="str">
        <f ca="1">IFERROR(__xludf.DUMMYFUNCTION("GOOGLETRANSLATE(A25,""auto"",""en"")"),"Curry udon")</f>
        <v>Curry udon</v>
      </c>
      <c r="C25" s="5">
        <f>COUNTIF([1]!SAMPLE2C[RSTCAT],"*"&amp;A25&amp;"*")</f>
        <v>1</v>
      </c>
      <c r="D25" s="5">
        <v>1</v>
      </c>
    </row>
    <row r="26" spans="1:4" ht="15.75" customHeight="1" x14ac:dyDescent="0.25">
      <c r="A26" s="1" t="s">
        <v>210</v>
      </c>
      <c r="B26" s="1" t="str">
        <f ca="1">IFERROR(__xludf.DUMMYFUNCTION("GOOGLETRANSLATE(A26,""auto"",""en"")"),"Curry Rice")</f>
        <v>Curry Rice</v>
      </c>
      <c r="C26" s="5">
        <f>COUNTIF([1]!SAMPLE2C[RSTCAT],"*"&amp;A26&amp;"*")</f>
        <v>28</v>
      </c>
      <c r="D26" s="5">
        <v>28</v>
      </c>
    </row>
    <row r="27" spans="1:4" ht="15.75" customHeight="1" x14ac:dyDescent="0.25">
      <c r="A27" s="1" t="s">
        <v>211</v>
      </c>
      <c r="B27" s="1" t="str">
        <f ca="1">IFERROR(__xludf.DUMMYFUNCTION("GOOGLETRANSLATE(A27,""auto"",""en"")"),"Kiritanpo")</f>
        <v>Kiritanpo</v>
      </c>
      <c r="C27" s="5">
        <f>COUNTIF([1]!SAMPLE2C[RSTCAT],"*"&amp;A27&amp;"*")</f>
        <v>1</v>
      </c>
      <c r="D27" s="5">
        <v>1</v>
      </c>
    </row>
    <row r="28" spans="1:4" ht="15.75" customHeight="1" x14ac:dyDescent="0.25">
      <c r="A28" s="1" t="s">
        <v>212</v>
      </c>
      <c r="B28" s="1" t="str">
        <f ca="1">IFERROR(__xludf.DUMMYFUNCTION("GOOGLETRANSLATE(A28,""auto"",""en"")"),"Crepe")</f>
        <v>Crepe</v>
      </c>
      <c r="C28" s="5">
        <f>COUNTIF([1]!SAMPLE2C[RSTCAT],"*"&amp;A28&amp;"*")</f>
        <v>3</v>
      </c>
      <c r="D28" s="5">
        <v>3</v>
      </c>
    </row>
    <row r="29" spans="1:4" ht="15.75" customHeight="1" x14ac:dyDescent="0.25">
      <c r="A29" s="1" t="s">
        <v>213</v>
      </c>
      <c r="B29" s="1" t="str">
        <f ca="1">IFERROR(__xludf.DUMMYFUNCTION("GOOGLETRANSLATE(A29,""auto"",""en"")"),"cake")</f>
        <v>cake</v>
      </c>
      <c r="C29" s="5">
        <f>COUNTIF([1]!SAMPLE2C[RSTCAT],"*"&amp;A29&amp;"*")</f>
        <v>27</v>
      </c>
      <c r="D29" s="5">
        <v>27</v>
      </c>
    </row>
    <row r="30" spans="1:4" ht="15.75" customHeight="1" x14ac:dyDescent="0.25">
      <c r="A30" s="1" t="s">
        <v>214</v>
      </c>
      <c r="B30" s="1" t="str">
        <f ca="1">IFERROR(__xludf.DUMMYFUNCTION("GOOGLETRANSLATE(A30,""auto"",""en"")"),"Coffee specialty store")</f>
        <v>Coffee specialty store</v>
      </c>
      <c r="C30" s="5">
        <f>COUNTIF([1]!SAMPLE2C[RSTCAT],"*"&amp;A30&amp;"*")</f>
        <v>18</v>
      </c>
      <c r="D30" s="5">
        <v>18</v>
      </c>
    </row>
    <row r="31" spans="1:4" ht="15.75" customHeight="1" x14ac:dyDescent="0.25">
      <c r="A31" s="1" t="s">
        <v>215</v>
      </c>
      <c r="B31" s="1" t="str">
        <f ca="1">IFERROR(__xludf.DUMMYFUNCTION("GOOGLETRANSLATE(A31,""auto"",""en"")"),"Croquette fly")</f>
        <v>Croquette fly</v>
      </c>
      <c r="C31" s="5">
        <f>COUNTIF([1]!SAMPLE2C[RSTCAT],"*"&amp;A31&amp;"*")</f>
        <v>4</v>
      </c>
      <c r="D31" s="5">
        <v>4</v>
      </c>
    </row>
    <row r="32" spans="1:4" ht="15.75" customHeight="1" x14ac:dyDescent="0.25">
      <c r="A32" s="1" t="s">
        <v>216</v>
      </c>
      <c r="B32" s="1" t="str">
        <f ca="1">IFERROR(__xludf.DUMMYFUNCTION("GOOGLETRANSLATE(A32,""auto"",""en"")"),"sandwich")</f>
        <v>sandwich</v>
      </c>
      <c r="C32" s="5">
        <f>COUNTIF([1]!SAMPLE2C[RSTCAT],"*"&amp;A32&amp;"*")</f>
        <v>10</v>
      </c>
      <c r="D32" s="5">
        <v>10</v>
      </c>
    </row>
    <row r="33" spans="1:4" ht="15.75" customHeight="1" x14ac:dyDescent="0.25">
      <c r="A33" s="1" t="s">
        <v>217</v>
      </c>
      <c r="B33" s="1" t="str">
        <f ca="1">IFERROR(__xludf.DUMMYFUNCTION("GOOGLETRANSLATE(A33,""auto"",""en"")"),"stew")</f>
        <v>stew</v>
      </c>
      <c r="C33" s="5">
        <f>COUNTIF([1]!SAMPLE2C[RSTCAT],"*"&amp;A33&amp;"*")</f>
        <v>3</v>
      </c>
      <c r="D33" s="5">
        <v>3</v>
      </c>
    </row>
    <row r="34" spans="1:4" ht="15.75" customHeight="1" x14ac:dyDescent="0.25">
      <c r="A34" s="1" t="s">
        <v>218</v>
      </c>
      <c r="B34" s="1" t="str">
        <f ca="1">IFERROR(__xludf.DUMMYFUNCTION("GOOGLETRANSLATE(A34,""auto"",""en"")"),"Shabu -shabu")</f>
        <v>Shabu -shabu</v>
      </c>
      <c r="C34" s="5">
        <f>COUNTIF([1]!SAMPLE2C[RSTCAT],"*"&amp;A34&amp;"*")</f>
        <v>4</v>
      </c>
      <c r="D34" s="5">
        <v>4</v>
      </c>
    </row>
    <row r="35" spans="1:4" ht="15.75" customHeight="1" x14ac:dyDescent="0.25">
      <c r="A35" s="1" t="s">
        <v>219</v>
      </c>
      <c r="B35" s="1" t="str">
        <f ca="1">IFERROR(__xludf.DUMMYFUNCTION("GOOGLETRANSLATE(A35,""auto"",""en"")"),"Juice bar")</f>
        <v>Juice bar</v>
      </c>
      <c r="C35" s="5">
        <f>COUNTIF([1]!SAMPLE2C[RSTCAT],"*"&amp;A35&amp;"*")</f>
        <v>2</v>
      </c>
      <c r="D35" s="5">
        <v>2</v>
      </c>
    </row>
    <row r="36" spans="1:4" ht="15.75" customHeight="1" x14ac:dyDescent="0.25">
      <c r="A36" s="1" t="s">
        <v>220</v>
      </c>
      <c r="B36" s="1" t="str">
        <f ca="1">IFERROR(__xludf.DUMMYFUNCTION("GOOGLETRANSLATE(A36,""auto"",""en"")"),"Schulasco")</f>
        <v>Schulasco</v>
      </c>
      <c r="C36" s="5">
        <f>COUNTIF([1]!SAMPLE2C[RSTCAT],"*"&amp;A36&amp;"*")</f>
        <v>2</v>
      </c>
      <c r="D36" s="5">
        <v>2</v>
      </c>
    </row>
    <row r="37" spans="1:4" ht="15.75" customHeight="1" x14ac:dyDescent="0.25">
      <c r="A37" s="1" t="s">
        <v>221</v>
      </c>
      <c r="B37" s="1" t="str">
        <f ca="1">IFERROR(__xludf.DUMMYFUNCTION("GOOGLETRANSLATE(A37,""auto"",""en"")"),"Genghis Khan")</f>
        <v>Genghis Khan</v>
      </c>
      <c r="C37" s="5">
        <f>COUNTIF([1]!SAMPLE2C[RSTCAT],"*"&amp;A37&amp;"*")</f>
        <v>3</v>
      </c>
      <c r="D37" s="5">
        <v>3</v>
      </c>
    </row>
    <row r="38" spans="1:4" ht="15.75" customHeight="1" x14ac:dyDescent="0.25">
      <c r="A38" s="1" t="s">
        <v>222</v>
      </c>
      <c r="B38" s="1" t="str">
        <f ca="1">IFERROR(__xludf.DUMMYFUNCTION("GOOGLETRANSLATE(A38,""auto"",""en"")"),"Sweets (other)")</f>
        <v>Sweets (other)</v>
      </c>
      <c r="C38" s="5">
        <f>COUNTIF([1]!SAMPLE2C[RSTCAT],"*"&amp;A38&amp;"*")</f>
        <v>9</v>
      </c>
      <c r="D38" s="5">
        <v>9</v>
      </c>
    </row>
    <row r="39" spans="1:4" ht="15.75" customHeight="1" x14ac:dyDescent="0.25">
      <c r="A39" s="1" t="s">
        <v>223</v>
      </c>
      <c r="B39" s="1" t="str">
        <f ca="1">IFERROR(__xludf.DUMMYFUNCTION("GOOGLETRANSLATE(A39,""auto"",""en"")"),"Soup Curry")</f>
        <v>Soup Curry</v>
      </c>
      <c r="C39" s="5">
        <f>COUNTIF([1]!SAMPLE2C[RSTCAT],"*"&amp;A39&amp;"*")</f>
        <v>2</v>
      </c>
      <c r="D39" s="5">
        <v>2</v>
      </c>
    </row>
    <row r="40" spans="1:4" ht="15.75" customHeight="1" x14ac:dyDescent="0.25">
      <c r="A40" s="1" t="s">
        <v>224</v>
      </c>
      <c r="B40" s="1" t="str">
        <f ca="1">IFERROR(__xludf.DUMMYFUNCTION("GOOGLETRANSLATE(A40,""auto"",""en"")"),"Sukiyaki")</f>
        <v>Sukiyaki</v>
      </c>
      <c r="C40" s="5">
        <f>COUNTIF([1]!SAMPLE2C[RSTCAT],"*"&amp;A40&amp;"*")</f>
        <v>4</v>
      </c>
      <c r="D40" s="5">
        <v>4</v>
      </c>
    </row>
    <row r="41" spans="1:4" ht="15.75" customHeight="1" x14ac:dyDescent="0.25">
      <c r="A41" s="1" t="s">
        <v>225</v>
      </c>
      <c r="B41" s="1" t="str">
        <f ca="1">IFERROR(__xludf.DUMMYFUNCTION("GOOGLETRANSLATE(A41,""auto"",""en"")"),"steak")</f>
        <v>steak</v>
      </c>
      <c r="C41" s="5">
        <f>COUNTIF([1]!SAMPLE2C[RSTCAT],"*"&amp;A41&amp;"*")</f>
        <v>11</v>
      </c>
      <c r="D41" s="5">
        <v>11</v>
      </c>
    </row>
    <row r="42" spans="1:4" ht="15.75" customHeight="1" x14ac:dyDescent="0.25">
      <c r="A42" s="1" t="s">
        <v>226</v>
      </c>
      <c r="B42" s="1" t="str">
        <f ca="1">IFERROR(__xludf.DUMMYFUNCTION("GOOGLETRANSLATE(A42,""auto"",""en"")"),"Spanish")</f>
        <v>Spanish</v>
      </c>
      <c r="C42" s="5">
        <f>COUNTIF([1]!SAMPLE2C[RSTCAT],"*"&amp;A42&amp;"*")</f>
        <v>5</v>
      </c>
      <c r="D42" s="5">
        <v>5</v>
      </c>
    </row>
    <row r="43" spans="1:4" ht="15.75" customHeight="1" x14ac:dyDescent="0.25">
      <c r="A43" s="1" t="s">
        <v>227</v>
      </c>
      <c r="B43" s="1" t="str">
        <f ca="1">IFERROR(__xludf.DUMMYFUNCTION("GOOGLETRANSLATE(A43,""auto"",""en"")"),"Sports bar")</f>
        <v>Sports bar</v>
      </c>
      <c r="C43" s="5">
        <f>COUNTIF([1]!SAMPLE2C[RSTCAT],"*"&amp;A43&amp;"*")</f>
        <v>1</v>
      </c>
      <c r="D43" s="5">
        <v>1</v>
      </c>
    </row>
    <row r="44" spans="1:4" ht="15.75" customHeight="1" x14ac:dyDescent="0.25">
      <c r="A44" s="1" t="s">
        <v>228</v>
      </c>
      <c r="B44" s="1" t="str">
        <f ca="1">IFERROR(__xludf.DUMMYFUNCTION("GOOGLETRANSLATE(A44,""auto"",""en"")"),"Rice cracker")</f>
        <v>Rice cracker</v>
      </c>
      <c r="C44" s="5">
        <f>COUNTIF([1]!SAMPLE2C[RSTCAT],"*"&amp;A44&amp;"*")</f>
        <v>2</v>
      </c>
      <c r="D44" s="5">
        <v>2</v>
      </c>
    </row>
    <row r="45" spans="1:4" ht="15.75" customHeight="1" x14ac:dyDescent="0.25">
      <c r="A45" s="1" t="s">
        <v>229</v>
      </c>
      <c r="B45" s="1" t="str">
        <f ca="1">IFERROR(__xludf.DUMMYFUNCTION("GOOGLETRANSLATE(A45,""auto"",""en"")"),"others")</f>
        <v>others</v>
      </c>
      <c r="C45" s="5">
        <f>COUNTIF([1]!SAMPLE2C[RSTCAT],"*"&amp;A45&amp;"*")</f>
        <v>230</v>
      </c>
      <c r="D45" s="5">
        <v>230</v>
      </c>
    </row>
    <row r="46" spans="1:4" ht="15.75" customHeight="1" x14ac:dyDescent="0.25">
      <c r="A46" s="1" t="s">
        <v>230</v>
      </c>
      <c r="B46" s="1" t="str">
        <f ca="1">IFERROR(__xludf.DUMMYFUNCTION("GOOGLETRANSLATE(A46,""auto"",""en"")"),"Other meat dishes")</f>
        <v>Other meat dishes</v>
      </c>
      <c r="C46" s="5">
        <f>COUNTIF([1]!SAMPLE2C[RSTCAT],"*"&amp;A46&amp;"*")</f>
        <v>3</v>
      </c>
      <c r="D46" s="5">
        <v>3</v>
      </c>
    </row>
    <row r="47" spans="1:4" ht="15.75" customHeight="1" x14ac:dyDescent="0.25">
      <c r="A47" s="1" t="s">
        <v>231</v>
      </c>
      <c r="B47" s="1" t="str">
        <f ca="1">IFERROR(__xludf.DUMMYFUNCTION("GOOGLETRANSLATE(A47,""auto"",""en"")"),"Soba")</f>
        <v>Soba</v>
      </c>
      <c r="C47" s="5">
        <f>COUNTIF([1]!SAMPLE2C[RSTCAT],"*"&amp;A47&amp;"*")</f>
        <v>56</v>
      </c>
      <c r="D47" s="5">
        <v>56</v>
      </c>
    </row>
    <row r="48" spans="1:4" ht="15.75" customHeight="1" x14ac:dyDescent="0.25">
      <c r="A48" s="1" t="s">
        <v>232</v>
      </c>
      <c r="B48" s="1" t="str">
        <f ca="1">IFERROR(__xludf.DUMMYFUNCTION("GOOGLETRANSLATE(A48,""auto"",""en"")"),"Soba, udon, noodles (others)")</f>
        <v>Soba, udon, noodles (others)</v>
      </c>
      <c r="C48" s="5">
        <f>COUNTIF([1]!SAMPLE2C[RSTCAT],"*"&amp;A48&amp;"*")</f>
        <v>3</v>
      </c>
      <c r="D48" s="5">
        <v>3</v>
      </c>
    </row>
    <row r="49" spans="1:4" ht="15.75" customHeight="1" x14ac:dyDescent="0.25">
      <c r="A49" s="1" t="s">
        <v>233</v>
      </c>
      <c r="B49" s="1" t="str">
        <f ca="1">IFERROR(__xludf.DUMMYFUNCTION("GOOGLETRANSLATE(A49,""auto"",""en"")"),"Soft cream")</f>
        <v>Soft cream</v>
      </c>
      <c r="C49" s="5">
        <f>COUNTIF([1]!SAMPLE2C[RSTCAT],"*"&amp;A49&amp;"*")</f>
        <v>1</v>
      </c>
      <c r="D49" s="5">
        <v>1</v>
      </c>
    </row>
    <row r="50" spans="1:4" ht="15.75" customHeight="1" x14ac:dyDescent="0.25">
      <c r="A50" s="1" t="s">
        <v>234</v>
      </c>
      <c r="B50" s="1" t="str">
        <f ca="1">IFERROR(__xludf.DUMMYFUNCTION("GOOGLETRANSLATE(A50,""auto"",""en"")"),"Thai curry")</f>
        <v>Thai curry</v>
      </c>
      <c r="C50" s="5">
        <f>COUNTIF([1]!SAMPLE2C[RSTCAT],"*"&amp;A50&amp;"*")</f>
        <v>3</v>
      </c>
      <c r="D50" s="5">
        <v>3</v>
      </c>
    </row>
    <row r="51" spans="1:4" ht="15.75" customHeight="1" x14ac:dyDescent="0.25">
      <c r="A51" s="1" t="s">
        <v>235</v>
      </c>
      <c r="B51" s="1" t="str">
        <f ca="1">IFERROR(__xludf.DUMMYFUNCTION("GOOGLETRANSLATE(A51,""auto"",""en"")"),"Dining bar")</f>
        <v>Dining bar</v>
      </c>
      <c r="C51" s="5">
        <f>COUNTIF([1]!SAMPLE2C[RSTCAT],"*"&amp;A51&amp;"*")</f>
        <v>50</v>
      </c>
      <c r="D51" s="5">
        <v>50</v>
      </c>
    </row>
    <row r="52" spans="1:4" ht="15.75" customHeight="1" x14ac:dyDescent="0.25">
      <c r="A52" s="1" t="s">
        <v>236</v>
      </c>
      <c r="B52" s="1" t="str">
        <f ca="1">IFERROR(__xludf.DUMMYFUNCTION("GOOGLETRANSLATE(A52,""auto"",""en"")"),"Thai food")</f>
        <v>Thai food</v>
      </c>
      <c r="C52" s="5">
        <f>COUNTIF([1]!SAMPLE2C[RSTCAT],"*"&amp;A52&amp;"*")</f>
        <v>7</v>
      </c>
      <c r="D52" s="5">
        <v>7</v>
      </c>
    </row>
    <row r="53" spans="1:4" ht="15.75" customHeight="1" x14ac:dyDescent="0.25">
      <c r="A53" s="1" t="s">
        <v>237</v>
      </c>
      <c r="B53" s="1" t="str">
        <f ca="1">IFERROR(__xludf.DUMMYFUNCTION("GOOGLETRANSLATE(A53,""auto"",""en"")"),"Taiyaki / large format")</f>
        <v>Taiyaki / large format</v>
      </c>
      <c r="C53" s="5">
        <f>COUNTIF([1]!SAMPLE2C[RSTCAT],"*"&amp;A53&amp;"*")</f>
        <v>3</v>
      </c>
      <c r="D53" s="5">
        <v>3</v>
      </c>
    </row>
    <row r="54" spans="1:4" ht="15.75" customHeight="1" x14ac:dyDescent="0.25">
      <c r="A54" s="1" t="s">
        <v>162</v>
      </c>
      <c r="B54" s="1" t="str">
        <f ca="1">IFERROR(__xludf.DUMMYFUNCTION("GOOGLETRANSLATE(A54,""auto"",""en"")"),"Octopus")</f>
        <v>Octopus</v>
      </c>
      <c r="C54" s="5">
        <f>COUNTIF([1]!SAMPLE2C[RSTCAT],"*"&amp;A54&amp;"*")</f>
        <v>4</v>
      </c>
      <c r="D54" s="5">
        <v>4</v>
      </c>
    </row>
    <row r="55" spans="1:4" ht="15.75" customHeight="1" x14ac:dyDescent="0.25">
      <c r="A55" s="1" t="s">
        <v>238</v>
      </c>
      <c r="B55" s="1" t="str">
        <f ca="1">IFERROR(__xludf.DUMMYFUNCTION("GOOGLETRANSLATE(A55,""auto"",""en"")"),"Cock hot pot")</f>
        <v>Cock hot pot</v>
      </c>
      <c r="C55" s="5">
        <f>COUNTIF([1]!SAMPLE2C[RSTCAT],"*"&amp;A55&amp;"*")</f>
        <v>1</v>
      </c>
      <c r="D55" s="5">
        <v>1</v>
      </c>
    </row>
    <row r="56" spans="1:4" ht="15.75" customHeight="1" x14ac:dyDescent="0.25">
      <c r="A56" s="1" t="s">
        <v>239</v>
      </c>
      <c r="B56" s="1" t="str">
        <f ca="1">IFERROR(__xludf.DUMMYFUNCTION("GOOGLETRANSLATE(A56,""auto"",""en"")"),"Champon")</f>
        <v>Champon</v>
      </c>
      <c r="C56" s="5">
        <f>COUNTIF([1]!SAMPLE2C[RSTCAT],"*"&amp;A56&amp;"*")</f>
        <v>1</v>
      </c>
      <c r="D56" s="5">
        <v>1</v>
      </c>
    </row>
    <row r="57" spans="1:4" ht="15.75" customHeight="1" x14ac:dyDescent="0.25">
      <c r="A57" s="1" t="s">
        <v>240</v>
      </c>
      <c r="B57" s="1" t="str">
        <f ca="1">IFERROR(__xludf.DUMMYFUNCTION("GOOGLETRANSLATE(A57,""auto"",""en"")"),"chocolate")</f>
        <v>chocolate</v>
      </c>
      <c r="C57" s="5">
        <f>COUNTIF([1]!SAMPLE2C[RSTCAT],"*"&amp;A57&amp;"*")</f>
        <v>3</v>
      </c>
      <c r="D57" s="5">
        <v>3</v>
      </c>
    </row>
    <row r="58" spans="1:4" ht="15.75" customHeight="1" x14ac:dyDescent="0.25">
      <c r="A58" s="1" t="s">
        <v>241</v>
      </c>
      <c r="B58" s="1" t="str">
        <f ca="1">IFERROR(__xludf.DUMMYFUNCTION("GOOGLETRANSLATE(A58,""auto"",""en"")"),"tsukemen")</f>
        <v>tsukemen</v>
      </c>
      <c r="C58" s="5">
        <f>COUNTIF([1]!SAMPLE2C[RSTCAT],"*"&amp;A58&amp;"*")</f>
        <v>14</v>
      </c>
      <c r="D58" s="5">
        <v>14</v>
      </c>
    </row>
    <row r="59" spans="1:4" ht="15.75" customHeight="1" x14ac:dyDescent="0.25">
      <c r="A59" s="1" t="s">
        <v>242</v>
      </c>
      <c r="B59" s="1" t="str">
        <f ca="1">IFERROR(__xludf.DUMMYFUNCTION("GOOGLETRANSLATE(A59,""auto"",""en"")"),"delicatessen")</f>
        <v>delicatessen</v>
      </c>
      <c r="C59" s="5">
        <f>COUNTIF([1]!SAMPLE2C[RSTCAT],"*"&amp;A59&amp;"*")</f>
        <v>13</v>
      </c>
      <c r="D59" s="5">
        <v>13</v>
      </c>
    </row>
    <row r="60" spans="1:4" ht="15.75" customHeight="1" x14ac:dyDescent="0.25">
      <c r="A60" s="1" t="s">
        <v>243</v>
      </c>
      <c r="B60" s="1" t="str">
        <f ca="1">IFERROR(__xludf.DUMMYFUNCTION("GOOGLETRANSLATE(A60,""auto"",""en"")"),"German food")</f>
        <v>German food</v>
      </c>
      <c r="C60" s="5">
        <f>COUNTIF([1]!SAMPLE2C[RSTCAT],"*"&amp;A60&amp;"*")</f>
        <v>1</v>
      </c>
      <c r="D60" s="5">
        <v>1</v>
      </c>
    </row>
    <row r="61" spans="1:4" ht="15.75" customHeight="1" x14ac:dyDescent="0.25">
      <c r="A61" s="1" t="s">
        <v>244</v>
      </c>
      <c r="B61" s="1" t="str">
        <f ca="1">IFERROR(__xludf.DUMMYFUNCTION("GOOGLETRANSLATE(A61,""auto"",""en"")"),"donut")</f>
        <v>donut</v>
      </c>
      <c r="C61" s="5">
        <f>COUNTIF([1]!SAMPLE2C[RSTCAT],"*"&amp;A61&amp;"*")</f>
        <v>2</v>
      </c>
      <c r="D61" s="5">
        <v>2</v>
      </c>
    </row>
    <row r="62" spans="1:4" ht="15.75" customHeight="1" x14ac:dyDescent="0.25">
      <c r="A62" s="1" t="s">
        <v>245</v>
      </c>
      <c r="B62" s="1" t="str">
        <f ca="1">IFERROR(__xludf.DUMMYFUNCTION("GOOGLETRANSLATE(A62,""auto"",""en"")"),"Dog")</f>
        <v>Dog</v>
      </c>
      <c r="C62" s="5">
        <f>COUNTIF([1]!SAMPLE2C[RSTCAT],"*"&amp;A62&amp;"*")</f>
        <v>1</v>
      </c>
      <c r="D62" s="5">
        <v>1</v>
      </c>
    </row>
    <row r="63" spans="1:4" ht="15.75" customHeight="1" x14ac:dyDescent="0.25">
      <c r="A63" s="1" t="s">
        <v>246</v>
      </c>
      <c r="B63" s="1" t="str">
        <f ca="1">IFERROR(__xludf.DUMMYFUNCTION("GOOGLETRANSLATE(A63,""auto"",""en"")"),"Dorayaki")</f>
        <v>Dorayaki</v>
      </c>
      <c r="C63" s="5">
        <f>COUNTIF([1]!SAMPLE2C[RSTCAT],"*"&amp;A63&amp;"*")</f>
        <v>1</v>
      </c>
      <c r="D63" s="5">
        <v>1</v>
      </c>
    </row>
    <row r="64" spans="1:4" ht="15.75" customHeight="1" x14ac:dyDescent="0.25">
      <c r="A64" s="1" t="s">
        <v>247</v>
      </c>
      <c r="B64" s="1" t="str">
        <f ca="1">IFERROR(__xludf.DUMMYFUNCTION("GOOGLETRANSLATE(A64,""auto"",""en"")"),"Pork cutlet")</f>
        <v>Pork cutlet</v>
      </c>
      <c r="C64" s="5">
        <f>COUNTIF([1]!SAMPLE2C[RSTCAT],"*"&amp;A64&amp;"*")</f>
        <v>7</v>
      </c>
      <c r="D64" s="5">
        <v>7</v>
      </c>
    </row>
    <row r="65" spans="1:4" ht="15.75" customHeight="1" x14ac:dyDescent="0.25">
      <c r="A65" s="1" t="s">
        <v>248</v>
      </c>
      <c r="B65" s="1" t="str">
        <f ca="1">IFERROR(__xludf.DUMMYFUNCTION("GOOGLETRANSLATE(A65,""auto"",""en"")"),"Nepalese cuisine")</f>
        <v>Nepalese cuisine</v>
      </c>
      <c r="C65" s="5">
        <f>COUNTIF([1]!SAMPLE2C[RSTCAT],"*"&amp;A65&amp;"*")</f>
        <v>4</v>
      </c>
      <c r="D65" s="5">
        <v>4</v>
      </c>
    </row>
    <row r="66" spans="1:4" ht="15.75" customHeight="1" x14ac:dyDescent="0.25">
      <c r="A66" s="1" t="s">
        <v>249</v>
      </c>
      <c r="B66" s="1" t="str">
        <f ca="1">IFERROR(__xludf.DUMMYFUNCTION("GOOGLETRANSLATE(A66,""auto"",""en"")"),"bar")</f>
        <v>bar</v>
      </c>
      <c r="C66" s="5">
        <f>COUNTIF([1]!SAMPLE2C[RSTCAT],"*"&amp;A66&amp;"*")</f>
        <v>174</v>
      </c>
      <c r="D66" s="5">
        <v>174</v>
      </c>
    </row>
    <row r="67" spans="1:4" ht="15.75" customHeight="1" x14ac:dyDescent="0.25">
      <c r="A67" s="1" t="s">
        <v>250</v>
      </c>
      <c r="B67" s="1" t="str">
        <f ca="1">IFERROR(__xludf.DUMMYFUNCTION("GOOGLETRANSLATE(A67,""auto"",""en"")"),"Bar / liquor (other)")</f>
        <v>Bar / liquor (other)</v>
      </c>
      <c r="C67" s="5">
        <f>COUNTIF([1]!SAMPLE2C[RSTCAT],"*"&amp;A67&amp;"*")</f>
        <v>16</v>
      </c>
      <c r="D67" s="5">
        <v>16</v>
      </c>
    </row>
    <row r="68" spans="1:4" ht="15.75" customHeight="1" x14ac:dyDescent="0.25">
      <c r="A68" s="1" t="s">
        <v>251</v>
      </c>
      <c r="B68" s="1" t="str">
        <f ca="1">IFERROR(__xludf.DUMMYFUNCTION("GOOGLETRANSLATE(A68,""auto"",""en"")"),"barbecue")</f>
        <v>barbecue</v>
      </c>
      <c r="C68" s="5">
        <f>COUNTIF([1]!SAMPLE2C[RSTCAT],"*"&amp;A68&amp;"*")</f>
        <v>2</v>
      </c>
      <c r="D68" s="5">
        <v>2</v>
      </c>
    </row>
    <row r="69" spans="1:4" ht="15.75" customHeight="1" x14ac:dyDescent="0.25">
      <c r="A69" s="1" t="s">
        <v>252</v>
      </c>
      <c r="B69" s="1" t="str">
        <f ca="1">IFERROR(__xludf.DUMMYFUNCTION("GOOGLETRANSLATE(A69,""auto"",""en"")"),"Viking")</f>
        <v>Viking</v>
      </c>
      <c r="C69" s="5">
        <f>COUNTIF([1]!SAMPLE2C[RSTCAT],"*"&amp;A69&amp;"*")</f>
        <v>6</v>
      </c>
      <c r="D69" s="5">
        <v>6</v>
      </c>
    </row>
    <row r="70" spans="1:4" ht="15.75" customHeight="1" x14ac:dyDescent="0.25">
      <c r="A70" s="1" t="s">
        <v>253</v>
      </c>
      <c r="B70" s="1" t="str">
        <f ca="1">IFERROR(__xludf.DUMMYFUNCTION("GOOGLETRANSLATE(A70,""auto"",""en"")"),"Pakistanian cuisine")</f>
        <v>Pakistanian cuisine</v>
      </c>
      <c r="C70" s="5">
        <f>COUNTIF([1]!SAMPLE2C[RSTCAT],"*"&amp;A70&amp;"*")</f>
        <v>1</v>
      </c>
      <c r="D70" s="5">
        <v>1</v>
      </c>
    </row>
    <row r="71" spans="1:4" ht="15.75" customHeight="1" x14ac:dyDescent="0.25">
      <c r="A71" s="1" t="s">
        <v>254</v>
      </c>
      <c r="B71" s="1" t="str">
        <f ca="1">IFERROR(__xludf.DUMMYFUNCTION("GOOGLETRANSLATE(A71,""auto"",""en"")"),"pasta")</f>
        <v>pasta</v>
      </c>
      <c r="C71" s="5">
        <f>COUNTIF([1]!SAMPLE2C[RSTCAT],"*"&amp;A71&amp;"*")</f>
        <v>11</v>
      </c>
      <c r="D71" s="5">
        <v>11</v>
      </c>
    </row>
    <row r="72" spans="1:4" ht="15.75" customHeight="1" x14ac:dyDescent="0.25">
      <c r="A72" s="1" t="s">
        <v>255</v>
      </c>
      <c r="B72" s="1" t="str">
        <f ca="1">IFERROR(__xludf.DUMMYFUNCTION("GOOGLETRANSLATE(A72,""auto"",""en"")"),"Pub")</f>
        <v>Pub</v>
      </c>
      <c r="C72" s="5">
        <f>COUNTIF([1]!SAMPLE2C[RSTCAT],"*"&amp;A72&amp;"*")</f>
        <v>3</v>
      </c>
      <c r="D72" s="5">
        <v>3</v>
      </c>
    </row>
    <row r="73" spans="1:4" ht="15.75" customHeight="1" x14ac:dyDescent="0.25">
      <c r="A73" s="1" t="s">
        <v>256</v>
      </c>
      <c r="B73" s="1" t="str">
        <f ca="1">IFERROR(__xludf.DUMMYFUNCTION("GOOGLETRANSLATE(A73,""auto"",""en"")"),"Hayashi rice")</f>
        <v>Hayashi rice</v>
      </c>
      <c r="C73" s="5">
        <f>COUNTIF([1]!SAMPLE2C[RSTCAT],"*"&amp;A73&amp;"*")</f>
        <v>1</v>
      </c>
      <c r="D73" s="5">
        <v>1</v>
      </c>
    </row>
    <row r="74" spans="1:4" ht="15.75" customHeight="1" x14ac:dyDescent="0.25">
      <c r="A74" s="1" t="s">
        <v>257</v>
      </c>
      <c r="B74" s="1" t="str">
        <f ca="1">IFERROR(__xludf.DUMMYFUNCTION("GOOGLETRANSLATE(A74,""auto"",""en"")"),"Bar Bar")</f>
        <v>Bar Bar</v>
      </c>
      <c r="C74" s="5">
        <f>COUNTIF([1]!SAMPLE2C[RSTCAT],"*"&amp;A74&amp;"*")</f>
        <v>11</v>
      </c>
      <c r="D74" s="5">
        <v>11</v>
      </c>
    </row>
    <row r="75" spans="1:4" ht="15.75" customHeight="1" x14ac:dyDescent="0.25">
      <c r="A75" s="1" t="s">
        <v>258</v>
      </c>
      <c r="B75" s="1" t="str">
        <f ca="1">IFERROR(__xludf.DUMMYFUNCTION("GOOGLETRANSLATE(A75,""auto"",""en"")"),"bread")</f>
        <v>bread</v>
      </c>
      <c r="C75" s="5">
        <f>COUNTIF([1]!SAMPLE2C[RSTCAT],"*"&amp;A75&amp;"*")</f>
        <v>28</v>
      </c>
      <c r="D75" s="5">
        <v>28</v>
      </c>
    </row>
    <row r="76" spans="1:4" ht="15.75" customHeight="1" x14ac:dyDescent="0.25">
      <c r="A76" s="1" t="s">
        <v>259</v>
      </c>
      <c r="B76" s="1" t="str">
        <f ca="1">IFERROR(__xludf.DUMMYFUNCTION("GOOGLETRANSLATE(A76,""auto"",""en"")"),"Bread sandwich (other)")</f>
        <v>Bread sandwich (other)</v>
      </c>
      <c r="C76" s="5">
        <f>COUNTIF([1]!SAMPLE2C[RSTCAT],"*"&amp;A76&amp;"*")</f>
        <v>6</v>
      </c>
      <c r="D76" s="5">
        <v>6</v>
      </c>
    </row>
    <row r="77" spans="1:4" ht="15.75" customHeight="1" x14ac:dyDescent="0.25">
      <c r="A77" s="1" t="s">
        <v>260</v>
      </c>
      <c r="B77" s="1" t="str">
        <f ca="1">IFERROR(__xludf.DUMMYFUNCTION("GOOGLETRANSLATE(A77,""auto"",""en"")"),"pancake")</f>
        <v>pancake</v>
      </c>
      <c r="C77" s="5">
        <f>COUNTIF([1]!SAMPLE2C[RSTCAT],"*"&amp;A77&amp;"*")</f>
        <v>3</v>
      </c>
      <c r="D77" s="5">
        <v>3</v>
      </c>
    </row>
    <row r="78" spans="1:4" ht="15.75" customHeight="1" x14ac:dyDescent="0.25">
      <c r="A78" s="1" t="s">
        <v>261</v>
      </c>
      <c r="B78" s="1" t="str">
        <f ca="1">IFERROR(__xludf.DUMMYFUNCTION("GOOGLETRANSLATE(A78,""auto"",""en"")"),"hamburger")</f>
        <v>hamburger</v>
      </c>
      <c r="C78" s="5">
        <f>COUNTIF([1]!SAMPLE2C[RSTCAT],"*"&amp;A78&amp;"*")</f>
        <v>10</v>
      </c>
      <c r="D78" s="5">
        <v>10</v>
      </c>
    </row>
    <row r="79" spans="1:4" ht="15.75" customHeight="1" x14ac:dyDescent="0.25">
      <c r="A79" s="1" t="s">
        <v>262</v>
      </c>
      <c r="B79" s="1" t="str">
        <f ca="1">IFERROR(__xludf.DUMMYFUNCTION("GOOGLETRANSLATE(A79,""auto"",""en"")"),"hamburger")</f>
        <v>hamburger</v>
      </c>
      <c r="C79" s="5">
        <f>COUNTIF([1]!SAMPLE2C[RSTCAT],"*"&amp;A79&amp;"*")</f>
        <v>6</v>
      </c>
      <c r="D79" s="5">
        <v>6</v>
      </c>
    </row>
    <row r="80" spans="1:4" ht="15.75" customHeight="1" x14ac:dyDescent="0.25">
      <c r="A80" s="1" t="s">
        <v>263</v>
      </c>
      <c r="B80" s="1" t="str">
        <f ca="1">IFERROR(__xludf.DUMMYFUNCTION("GOOGLETRANSLATE(A80,""auto"",""en"")"),"beer garden")</f>
        <v>beer garden</v>
      </c>
      <c r="C80" s="5">
        <f>COUNTIF([1]!SAMPLE2C[RSTCAT],"*"&amp;A80&amp;"*")</f>
        <v>2</v>
      </c>
      <c r="D80" s="5">
        <v>2</v>
      </c>
    </row>
    <row r="81" spans="1:4" ht="15.75" customHeight="1" x14ac:dyDescent="0.25">
      <c r="A81" s="1" t="s">
        <v>264</v>
      </c>
      <c r="B81" s="1" t="str">
        <f ca="1">IFERROR(__xludf.DUMMYFUNCTION("GOOGLETRANSLATE(A81,""auto"",""en"")"),"Beer bar")</f>
        <v>Beer bar</v>
      </c>
      <c r="C81" s="5">
        <f>COUNTIF([1]!SAMPLE2C[RSTCAT],"*"&amp;A81&amp;"*")</f>
        <v>6</v>
      </c>
      <c r="D81" s="5">
        <v>6</v>
      </c>
    </row>
    <row r="82" spans="1:4" ht="15.75" customHeight="1" x14ac:dyDescent="0.25">
      <c r="A82" s="1" t="s">
        <v>265</v>
      </c>
      <c r="B82" s="1" t="str">
        <f ca="1">IFERROR(__xludf.DUMMYFUNCTION("GOOGLETRANSLATE(A82,""auto"",""en"")"),"Beer Hall Bear Restaurant")</f>
        <v>Beer Hall Bear Restaurant</v>
      </c>
      <c r="C82" s="5">
        <f>COUNTIF([1]!SAMPLE2C[RSTCAT],"*"&amp;A82&amp;"*")</f>
        <v>3</v>
      </c>
      <c r="D82" s="5">
        <v>3</v>
      </c>
    </row>
    <row r="83" spans="1:4" ht="15.75" customHeight="1" x14ac:dyDescent="0.25">
      <c r="A83" s="1" t="s">
        <v>266</v>
      </c>
      <c r="B83" s="1" t="str">
        <f ca="1">IFERROR(__xludf.DUMMYFUNCTION("GOOGLETRANSLATE(A83,""auto"",""en"")"),"pizza")</f>
        <v>pizza</v>
      </c>
      <c r="C83" s="5">
        <f>COUNTIF([1]!SAMPLE2C[RSTCAT],"*"&amp;A83&amp;"*")</f>
        <v>10</v>
      </c>
      <c r="D83" s="5">
        <v>10</v>
      </c>
    </row>
    <row r="84" spans="1:4" ht="15.75" customHeight="1" x14ac:dyDescent="0.25">
      <c r="A84" s="1" t="s">
        <v>22</v>
      </c>
      <c r="B84" s="1" t="str">
        <f ca="1">IFERROR(__xludf.DUMMYFUNCTION("GOOGLETRANSLATE(A84,""auto"",""en"")"),"bistro")</f>
        <v>bistro</v>
      </c>
      <c r="C84" s="5">
        <f>COUNTIF([1]!SAMPLE2C[RSTCAT],"*"&amp;A84&amp;"*")</f>
        <v>21</v>
      </c>
      <c r="D84" s="5">
        <v>21</v>
      </c>
    </row>
    <row r="85" spans="1:4" ht="15.75" customHeight="1" x14ac:dyDescent="0.25">
      <c r="A85" s="1" t="s">
        <v>267</v>
      </c>
      <c r="B85" s="1" t="str">
        <f ca="1">IFERROR(__xludf.DUMMYFUNCTION("GOOGLETRANSLATE(A85,""auto"",""en"")"),"Family restaurant")</f>
        <v>Family restaurant</v>
      </c>
      <c r="C85" s="5">
        <f>COUNTIF([1]!SAMPLE2C[RSTCAT],"*"&amp;A85&amp;"*")</f>
        <v>6</v>
      </c>
      <c r="D85" s="5">
        <v>6</v>
      </c>
    </row>
    <row r="86" spans="1:4" ht="15.75" customHeight="1" x14ac:dyDescent="0.25">
      <c r="A86" s="1" t="s">
        <v>268</v>
      </c>
      <c r="B86" s="1" t="str">
        <f ca="1">IFERROR(__xludf.DUMMYFUNCTION("GOOGLETRANSLATE(A86,""auto"",""en"")"),"Fugu")</f>
        <v>Fugu</v>
      </c>
      <c r="C86" s="5">
        <f>COUNTIF([1]!SAMPLE2C[RSTCAT],"*"&amp;A86&amp;"*")</f>
        <v>3</v>
      </c>
      <c r="D86" s="5">
        <v>3</v>
      </c>
    </row>
    <row r="87" spans="1:4" ht="15.75" customHeight="1" x14ac:dyDescent="0.25">
      <c r="A87" s="1" t="s">
        <v>269</v>
      </c>
      <c r="B87" s="1" t="str">
        <f ca="1">IFERROR(__xludf.DUMMYFUNCTION("GOOGLETRANSLATE(A87,""auto"",""en"")"),"Brazilian cuisine")</f>
        <v>Brazilian cuisine</v>
      </c>
      <c r="C87" s="5">
        <f>COUNTIF([1]!SAMPLE2C[RSTCAT],"*"&amp;A87&amp;"*")</f>
        <v>1</v>
      </c>
      <c r="D87" s="5">
        <v>1</v>
      </c>
    </row>
    <row r="88" spans="1:4" ht="15.75" customHeight="1" x14ac:dyDescent="0.25">
      <c r="A88" s="1" t="s">
        <v>270</v>
      </c>
      <c r="B88" s="1" t="str">
        <f ca="1">IFERROR(__xludf.DUMMYFUNCTION("GOOGLETRANSLATE(A88,""auto"",""en"")"),"Fruit parlor")</f>
        <v>Fruit parlor</v>
      </c>
      <c r="C88" s="5">
        <f>COUNTIF([1]!SAMPLE2C[RSTCAT],"*"&amp;A88&amp;"*")</f>
        <v>1</v>
      </c>
      <c r="D88" s="5">
        <v>1</v>
      </c>
    </row>
    <row r="89" spans="1:4" ht="15.75" customHeight="1" x14ac:dyDescent="0.25">
      <c r="A89" s="1" t="s">
        <v>271</v>
      </c>
      <c r="B89" s="1" t="str">
        <f ca="1">IFERROR(__xludf.DUMMYFUNCTION("GOOGLETRANSLATE(A89,""auto"",""en"")"),"French")</f>
        <v>French</v>
      </c>
      <c r="C89" s="5">
        <f>COUNTIF([1]!SAMPLE2C[RSTCAT],"*"&amp;A89&amp;"*")</f>
        <v>14</v>
      </c>
      <c r="D89" s="5">
        <v>14</v>
      </c>
    </row>
    <row r="90" spans="1:4" ht="15.75" customHeight="1" x14ac:dyDescent="0.25">
      <c r="A90" s="1" t="s">
        <v>272</v>
      </c>
      <c r="B90" s="1" t="str">
        <f ca="1">IFERROR(__xludf.DUMMYFUNCTION("GOOGLETRANSLATE(A90,""auto"",""en"")"),"Vietnamese food")</f>
        <v>Vietnamese food</v>
      </c>
      <c r="C90" s="5">
        <f>COUNTIF([1]!SAMPLE2C[RSTCAT],"*"&amp;A90&amp;"*")</f>
        <v>5</v>
      </c>
      <c r="D90" s="5">
        <v>5</v>
      </c>
    </row>
    <row r="91" spans="1:4" ht="15.75" customHeight="1" x14ac:dyDescent="0.25">
      <c r="A91" s="1" t="s">
        <v>273</v>
      </c>
      <c r="B91" s="1" t="str">
        <f ca="1">IFERROR(__xludf.DUMMYFUNCTION("GOOGLETRANSLATE(A91,""auto"",""en"")"),"hormone")</f>
        <v>hormone</v>
      </c>
      <c r="C91" s="5">
        <f>COUNTIF([1]!SAMPLE2C[RSTCAT],"*"&amp;A91&amp;"*")</f>
        <v>11</v>
      </c>
      <c r="D91" s="5">
        <v>11</v>
      </c>
    </row>
    <row r="92" spans="1:4" ht="15.75" customHeight="1" x14ac:dyDescent="0.25">
      <c r="A92" s="1" t="s">
        <v>274</v>
      </c>
      <c r="B92" s="1" t="str">
        <f ca="1">IFERROR(__xludf.DUMMYFUNCTION("GOOGLETRANSLATE(A92,""auto"",""en"")"),"Macaroon")</f>
        <v>Macaroon</v>
      </c>
      <c r="C92" s="5">
        <f>COUNTIF([1]!SAMPLE2C[RSTCAT],"*"&amp;A92&amp;"*")</f>
        <v>1</v>
      </c>
      <c r="D92" s="5">
        <v>1</v>
      </c>
    </row>
    <row r="93" spans="1:4" ht="15.75" customHeight="1" x14ac:dyDescent="0.25">
      <c r="A93" s="1" t="s">
        <v>275</v>
      </c>
      <c r="B93" s="1" t="str">
        <f ca="1">IFERROR(__xludf.DUMMYFUNCTION("GOOGLETRANSLATE(A93,""auto"",""en"")"),"Modern French")</f>
        <v>Modern French</v>
      </c>
      <c r="C93" s="5">
        <f>COUNTIF([1]!SAMPLE2C[RSTCAT],"*"&amp;A93&amp;"*")</f>
        <v>2</v>
      </c>
      <c r="D93" s="5">
        <v>2</v>
      </c>
    </row>
    <row r="94" spans="1:4" ht="15.75" customHeight="1" x14ac:dyDescent="0.25">
      <c r="A94" s="1" t="s">
        <v>276</v>
      </c>
      <c r="B94" s="1" t="str">
        <f ca="1">IFERROR(__xludf.DUMMYFUNCTION("GOOGLETRANSLATE(A94,""auto"",""en"")"),"Grilled grilled")</f>
        <v>Grilled grilled</v>
      </c>
      <c r="C94" s="5">
        <f>COUNTIF([1]!SAMPLE2C[RSTCAT],"*"&amp;A94&amp;"*")</f>
        <v>5</v>
      </c>
      <c r="D94" s="5">
        <v>5</v>
      </c>
    </row>
    <row r="95" spans="1:4" ht="15.75" customHeight="1" x14ac:dyDescent="0.25">
      <c r="A95" s="1" t="s">
        <v>277</v>
      </c>
      <c r="B95" s="1" t="str">
        <f ca="1">IFERROR(__xludf.DUMMYFUNCTION("GOOGLETRANSLATE(A95,""auto"",""en"")"),"motsunabe")</f>
        <v>motsunabe</v>
      </c>
      <c r="C95" s="5">
        <f>COUNTIF([1]!SAMPLE2C[RSTCAT],"*"&amp;A95&amp;"*")</f>
        <v>5</v>
      </c>
      <c r="D95" s="5">
        <v>5</v>
      </c>
    </row>
    <row r="96" spans="1:4" ht="15.75" customHeight="1" x14ac:dyDescent="0.25">
      <c r="A96" s="1" t="s">
        <v>278</v>
      </c>
      <c r="B96" s="1" t="str">
        <f ca="1">IFERROR(__xludf.DUMMYFUNCTION("GOOGLETRANSLATE(A96,""auto"",""en"")"),"Monjayaki")</f>
        <v>Monjayaki</v>
      </c>
      <c r="C96" s="5">
        <f>COUNTIF([1]!SAMPLE2C[RSTCAT],"*"&amp;A96&amp;"*")</f>
        <v>5</v>
      </c>
      <c r="D96" s="5">
        <v>5</v>
      </c>
    </row>
    <row r="97" spans="1:4" ht="15.75" customHeight="1" x14ac:dyDescent="0.25">
      <c r="A97" s="1" t="s">
        <v>279</v>
      </c>
      <c r="B97" s="1" t="str">
        <f ca="1">IFERROR(__xludf.DUMMYFUNCTION("GOOGLETRANSLATE(A97,""auto"",""en"")"),"ramen")</f>
        <v>ramen</v>
      </c>
      <c r="C97" s="5">
        <f>COUNTIF([1]!SAMPLE2C[RSTCAT],"*"&amp;A97&amp;"*")</f>
        <v>52</v>
      </c>
      <c r="D97" s="5">
        <v>52</v>
      </c>
    </row>
    <row r="98" spans="1:4" ht="15.75" customHeight="1" x14ac:dyDescent="0.25">
      <c r="A98" s="1" t="s">
        <v>280</v>
      </c>
      <c r="B98" s="1" t="str">
        <f ca="1">IFERROR(__xludf.DUMMYFUNCTION("GOOGLETRANSLATE(A98,""auto"",""en"")"),"Lounge")</f>
        <v>Lounge</v>
      </c>
      <c r="C98" s="5">
        <f>COUNTIF([1]!SAMPLE2C[RSTCAT],"*"&amp;A98&amp;"*")</f>
        <v>5</v>
      </c>
      <c r="D98" s="5">
        <v>5</v>
      </c>
    </row>
    <row r="99" spans="1:4" ht="15.75" customHeight="1" x14ac:dyDescent="0.25">
      <c r="A99" s="1" t="s">
        <v>281</v>
      </c>
      <c r="B99" s="1" t="str">
        <f ca="1">IFERROR(__xludf.DUMMYFUNCTION("GOOGLETRANSLATE(A99,""auto"",""en"")"),"Restaurant (other)")</f>
        <v>Restaurant (other)</v>
      </c>
      <c r="C99" s="5">
        <f>COUNTIF([1]!SAMPLE2C[RSTCAT],"*"&amp;A99&amp;"*")</f>
        <v>8</v>
      </c>
      <c r="D99" s="5">
        <v>8</v>
      </c>
    </row>
    <row r="100" spans="1:4" ht="15.75" customHeight="1" x14ac:dyDescent="0.25">
      <c r="A100" s="1" t="s">
        <v>282</v>
      </c>
      <c r="B100" s="1" t="str">
        <f ca="1">IFERROR(__xludf.DUMMYFUNCTION("GOOGLETRANSLATE(A100,""auto"",""en"")"),"Wine bar")</f>
        <v>Wine bar</v>
      </c>
      <c r="C100" s="5">
        <f>COUNTIF([1]!SAMPLE2C[RSTCAT],"*"&amp;A100&amp;"*")</f>
        <v>20</v>
      </c>
      <c r="D100" s="5">
        <v>20</v>
      </c>
    </row>
    <row r="101" spans="1:4" ht="15.75" customHeight="1" x14ac:dyDescent="0.25">
      <c r="A101" s="1" t="s">
        <v>283</v>
      </c>
      <c r="B101" s="1" t="str">
        <f ca="1">IFERROR(__xludf.DUMMYFUNCTION("GOOGLETRANSLATE(A101,""auto"",""en"")"),"Shanghai cuisine")</f>
        <v>Shanghai cuisine</v>
      </c>
      <c r="C101" s="5">
        <f>COUNTIF([1]!SAMPLE2C[RSTCAT],"*"&amp;A101&amp;"*")</f>
        <v>2</v>
      </c>
      <c r="D101" s="5">
        <v>2</v>
      </c>
    </row>
    <row r="102" spans="1:4" ht="15.75" customHeight="1" x14ac:dyDescent="0.25">
      <c r="A102" s="1" t="s">
        <v>284</v>
      </c>
      <c r="B102" s="1" t="str">
        <f ca="1">IFERROR(__xludf.DUMMYFUNCTION("GOOGLETRANSLATE(A102,""auto"",""en"")"),"Latin American cuisine (others)")</f>
        <v>Latin American cuisine (others)</v>
      </c>
      <c r="C102" s="5">
        <f>COUNTIF([1]!SAMPLE2C[RSTCAT],"*"&amp;A102&amp;"*")</f>
        <v>1</v>
      </c>
      <c r="D102" s="5">
        <v>1</v>
      </c>
    </row>
    <row r="103" spans="1:4" ht="15.75" customHeight="1" x14ac:dyDescent="0.25">
      <c r="A103" s="1" t="s">
        <v>285</v>
      </c>
      <c r="B103" s="1" t="str">
        <f ca="1">IFERROR(__xludf.DUMMYFUNCTION("GOOGLETRANSLATE(A103,""auto"",""en"")"),"Chinese tea specialty store")</f>
        <v>Chinese tea specialty store</v>
      </c>
      <c r="C103" s="5">
        <f>COUNTIF([1]!SAMPLE2C[RSTCAT],"*"&amp;A103&amp;"*")</f>
        <v>1</v>
      </c>
      <c r="D103" s="5">
        <v>1</v>
      </c>
    </row>
    <row r="104" spans="1:4" ht="15.75" customHeight="1" x14ac:dyDescent="0.25">
      <c r="A104" s="1" t="s">
        <v>286</v>
      </c>
      <c r="B104" s="1" t="str">
        <f ca="1">IFERROR(__xludf.DUMMYFUNCTION("GOOGLETRANSLATE(A104,""auto"",""en"")"),"Chinese pot ・ hot pot")</f>
        <v>Chinese pot ・ hot pot</v>
      </c>
      <c r="C104" s="5">
        <f>COUNTIF([1]!SAMPLE2C[RSTCAT],"*"&amp;A104&amp;"*")</f>
        <v>2</v>
      </c>
      <c r="D104" s="5">
        <v>2</v>
      </c>
    </row>
    <row r="105" spans="1:4" ht="15.75" customHeight="1" x14ac:dyDescent="0.25">
      <c r="A105" s="1" t="s">
        <v>37</v>
      </c>
      <c r="B105" s="1" t="str">
        <f ca="1">IFERROR(__xludf.DUMMYFUNCTION("GOOGLETRANSLATE(A105,""auto"",""en"")"),"Chinese cuisine")</f>
        <v>Chinese cuisine</v>
      </c>
      <c r="C105" s="5">
        <f>COUNTIF([1]!SAMPLE2C[RSTCAT],"*"&amp;A105&amp;"*")</f>
        <v>38</v>
      </c>
      <c r="D105" s="5">
        <v>38</v>
      </c>
    </row>
    <row r="106" spans="1:4" ht="15.75" customHeight="1" x14ac:dyDescent="0.25">
      <c r="A106" s="1" t="s">
        <v>287</v>
      </c>
      <c r="B106" s="1" t="str">
        <f ca="1">IFERROR(__xludf.DUMMYFUNCTION("GOOGLETRANSLATE(A106,""auto"",""en"")"),"Chinese confectionery")</f>
        <v>Chinese confectionery</v>
      </c>
      <c r="C106" s="5">
        <f>COUNTIF([1]!SAMPLE2C[RSTCAT],"*"&amp;A106&amp;"*")</f>
        <v>1</v>
      </c>
      <c r="D106" s="5">
        <v>1</v>
      </c>
    </row>
    <row r="107" spans="1:4" ht="15.75" customHeight="1" x14ac:dyDescent="0.25">
      <c r="A107" s="1" t="s">
        <v>288</v>
      </c>
      <c r="B107" s="1" t="str">
        <f ca="1">IFERROR(__xludf.DUMMYFUNCTION("GOOGLETRANSLATE(A107,""auto"",""en"")"),"Chinese noodles (other)")</f>
        <v>Chinese noodles (other)</v>
      </c>
      <c r="C107" s="5">
        <f>COUNTIF([1]!SAMPLE2C[RSTCAT],"*"&amp;A107&amp;"*")</f>
        <v>3</v>
      </c>
      <c r="D107" s="5">
        <v>3</v>
      </c>
    </row>
    <row r="108" spans="1:4" ht="15.75" customHeight="1" x14ac:dyDescent="0.25">
      <c r="A108" s="1" t="s">
        <v>289</v>
      </c>
      <c r="B108" s="1" t="str">
        <f ca="1">IFERROR(__xludf.DUMMYFUNCTION("GOOGLETRANSLATE(A108,""auto"",""en"")"),"Kushiage / Kushikatsu")</f>
        <v>Kushiage / Kushikatsu</v>
      </c>
      <c r="C108" s="5">
        <f>COUNTIF([1]!SAMPLE2C[RSTCAT],"*"&amp;A108&amp;"*")</f>
        <v>4</v>
      </c>
      <c r="D108" s="5">
        <v>4</v>
      </c>
    </row>
    <row r="109" spans="1:4" ht="15.75" customHeight="1" x14ac:dyDescent="0.25">
      <c r="A109" s="1" t="s">
        <v>290</v>
      </c>
      <c r="B109" s="1" t="str">
        <f ca="1">IFERROR(__xludf.DUMMYFUNCTION("GOOGLETRANSLATE(A109,""auto"",""en"")"),"Skewers")</f>
        <v>Skewers</v>
      </c>
      <c r="C109" s="5">
        <f>COUNTIF([1]!SAMPLE2C[RSTCAT],"*"&amp;A109&amp;"*")</f>
        <v>3</v>
      </c>
      <c r="D109" s="5">
        <v>3</v>
      </c>
    </row>
    <row r="110" spans="1:4" ht="15.75" customHeight="1" x14ac:dyDescent="0.25">
      <c r="A110" s="1" t="s">
        <v>291</v>
      </c>
      <c r="B110" s="1" t="str">
        <f ca="1">IFERROR(__xludf.DUMMYFUNCTION("GOOGLETRANSLATE(A110,""auto"",""en"")"),"Bowl food (other)")</f>
        <v>Bowl food (other)</v>
      </c>
      <c r="C110" s="5">
        <f>COUNTIF([1]!SAMPLE2C[RSTCAT],"*"&amp;A110&amp;"*")</f>
        <v>10</v>
      </c>
      <c r="D110" s="5">
        <v>10</v>
      </c>
    </row>
    <row r="111" spans="1:4" ht="15.75" customHeight="1" x14ac:dyDescent="0.25">
      <c r="A111" s="1" t="s">
        <v>292</v>
      </c>
      <c r="B111" s="1" t="str">
        <f ca="1">IFERROR(__xludf.DUMMYFUNCTION("GOOGLETRANSLATE(A111,""auto"",""en"")"),"Cold noodle")</f>
        <v>Cold noodle</v>
      </c>
      <c r="C111" s="5">
        <f>COUNTIF([1]!SAMPLE2C[RSTCAT],"*"&amp;A111&amp;"*")</f>
        <v>2</v>
      </c>
      <c r="D111" s="5">
        <v>2</v>
      </c>
    </row>
    <row r="112" spans="1:4" ht="15.75" customHeight="1" x14ac:dyDescent="0.25">
      <c r="A112" s="1" t="s">
        <v>293</v>
      </c>
      <c r="B112" s="1" t="str">
        <f ca="1">IFERROR(__xludf.DUMMYFUNCTION("GOOGLETRANSLATE(A112,""auto"",""en"")"),"Cooking / small dishes")</f>
        <v>Cooking / small dishes</v>
      </c>
      <c r="C112" s="5">
        <f>COUNTIF([1]!SAMPLE2C[RSTCAT],"*"&amp;A112&amp;"*")</f>
        <v>37</v>
      </c>
      <c r="D112" s="5">
        <v>37</v>
      </c>
    </row>
    <row r="113" spans="1:4" ht="15.75" customHeight="1" x14ac:dyDescent="0.25">
      <c r="A113" s="1" t="s">
        <v>294</v>
      </c>
      <c r="B113" s="1" t="str">
        <f ca="1">IFERROR(__xludf.DUMMYFUNCTION("GOOGLETRANSLATE(A113,""auto"",""en"")"),"Creative cuisine")</f>
        <v>Creative cuisine</v>
      </c>
      <c r="C113" s="5">
        <f>COUNTIF([1]!SAMPLE2C[RSTCAT],"*"&amp;A113&amp;"*")</f>
        <v>12</v>
      </c>
      <c r="D113" s="5">
        <v>12</v>
      </c>
    </row>
    <row r="114" spans="1:4" ht="15.75" customHeight="1" x14ac:dyDescent="0.25">
      <c r="A114" s="1" t="s">
        <v>179</v>
      </c>
      <c r="B114" s="1" t="str">
        <f ca="1">IFERROR(__xludf.DUMMYFUNCTION("GOOGLETRANSLATE(A114,""auto"",""en"")"),"Taiwanese cuisine")</f>
        <v>Taiwanese cuisine</v>
      </c>
      <c r="C114" s="5">
        <f>COUNTIF([1]!SAMPLE2C[RSTCAT],"*"&amp;A114&amp;"*")</f>
        <v>1</v>
      </c>
      <c r="D114" s="5">
        <v>1</v>
      </c>
    </row>
    <row r="115" spans="1:4" ht="15.75" customHeight="1" x14ac:dyDescent="0.25">
      <c r="A115" s="1" t="s">
        <v>295</v>
      </c>
      <c r="B115" s="1" t="str">
        <f ca="1">IFERROR(__xludf.DUMMYFUNCTION("GOOGLETRANSLATE(A115,""auto"",""en"")"),"Japanese confectionery")</f>
        <v>Japanese confectionery</v>
      </c>
      <c r="C115" s="5">
        <f>COUNTIF([1]!SAMPLE2C[RSTCAT],"*"&amp;A115&amp;"*")</f>
        <v>17</v>
      </c>
      <c r="D115" s="5">
        <v>17</v>
      </c>
    </row>
    <row r="116" spans="1:4" ht="15.75" customHeight="1" x14ac:dyDescent="0.25">
      <c r="A116" s="1" t="s">
        <v>296</v>
      </c>
      <c r="B116" s="1" t="str">
        <f ca="1">IFERROR(__xludf.DUMMYFUNCTION("GOOGLETRANSLATE(A116,""auto"",""en"")"),"Japanese food (other)")</f>
        <v>Japanese food (other)</v>
      </c>
      <c r="C116" s="5">
        <f>COUNTIF([1]!SAMPLE2C[RSTCAT],"*"&amp;A116&amp;"*")</f>
        <v>22</v>
      </c>
      <c r="D116" s="5">
        <v>22</v>
      </c>
    </row>
    <row r="117" spans="1:4" ht="15.75" customHeight="1" x14ac:dyDescent="0.25">
      <c r="A117" s="1" t="s">
        <v>297</v>
      </c>
      <c r="B117" s="1" t="str">
        <f ca="1">IFERROR(__xludf.DUMMYFUNCTION("GOOGLETRANSLATE(A117,""auto"",""en"")"),"Coffee shop")</f>
        <v>Coffee shop</v>
      </c>
      <c r="C117" s="5">
        <f>COUNTIF([1]!SAMPLE2C[RSTCAT],"*"&amp;A117&amp;"*")</f>
        <v>37</v>
      </c>
      <c r="D117" s="5">
        <v>37</v>
      </c>
    </row>
    <row r="118" spans="1:4" ht="15.75" customHeight="1" x14ac:dyDescent="0.25">
      <c r="A118" s="1" t="s">
        <v>57</v>
      </c>
      <c r="B118" s="1" t="str">
        <f ca="1">IFERROR(__xludf.DUMMYFUNCTION("GOOGLETRANSLATE(A118,""auto"",""en"")"),"Sichuan cuisine")</f>
        <v>Sichuan cuisine</v>
      </c>
      <c r="C118" s="5">
        <f>COUNTIF([1]!SAMPLE2C[RSTCAT],"*"&amp;A118&amp;"*")</f>
        <v>8</v>
      </c>
      <c r="D118" s="5">
        <v>8</v>
      </c>
    </row>
    <row r="119" spans="1:4" ht="15.75" customHeight="1" x14ac:dyDescent="0.25">
      <c r="A119" s="1" t="s">
        <v>298</v>
      </c>
      <c r="B119" s="1" t="str">
        <f ca="1">IFERROR(__xludf.DUMMYFUNCTION("GOOGLETRANSLATE(A119,""auto"",""en"")"),"Conveyor belt sushi")</f>
        <v>Conveyor belt sushi</v>
      </c>
      <c r="C119" s="5">
        <f>COUNTIF([1]!SAMPLE2C[RSTCAT],"*"&amp;A119&amp;"*")</f>
        <v>6</v>
      </c>
      <c r="D119" s="5">
        <v>6</v>
      </c>
    </row>
    <row r="120" spans="1:4" ht="15.75" customHeight="1" x14ac:dyDescent="0.25">
      <c r="A120" s="1" t="s">
        <v>299</v>
      </c>
      <c r="B120" s="1" t="str">
        <f ca="1">IFERROR(__xludf.DUMMYFUNCTION("GOOGLETRANSLATE(A120,""auto"",""en"")"),"Mediterranean cuisine")</f>
        <v>Mediterranean cuisine</v>
      </c>
      <c r="C120" s="5">
        <f>COUNTIF([1]!SAMPLE2C[RSTCAT],"*"&amp;A120&amp;"*")</f>
        <v>2</v>
      </c>
      <c r="D120" s="5">
        <v>2</v>
      </c>
    </row>
    <row r="121" spans="1:4" ht="15.75" customHeight="1" x14ac:dyDescent="0.25">
      <c r="A121" s="1" t="s">
        <v>300</v>
      </c>
      <c r="B121" s="1" t="str">
        <f ca="1">IFERROR(__xludf.DUMMYFUNCTION("GOOGLETRANSLATE(A121,""auto"",""en"")"),"Tempura")</f>
        <v>Tempura</v>
      </c>
      <c r="C121" s="5">
        <f>COUNTIF([1]!SAMPLE2C[RSTCAT],"*"&amp;A121&amp;"*")</f>
        <v>15</v>
      </c>
      <c r="D121" s="5">
        <v>15</v>
      </c>
    </row>
    <row r="122" spans="1:4" ht="15.75" customHeight="1" x14ac:dyDescent="0.25">
      <c r="A122" s="1" t="s">
        <v>301</v>
      </c>
      <c r="B122" s="1" t="str">
        <f ca="1">IFERROR(__xludf.DUMMYFUNCTION("GOOGLETRANSLATE(A122,""auto"",""en"")"),"Tempura / fried food (others)")</f>
        <v>Tempura / fried food (others)</v>
      </c>
      <c r="C122" s="5">
        <f>COUNTIF([1]!SAMPLE2C[RSTCAT],"*"&amp;A122&amp;"*")</f>
        <v>2</v>
      </c>
      <c r="D122" s="5">
        <v>2</v>
      </c>
    </row>
    <row r="123" spans="1:4" ht="15.75" customHeight="1" x14ac:dyDescent="0.25">
      <c r="A123" s="1" t="s">
        <v>302</v>
      </c>
      <c r="B123" s="1" t="str">
        <f ca="1">IFERROR(__xludf.DUMMYFUNCTION("GOOGLETRANSLATE(A123,""auto"",""en"")"),"Tendon / Tenju")</f>
        <v>Tendon / Tenju</v>
      </c>
      <c r="C123" s="5">
        <f>COUNTIF([1]!SAMPLE2C[RSTCAT],"*"&amp;A123&amp;"*")</f>
        <v>2</v>
      </c>
      <c r="D123" s="5">
        <v>2</v>
      </c>
    </row>
    <row r="124" spans="1:4" ht="15.75" customHeight="1" x14ac:dyDescent="0.25">
      <c r="A124" s="1" t="s">
        <v>303</v>
      </c>
      <c r="B124" s="1" t="str">
        <f ca="1">IFERROR(__xludf.DUMMYFUNCTION("GOOGLETRANSLATE(A124,""auto"",""en"")"),"Student cafeteria")</f>
        <v>Student cafeteria</v>
      </c>
      <c r="C124" s="5">
        <f>COUNTIF([1]!SAMPLE2C[RSTCAT],"*"&amp;A124&amp;"*")</f>
        <v>2</v>
      </c>
      <c r="D124" s="5">
        <v>2</v>
      </c>
    </row>
    <row r="125" spans="1:4" ht="15.75" customHeight="1" x14ac:dyDescent="0.25">
      <c r="A125" s="1" t="s">
        <v>304</v>
      </c>
      <c r="B125" s="1" t="str">
        <f ca="1">IFERROR(__xludf.DUMMYFUNCTION("GOOGLETRANSLATE(A125,""auto"",""en"")"),"Set meal / dining room")</f>
        <v>Set meal / dining room</v>
      </c>
      <c r="C125" s="5">
        <f>COUNTIF([1]!SAMPLE2C[RSTCAT],"*"&amp;A125&amp;"*")</f>
        <v>29</v>
      </c>
      <c r="D125" s="5">
        <v>29</v>
      </c>
    </row>
    <row r="126" spans="1:4" ht="15.75" customHeight="1" x14ac:dyDescent="0.25">
      <c r="A126" s="1" t="s">
        <v>305</v>
      </c>
      <c r="B126" s="1" t="str">
        <f ca="1">IFERROR(__xludf.DUMMYFUNCTION("GOOGLETRANSLATE(A126,""auto"",""en"")"),"sushi")</f>
        <v>sushi</v>
      </c>
      <c r="C126" s="5">
        <f>COUNTIF([1]!SAMPLE2C[RSTCAT],"*"&amp;A126&amp;"*")</f>
        <v>51</v>
      </c>
      <c r="D126" s="5">
        <v>51</v>
      </c>
    </row>
    <row r="127" spans="1:4" ht="15.75" customHeight="1" x14ac:dyDescent="0.25">
      <c r="A127" s="1" t="s">
        <v>306</v>
      </c>
      <c r="B127" s="1" t="str">
        <f ca="1">IFERROR(__xludf.DUMMYFUNCTION("GOOGLETRANSLATE(A127,""auto"",""en"")"),"Pub")</f>
        <v>Pub</v>
      </c>
      <c r="C127" s="5">
        <f>COUNTIF([1]!SAMPLE2C[RSTCAT],"*"&amp;A127&amp;"*")</f>
        <v>204</v>
      </c>
      <c r="D127" s="5">
        <v>204</v>
      </c>
    </row>
    <row r="128" spans="1:4" ht="15.75" customHeight="1" x14ac:dyDescent="0.25">
      <c r="A128" s="1" t="s">
        <v>307</v>
      </c>
      <c r="B128" s="1" t="str">
        <f ca="1">IFERROR(__xludf.DUMMYFUNCTION("GOOGLETRANSLATE(A128,""auto"",""en"")"),"Izakaya / Dining Bar (Other)")</f>
        <v>Izakaya / Dining Bar (Other)</v>
      </c>
      <c r="C128" s="5">
        <f>COUNTIF([1]!SAMPLE2C[RSTCAT],"*"&amp;A128&amp;"*")</f>
        <v>8</v>
      </c>
      <c r="D128" s="5">
        <v>8</v>
      </c>
    </row>
    <row r="129" spans="1:4" ht="15.75" customHeight="1" x14ac:dyDescent="0.25">
      <c r="A129" s="1" t="s">
        <v>308</v>
      </c>
      <c r="B129" s="1" t="str">
        <f ca="1">IFERROR(__xludf.DUMMYFUNCTION("GOOGLETRANSLATE(A129,""auto"",""en"")"),"Cantonese cuisine")</f>
        <v>Cantonese cuisine</v>
      </c>
      <c r="C129" s="5">
        <f>COUNTIF([1]!SAMPLE2C[RSTCAT],"*"&amp;A129&amp;"*")</f>
        <v>2</v>
      </c>
      <c r="D129" s="5">
        <v>2</v>
      </c>
    </row>
    <row r="130" spans="1:4" ht="15.75" customHeight="1" x14ac:dyDescent="0.25">
      <c r="A130" s="1" t="s">
        <v>309</v>
      </c>
      <c r="B130" s="1" t="str">
        <f ca="1">IFERROR(__xludf.DUMMYFUNCTION("GOOGLETRANSLATE(A130,""auto"",""en"")"),"Lunch")</f>
        <v>Lunch</v>
      </c>
      <c r="C130" s="5">
        <f>COUNTIF([1]!SAMPLE2C[RSTCAT],"*"&amp;A130&amp;"*")</f>
        <v>25</v>
      </c>
      <c r="D130" s="5">
        <v>25</v>
      </c>
    </row>
    <row r="131" spans="1:4" ht="15.75" customHeight="1" x14ac:dyDescent="0.25">
      <c r="A131" s="1" t="s">
        <v>310</v>
      </c>
      <c r="B131" s="1" t="str">
        <f ca="1">IFERROR(__xludf.DUMMYFUNCTION("GOOGLETRANSLATE(A131,""auto"",""en"")"),"Kaiseki / Kaiseki cuisine")</f>
        <v>Kaiseki / Kaiseki cuisine</v>
      </c>
      <c r="C131" s="5">
        <f>COUNTIF([1]!SAMPLE2C[RSTCAT],"*"&amp;A131&amp;"*")</f>
        <v>15</v>
      </c>
      <c r="D131" s="5">
        <v>15</v>
      </c>
    </row>
    <row r="132" spans="1:4" ht="15.75" customHeight="1" x14ac:dyDescent="0.25">
      <c r="A132" s="1" t="s">
        <v>311</v>
      </c>
      <c r="B132" s="1" t="str">
        <f ca="1">IFERROR(__xludf.DUMMYFUNCTION("GOOGLETRANSLATE(A132,""auto"",""en"")"),"Chicken wing")</f>
        <v>Chicken wing</v>
      </c>
      <c r="C132" s="5">
        <f>COUNTIF([1]!SAMPLE2C[RSTCAT],"*"&amp;A132&amp;"*")</f>
        <v>1</v>
      </c>
      <c r="D132" s="5">
        <v>1</v>
      </c>
    </row>
    <row r="133" spans="1:4" ht="15.75" customHeight="1" x14ac:dyDescent="0.25">
      <c r="A133" s="1" t="s">
        <v>312</v>
      </c>
      <c r="B133" s="1" t="str">
        <f ca="1">IFERROR(__xludf.DUMMYFUNCTION("GOOGLETRANSLATE(A133,""auto"",""en"")"),"Dandan noodles")</f>
        <v>Dandan noodles</v>
      </c>
      <c r="C133" s="5">
        <f>COUNTIF([1]!SAMPLE2C[RSTCAT],"*"&amp;A133&amp;"*")</f>
        <v>3</v>
      </c>
      <c r="D133" s="5">
        <v>3</v>
      </c>
    </row>
    <row r="134" spans="1:4" ht="15.75" customHeight="1" x14ac:dyDescent="0.25">
      <c r="A134" s="1" t="s">
        <v>313</v>
      </c>
      <c r="B134" s="1" t="str">
        <f ca="1">IFERROR(__xludf.DUMMYFUNCTION("GOOGLETRANSLATE(A134,""auto"",""en"")"),"Ryokan / Auberge (Other)")</f>
        <v>Ryokan / Auberge (Other)</v>
      </c>
      <c r="C134" s="5">
        <f>COUNTIF([1]!SAMPLE2C[RSTCAT],"*"&amp;A134&amp;"*")</f>
        <v>2</v>
      </c>
      <c r="D134" s="5">
        <v>2</v>
      </c>
    </row>
    <row r="135" spans="1:4" ht="15.75" customHeight="1" x14ac:dyDescent="0.25">
      <c r="A135" s="1" t="s">
        <v>314</v>
      </c>
      <c r="B135" s="1" t="str">
        <f ca="1">IFERROR(__xludf.DUMMYFUNCTION("GOOGLETRANSLATE(A135,""auto"",""en"")"),"Japanese tea specialty store")</f>
        <v>Japanese tea specialty store</v>
      </c>
      <c r="C135" s="5">
        <f>COUNTIF([1]!SAMPLE2C[RSTCAT],"*"&amp;A135&amp;"*")</f>
        <v>2</v>
      </c>
      <c r="D135" s="5">
        <v>2</v>
      </c>
    </row>
    <row r="136" spans="1:4" ht="15.75" customHeight="1" x14ac:dyDescent="0.25">
      <c r="A136" s="1" t="s">
        <v>315</v>
      </c>
      <c r="B136" s="1" t="str">
        <f ca="1">IFERROR(__xludf.DUMMYFUNCTION("GOOGLETRANSLATE(A136,""auto"",""en"")"),"Sake bar")</f>
        <v>Sake bar</v>
      </c>
      <c r="C136" s="5">
        <f>COUNTIF([1]!SAMPLE2C[RSTCAT],"*"&amp;A136&amp;"*")</f>
        <v>20</v>
      </c>
      <c r="D136" s="5">
        <v>20</v>
      </c>
    </row>
    <row r="137" spans="1:4" ht="15.75" customHeight="1" x14ac:dyDescent="0.25">
      <c r="A137" s="1" t="s">
        <v>316</v>
      </c>
      <c r="B137" s="1" t="str">
        <f ca="1">IFERROR(__xludf.DUMMYFUNCTION("GOOGLETRANSLATE(A137,""auto"",""en"")"),"Southeast Asian cuisine (other)")</f>
        <v>Southeast Asian cuisine (other)</v>
      </c>
      <c r="C137" s="5">
        <f>COUNTIF([1]!SAMPLE2C[RSTCAT],"*"&amp;A137&amp;"*")</f>
        <v>1</v>
      </c>
      <c r="D137" s="5">
        <v>1</v>
      </c>
    </row>
    <row r="138" spans="1:4" ht="15.75" customHeight="1" x14ac:dyDescent="0.25">
      <c r="A138" s="1" t="s">
        <v>317</v>
      </c>
      <c r="B138" s="1" t="str">
        <f ca="1">IFERROR(__xludf.DUMMYFUNCTION("GOOGLETRANSLATE(A138,""auto"",""en"")"),"Ju without juice")</f>
        <v>Ju without juice</v>
      </c>
      <c r="C138" s="5">
        <f>COUNTIF([1]!SAMPLE2C[RSTCAT],"*"&amp;A138&amp;"*")</f>
        <v>1</v>
      </c>
      <c r="D138" s="5">
        <v>1</v>
      </c>
    </row>
    <row r="139" spans="1:4" ht="15.75" customHeight="1" x14ac:dyDescent="0.25">
      <c r="A139" s="1" t="s">
        <v>318</v>
      </c>
      <c r="B139" s="1" t="str">
        <f ca="1">IFERROR(__xludf.DUMMYFUNCTION("GOOGLETRANSLATE(A139,""auto"",""en"")"),"Okinawan cooking")</f>
        <v>Okinawan cooking</v>
      </c>
      <c r="C139" s="5">
        <f>COUNTIF([1]!SAMPLE2C[RSTCAT],"*"&amp;A139&amp;"*")</f>
        <v>2</v>
      </c>
      <c r="D139" s="5">
        <v>2</v>
      </c>
    </row>
    <row r="140" spans="1:4" ht="15.75" customHeight="1" x14ac:dyDescent="0.25">
      <c r="A140" s="1" t="s">
        <v>319</v>
      </c>
      <c r="B140" s="1" t="str">
        <f ca="1">IFERROR(__xludf.DUMMYFUNCTION("GOOGLETRANSLATE(A140,""auto"",""en"")"),"Oil soba")</f>
        <v>Oil soba</v>
      </c>
      <c r="C140" s="5">
        <f>COUNTIF([1]!SAMPLE2C[RSTCAT],"*"&amp;A140&amp;"*")</f>
        <v>5</v>
      </c>
      <c r="D140" s="5">
        <v>5</v>
      </c>
    </row>
    <row r="141" spans="1:4" ht="15.75" customHeight="1" x14ac:dyDescent="0.25">
      <c r="A141" s="1" t="s">
        <v>320</v>
      </c>
      <c r="B141" s="1" t="str">
        <f ca="1">IFERROR(__xludf.DUMMYFUNCTION("GOOGLETRANSLATE(A141,""auto"",""en"")"),"Western confectionery (other)")</f>
        <v>Western confectionery (other)</v>
      </c>
      <c r="C141" s="5">
        <f>COUNTIF([1]!SAMPLE2C[RSTCAT],"*"&amp;A141&amp;"*")</f>
        <v>11</v>
      </c>
      <c r="D141" s="5">
        <v>11</v>
      </c>
    </row>
    <row r="142" spans="1:4" ht="15.75" customHeight="1" x14ac:dyDescent="0.25">
      <c r="A142" s="1" t="s">
        <v>321</v>
      </c>
      <c r="B142" s="1" t="str">
        <f ca="1">IFERROR(__xludf.DUMMYFUNCTION("GOOGLETRANSLATE(A142,""auto"",""en"")"),"Western food")</f>
        <v>Western food</v>
      </c>
      <c r="C142" s="5">
        <f>COUNTIF([1]!SAMPLE2C[RSTCAT],"*"&amp;A142&amp;"*")</f>
        <v>24</v>
      </c>
      <c r="D142" s="5">
        <v>24</v>
      </c>
    </row>
    <row r="143" spans="1:4" ht="15.75" customHeight="1" x14ac:dyDescent="0.25">
      <c r="A143" s="1" t="s">
        <v>152</v>
      </c>
      <c r="B143" s="1" t="str">
        <f ca="1">IFERROR(__xludf.DUMMYFUNCTION("GOOGLETRANSLATE(A143,""auto"",""en"")"),"Seafood")</f>
        <v>Seafood</v>
      </c>
      <c r="C143" s="5">
        <f>COUNTIF([1]!SAMPLE2C[RSTCAT],"*"&amp;A143&amp;"*")</f>
        <v>5</v>
      </c>
      <c r="D143" s="5">
        <v>5</v>
      </c>
    </row>
    <row r="144" spans="1:4" ht="15.75" customHeight="1" x14ac:dyDescent="0.25">
      <c r="A144" s="1" t="s">
        <v>322</v>
      </c>
      <c r="B144" s="1" t="str">
        <f ca="1">IFERROR(__xludf.DUMMYFUNCTION("GOOGLETRANSLATE(A144,""auto"",""en"")"),"Charcoal grilled")</f>
        <v>Charcoal grilled</v>
      </c>
      <c r="C144" s="5">
        <f>COUNTIF([1]!SAMPLE2C[RSTCAT],"*"&amp;A144&amp;"*")</f>
        <v>1</v>
      </c>
      <c r="D144" s="5">
        <v>1</v>
      </c>
    </row>
    <row r="145" spans="1:4" ht="15.75" customHeight="1" x14ac:dyDescent="0.25">
      <c r="A145" s="1" t="s">
        <v>323</v>
      </c>
      <c r="B145" s="1" t="str">
        <f ca="1">IFERROR(__xludf.DUMMYFUNCTION("GOOGLETRANSLATE(A145,""auto"",""en"")"),"Stateless cuisine")</f>
        <v>Stateless cuisine</v>
      </c>
      <c r="C145" s="5">
        <f>COUNTIF([1]!SAMPLE2C[RSTCAT],"*"&amp;A145&amp;"*")</f>
        <v>2</v>
      </c>
      <c r="D145" s="5">
        <v>2</v>
      </c>
    </row>
    <row r="146" spans="1:4" ht="15.75" customHeight="1" x14ac:dyDescent="0.25">
      <c r="A146" s="1" t="s">
        <v>324</v>
      </c>
      <c r="B146" s="1" t="str">
        <f ca="1">IFERROR(__xludf.DUMMYFUNCTION("GOOGLETRANSLATE(A146,""auto"",""en"")"),"Fried noodles")</f>
        <v>Fried noodles</v>
      </c>
      <c r="C146" s="5">
        <f>COUNTIF([1]!SAMPLE2C[RSTCAT],"*"&amp;A146&amp;"*")</f>
        <v>4</v>
      </c>
      <c r="D146" s="5">
        <v>4</v>
      </c>
    </row>
    <row r="147" spans="1:4" ht="15.75" customHeight="1" x14ac:dyDescent="0.25">
      <c r="A147" s="1" t="s">
        <v>325</v>
      </c>
      <c r="B147" s="1" t="str">
        <f ca="1">IFERROR(__xludf.DUMMYFUNCTION("GOOGLETRANSLATE(A147,""auto"",""en"")"),"Grilled")</f>
        <v>Grilled</v>
      </c>
      <c r="C147" s="5">
        <f>COUNTIF([1]!SAMPLE2C[RSTCAT],"*"&amp;A147&amp;"*")</f>
        <v>9</v>
      </c>
      <c r="D147" s="5">
        <v>9</v>
      </c>
    </row>
    <row r="148" spans="1:4" ht="15.75" customHeight="1" x14ac:dyDescent="0.25">
      <c r="A148" s="1" t="s">
        <v>326</v>
      </c>
      <c r="B148" s="1" t="str">
        <f ca="1">IFERROR(__xludf.DUMMYFUNCTION("GOOGLETRANSLATE(A148,""auto"",""en"")"),"Grilled meat")</f>
        <v>Grilled meat</v>
      </c>
      <c r="C148" s="5">
        <f>COUNTIF([1]!SAMPLE2C[RSTCAT],"*"&amp;A148&amp;"*")</f>
        <v>34</v>
      </c>
      <c r="D148" s="5">
        <v>34</v>
      </c>
    </row>
    <row r="149" spans="1:4" ht="15.75" customHeight="1" x14ac:dyDescent="0.25">
      <c r="A149" s="1" t="s">
        <v>327</v>
      </c>
      <c r="B149" s="1" t="str">
        <f ca="1">IFERROR(__xludf.DUMMYFUNCTION("GOOGLETRANSLATE(A149,""auto"",""en"")"),"Shochu bar")</f>
        <v>Shochu bar</v>
      </c>
      <c r="C149" s="5">
        <f>COUNTIF([1]!SAMPLE2C[RSTCAT],"*"&amp;A149&amp;"*")</f>
        <v>3</v>
      </c>
      <c r="D149" s="5">
        <v>3</v>
      </c>
    </row>
    <row r="150" spans="1:4" ht="15.75" customHeight="1" x14ac:dyDescent="0.25">
      <c r="A150" s="1" t="s">
        <v>328</v>
      </c>
      <c r="B150" s="1" t="str">
        <f ca="1">IFERROR(__xludf.DUMMYFUNCTION("GOOGLETRANSLATE(A150,""auto"",""en"")"),"Grilled bird")</f>
        <v>Grilled bird</v>
      </c>
      <c r="C150" s="5">
        <f>COUNTIF([1]!SAMPLE2C[RSTCAT],"*"&amp;A150&amp;"*")</f>
        <v>57</v>
      </c>
      <c r="D150" s="5">
        <v>57</v>
      </c>
    </row>
    <row r="151" spans="1:4" ht="15.75" customHeight="1" x14ac:dyDescent="0.25">
      <c r="A151" s="1" t="s">
        <v>329</v>
      </c>
      <c r="B151" s="1" t="str">
        <f ca="1">IFERROR(__xludf.DUMMYFUNCTION("GOOGLETRANSLATE(A151,""auto"",""en"")"),"Ox tongue")</f>
        <v>Ox tongue</v>
      </c>
      <c r="C151" s="5">
        <f>COUNTIF([1]!SAMPLE2C[RSTCAT],"*"&amp;A151&amp;"*")</f>
        <v>3</v>
      </c>
      <c r="D151" s="5">
        <v>3</v>
      </c>
    </row>
    <row r="152" spans="1:4" ht="15.75" customHeight="1" x14ac:dyDescent="0.25">
      <c r="A152" s="1" t="s">
        <v>330</v>
      </c>
      <c r="B152" s="1" t="str">
        <f ca="1">IFERROR(__xludf.DUMMYFUNCTION("GOOGLETRANSLATE(A152,""auto"",""en"")"),"beef bowl")</f>
        <v>beef bowl</v>
      </c>
      <c r="C152" s="5">
        <f>COUNTIF([1]!SAMPLE2C[RSTCAT],"*"&amp;A152&amp;"*")</f>
        <v>8</v>
      </c>
      <c r="D152" s="5">
        <v>8</v>
      </c>
    </row>
    <row r="153" spans="1:4" ht="15.75" customHeight="1" x14ac:dyDescent="0.25">
      <c r="A153" s="1" t="s">
        <v>331</v>
      </c>
      <c r="B153" s="1" t="str">
        <f ca="1">IFERROR(__xludf.DUMMYFUNCTION("GOOGLETRANSLATE(A153,""auto"",""en"")"),"Beef dish")</f>
        <v>Beef dish</v>
      </c>
      <c r="C153" s="5">
        <f>COUNTIF([1]!SAMPLE2C[RSTCAT],"*"&amp;A153&amp;"*")</f>
        <v>4</v>
      </c>
      <c r="D153" s="5">
        <v>4</v>
      </c>
    </row>
    <row r="154" spans="1:4" ht="15.75" customHeight="1" x14ac:dyDescent="0.25">
      <c r="A154" s="1" t="s">
        <v>332</v>
      </c>
      <c r="B154" s="1" t="str">
        <f ca="1">IFERROR(__xludf.DUMMYFUNCTION("GOOGLETRANSLATE(A154,""auto"",""en"")"),"Sweet place")</f>
        <v>Sweet place</v>
      </c>
      <c r="C154" s="5">
        <f>COUNTIF([1]!SAMPLE2C[RSTCAT],"*"&amp;A154&amp;"*")</f>
        <v>6</v>
      </c>
      <c r="D154" s="5">
        <v>6</v>
      </c>
    </row>
    <row r="155" spans="1:4" ht="15.75" customHeight="1" x14ac:dyDescent="0.25">
      <c r="A155" s="1" t="s">
        <v>333</v>
      </c>
      <c r="B155" s="1" t="str">
        <f ca="1">IFERROR(__xludf.DUMMYFUNCTION("GOOGLETRANSLATE(A155,""auto"",""en"")"),"company cafeteria")</f>
        <v>company cafeteria</v>
      </c>
      <c r="C155" s="5">
        <f>COUNTIF([1]!SAMPLE2C[RSTCAT],"*"&amp;A155&amp;"*")</f>
        <v>1</v>
      </c>
      <c r="D155" s="5">
        <v>1</v>
      </c>
    </row>
    <row r="156" spans="1:4" ht="15.75" customHeight="1" x14ac:dyDescent="0.25">
      <c r="A156" s="1" t="s">
        <v>334</v>
      </c>
      <c r="B156" s="1" t="str">
        <f ca="1">IFERROR(__xludf.DUMMYFUNCTION("GOOGLETRANSLATE(A156,""auto"",""en"")"),"Standing buckwheat noodles")</f>
        <v>Standing buckwheat noodles</v>
      </c>
      <c r="C156" s="5">
        <f>COUNTIF([1]!SAMPLE2C[RSTCAT],"*"&amp;A156&amp;"*")</f>
        <v>5</v>
      </c>
      <c r="D156" s="5">
        <v>5</v>
      </c>
    </row>
    <row r="157" spans="1:4" ht="15.75" customHeight="1" x14ac:dyDescent="0.25">
      <c r="A157" s="1" t="s">
        <v>335</v>
      </c>
      <c r="B157" s="1" t="str">
        <f ca="1">IFERROR(__xludf.DUMMYFUNCTION("GOOGLETRANSLATE(A157,""auto"",""en"")"),"Standing sushi")</f>
        <v>Standing sushi</v>
      </c>
      <c r="C157" s="5">
        <f>COUNTIF([1]!SAMPLE2C[RSTCAT],"*"&amp;A157&amp;"*")</f>
        <v>2</v>
      </c>
      <c r="D157" s="5">
        <v>2</v>
      </c>
    </row>
    <row r="158" spans="1:4" ht="15.75" customHeight="1" x14ac:dyDescent="0.25">
      <c r="A158" s="1" t="s">
        <v>336</v>
      </c>
      <c r="B158" s="1" t="str">
        <f ca="1">IFERROR(__xludf.DUMMYFUNCTION("GOOGLETRANSLATE(A158,""auto"",""en"")"),"Standing izakaya / bar")</f>
        <v>Standing izakaya / bar</v>
      </c>
      <c r="C158" s="5">
        <f>COUNTIF([1]!SAMPLE2C[RSTCAT],"*"&amp;A158&amp;"*")</f>
        <v>8</v>
      </c>
      <c r="D158" s="5">
        <v>8</v>
      </c>
    </row>
    <row r="159" spans="1:4" ht="15.75" customHeight="1" x14ac:dyDescent="0.25">
      <c r="A159" s="1" t="s">
        <v>337</v>
      </c>
      <c r="B159" s="1" t="str">
        <f ca="1">IFERROR(__xludf.DUMMYFUNCTION("GOOGLETRANSLATE(A159,""auto"",""en"")"),"Meat Man / Chinese Man")</f>
        <v>Meat Man / Chinese Man</v>
      </c>
      <c r="C159" s="5">
        <f>COUNTIF([1]!SAMPLE2C[RSTCAT],"*"&amp;A159&amp;"*")</f>
        <v>2</v>
      </c>
      <c r="D159" s="5">
        <v>2</v>
      </c>
    </row>
    <row r="160" spans="1:4" ht="15.75" customHeight="1" x14ac:dyDescent="0.25">
      <c r="A160" s="1" t="s">
        <v>338</v>
      </c>
      <c r="B160" s="1" t="str">
        <f ca="1">IFERROR(__xludf.DUMMYFUNCTION("GOOGLETRANSLATE(A160,""auto"",""en"")"),"Natural food")</f>
        <v>Natural food</v>
      </c>
      <c r="C160" s="5">
        <f>COUNTIF([1]!SAMPLE2C[RSTCAT],"*"&amp;A160&amp;"*")</f>
        <v>2</v>
      </c>
      <c r="D160" s="5">
        <v>2</v>
      </c>
    </row>
    <row r="161" spans="1:4" ht="15.75" customHeight="1" x14ac:dyDescent="0.25">
      <c r="A161" s="1" t="s">
        <v>339</v>
      </c>
      <c r="B161" s="1" t="str">
        <f ca="1">IFERROR(__xludf.DUMMYFUNCTION("GOOGLETRANSLATE(A161,""auto"",""en"")"),"Medicine table")</f>
        <v>Medicine table</v>
      </c>
      <c r="C161" s="5">
        <f>COUNTIF([1]!SAMPLE2C[RSTCAT],"*"&amp;A161&amp;"*")</f>
        <v>1</v>
      </c>
      <c r="D161" s="5">
        <v>1</v>
      </c>
    </row>
    <row r="162" spans="1:4" ht="15.75" customHeight="1" x14ac:dyDescent="0.25">
      <c r="A162" s="1" t="s">
        <v>340</v>
      </c>
      <c r="B162" s="1" t="str">
        <f ca="1">IFERROR(__xludf.DUMMYFUNCTION("GOOGLETRANSLATE(A162,""auto"",""en"")"),"Western countries (others)")</f>
        <v>Western countries (others)</v>
      </c>
      <c r="C162" s="5">
        <f>COUNTIF([1]!SAMPLE2C[RSTCAT],"*"&amp;A162&amp;"*")</f>
        <v>4</v>
      </c>
      <c r="D162" s="5">
        <v>4</v>
      </c>
    </row>
    <row r="163" spans="1:4" ht="15.75" customHeight="1" x14ac:dyDescent="0.25">
      <c r="A163" s="1" t="s">
        <v>341</v>
      </c>
      <c r="B163" s="1" t="str">
        <f ca="1">IFERROR(__xludf.DUMMYFUNCTION("GOOGLETRANSLATE(A163,""auto"",""en"")"),"Oyakodon")</f>
        <v>Oyakodon</v>
      </c>
      <c r="C163" s="5">
        <f>COUNTIF([1]!SAMPLE2C[RSTCAT],"*"&amp;A163&amp;"*")</f>
        <v>3</v>
      </c>
      <c r="D163" s="5">
        <v>3</v>
      </c>
    </row>
    <row r="164" spans="1:4" ht="15.75" customHeight="1" x14ac:dyDescent="0.25">
      <c r="A164" s="1" t="s">
        <v>342</v>
      </c>
      <c r="B164" s="1" t="str">
        <f ca="1">IFERROR(__xludf.DUMMYFUNCTION("GOOGLETRANSLATE(A164,""auto"",""en"")"),"Pork shabu")</f>
        <v>Pork shabu</v>
      </c>
      <c r="C164" s="5">
        <f>COUNTIF([1]!SAMPLE2C[RSTCAT],"*"&amp;A164&amp;"*")</f>
        <v>1</v>
      </c>
      <c r="D164" s="5">
        <v>1</v>
      </c>
    </row>
    <row r="165" spans="1:4" ht="15.75" customHeight="1" x14ac:dyDescent="0.25">
      <c r="A165" s="1" t="s">
        <v>343</v>
      </c>
      <c r="B165" s="1" t="str">
        <f ca="1">IFERROR(__xludf.DUMMYFUNCTION("GOOGLETRANSLATE(A165,""auto"",""en"")"),"Local cuisine (other)")</f>
        <v>Local cuisine (other)</v>
      </c>
      <c r="C165" s="5">
        <f>COUNTIF([1]!SAMPLE2C[RSTCAT],"*"&amp;A165&amp;"*")</f>
        <v>8</v>
      </c>
      <c r="D165" s="5">
        <v>8</v>
      </c>
    </row>
    <row r="166" spans="1:4" ht="15.75" customHeight="1" x14ac:dyDescent="0.25">
      <c r="A166" s="1" t="s">
        <v>344</v>
      </c>
      <c r="B166" s="1" t="str">
        <f ca="1">IFERROR(__xludf.DUMMYFUNCTION("GOOGLETRANSLATE(A166,""auto"",""en"")"),"Vegetable dish")</f>
        <v>Vegetable dish</v>
      </c>
      <c r="C166" s="5">
        <f>COUNTIF([1]!SAMPLE2C[RSTCAT],"*"&amp;A166&amp;"*")</f>
        <v>2</v>
      </c>
      <c r="D166" s="5">
        <v>2</v>
      </c>
    </row>
    <row r="167" spans="1:4" ht="15.75" customHeight="1" x14ac:dyDescent="0.25">
      <c r="A167" s="1" t="s">
        <v>345</v>
      </c>
      <c r="B167" s="1" t="str">
        <f ca="1">IFERROR(__xludf.DUMMYFUNCTION("GOOGLETRANSLATE(A167,""auto"",""en"")"),"Pot rice")</f>
        <v>Pot rice</v>
      </c>
      <c r="C167" s="5">
        <f>COUNTIF([1]!SAMPLE2C[RSTCAT],"*"&amp;A167&amp;"*")</f>
        <v>2</v>
      </c>
      <c r="D167" s="5">
        <v>2</v>
      </c>
    </row>
    <row r="168" spans="1:4" ht="15.75" customHeight="1" x14ac:dyDescent="0.25">
      <c r="A168" s="1" t="s">
        <v>346</v>
      </c>
      <c r="B168" s="1" t="str">
        <f ca="1">IFERROR(__xludf.DUMMYFUNCTION("GOOGLETRANSLATE(A168,""auto"",""en"")"),"Teppanyaki")</f>
        <v>Teppanyaki</v>
      </c>
      <c r="C168" s="5">
        <f>COUNTIF([1]!SAMPLE2C[RSTCAT],"*"&amp;A168&amp;"*")</f>
        <v>8</v>
      </c>
      <c r="D168" s="5">
        <v>8</v>
      </c>
    </row>
    <row r="169" spans="1:4" ht="15.75" customHeight="1" x14ac:dyDescent="0.25">
      <c r="A169" s="1" t="s">
        <v>347</v>
      </c>
      <c r="B169" s="1" t="str">
        <f ca="1">IFERROR(__xludf.DUMMYFUNCTION("GOOGLETRANSLATE(A169,""auto"",""en"")"),"Pot (other)")</f>
        <v>Pot (other)</v>
      </c>
      <c r="C169" s="5">
        <f>COUNTIF([1]!SAMPLE2C[RSTCAT],"*"&amp;A169&amp;"*")</f>
        <v>5</v>
      </c>
      <c r="D169" s="5">
        <v>5</v>
      </c>
    </row>
    <row r="170" spans="1:4" ht="15.75" customHeight="1" x14ac:dyDescent="0.25">
      <c r="A170" s="1" t="s">
        <v>348</v>
      </c>
      <c r="B170" s="1" t="str">
        <f ca="1">IFERROR(__xludf.DUMMYFUNCTION("GOOGLETRANSLATE(A170,""auto"",""en"")"),"Korean cuisine")</f>
        <v>Korean cuisine</v>
      </c>
      <c r="C170" s="5">
        <f>COUNTIF([1]!SAMPLE2C[RSTCAT],"*"&amp;A170&amp;"*")</f>
        <v>16</v>
      </c>
      <c r="D170" s="5">
        <v>16</v>
      </c>
    </row>
    <row r="171" spans="1:4" ht="15.75" customHeight="1" x14ac:dyDescent="0.25">
      <c r="A171" s="1" t="s">
        <v>349</v>
      </c>
      <c r="B171" s="1" t="str">
        <f ca="1">IFERROR(__xludf.DUMMYFUNCTION("GOOGLETRANSLATE(A171,""auto"",""en"")"),"Korean pot")</f>
        <v>Korean pot</v>
      </c>
      <c r="C171" s="5">
        <f>COUNTIF([1]!SAMPLE2C[RSTCAT],"*"&amp;A171&amp;"*")</f>
        <v>2</v>
      </c>
      <c r="D171" s="5">
        <v>2</v>
      </c>
    </row>
    <row r="172" spans="1:4" ht="15.75" customHeight="1" x14ac:dyDescent="0.25">
      <c r="A172" s="1" t="s">
        <v>350</v>
      </c>
      <c r="B172" s="1" t="str">
        <f ca="1">IFERROR(__xludf.DUMMYFUNCTION("GOOGLETRANSLATE(A172,""auto"",""en"")"),"Tea drinking and snacks")</f>
        <v>Tea drinking and snacks</v>
      </c>
      <c r="C172" s="5">
        <f>COUNTIF([1]!SAMPLE2C[RSTCAT],"*"&amp;A172&amp;"*")</f>
        <v>4</v>
      </c>
      <c r="D172" s="5">
        <v>4</v>
      </c>
    </row>
    <row r="173" spans="1:4" ht="15.75" customHeight="1" x14ac:dyDescent="0.25">
      <c r="A173" s="1" t="s">
        <v>351</v>
      </c>
      <c r="B173" s="1" t="str">
        <f ca="1">IFERROR(__xludf.DUMMYFUNCTION("GOOGLETRANSLATE(A173,""auto"",""en"")"),"dumpling")</f>
        <v>dumpling</v>
      </c>
      <c r="C173" s="5">
        <f>COUNTIF([1]!SAMPLE2C[RSTCAT],"*"&amp;A173&amp;"*")</f>
        <v>8</v>
      </c>
      <c r="D173" s="5">
        <v>8</v>
      </c>
    </row>
    <row r="174" spans="1:4" ht="15.75" customHeight="1" x14ac:dyDescent="0.25">
      <c r="A174" s="1" t="s">
        <v>352</v>
      </c>
      <c r="B174" s="1" t="str">
        <f ca="1">IFERROR(__xludf.DUMMYFUNCTION("GOOGLETRANSLATE(A174,""auto"",""en"")"),"Horse sashimi")</f>
        <v>Horse sashimi</v>
      </c>
      <c r="C174" s="5">
        <f>COUNTIF([1]!SAMPLE2C[RSTCAT],"*"&amp;A174&amp;"*")</f>
        <v>2</v>
      </c>
      <c r="D174" s="5">
        <v>2</v>
      </c>
    </row>
    <row r="175" spans="1:4" ht="15.75" customHeight="1" x14ac:dyDescent="0.25">
      <c r="A175" s="1" t="s">
        <v>353</v>
      </c>
      <c r="B175" s="1" t="str">
        <f ca="1">IFERROR(__xludf.DUMMYFUNCTION("GOOGLETRANSLATE(A175,""auto"",""en"")"),"Horse meat dish")</f>
        <v>Horse meat dish</v>
      </c>
      <c r="C175" s="5">
        <f>COUNTIF([1]!SAMPLE2C[RSTCAT],"*"&amp;A175&amp;"*")</f>
        <v>1</v>
      </c>
      <c r="D175" s="5">
        <v>1</v>
      </c>
    </row>
    <row r="176" spans="1:4" ht="15.75" customHeight="1" x14ac:dyDescent="0.25">
      <c r="A176" s="1" t="s">
        <v>354</v>
      </c>
      <c r="B176" s="1" t="str">
        <f ca="1">IFERROR(__xludf.DUMMYFUNCTION("GOOGLETRANSLATE(A176,""auto"",""en"")"),"Seafood and seafood dishes")</f>
        <v>Seafood and seafood dishes</v>
      </c>
      <c r="C176" s="5">
        <f>COUNTIF([1]!SAMPLE2C[RSTCAT],"*"&amp;A176&amp;"*")</f>
        <v>54</v>
      </c>
      <c r="D176" s="5">
        <v>54</v>
      </c>
    </row>
    <row r="177" spans="1:4" ht="15.75" customHeight="1" x14ac:dyDescent="0.25">
      <c r="A177" s="1" t="s">
        <v>355</v>
      </c>
      <c r="B177" s="1" t="str">
        <f ca="1">IFERROR(__xludf.DUMMYFUNCTION("GOOGLETRANSLATE(A177,""auto"",""en"")"),"Bird food")</f>
        <v>Bird food</v>
      </c>
      <c r="C177" s="5">
        <f>COUNTIF([1]!SAMPLE2C[RSTCAT],"*"&amp;A177&amp;"*")</f>
        <v>15</v>
      </c>
      <c r="D177" s="5">
        <v>15</v>
      </c>
    </row>
    <row r="178" spans="1:4" ht="15.75" customHeight="1" x14ac:dyDescent="0.25">
      <c r="A178" s="1" t="s">
        <v>356</v>
      </c>
      <c r="B178" s="1" t="str">
        <f ca="1">IFERROR(__xludf.DUMMYFUNCTION("GOOGLETRANSLATE(A178,""auto"",""en"")"),"Wheat")</f>
        <v>Wheat</v>
      </c>
      <c r="C178" s="5">
        <f>COUNTIF([1]!SAMPLE2C[RSTCAT],"*"&amp;A178&amp;"*")</f>
        <v>1</v>
      </c>
      <c r="D178" s="5">
        <v>1</v>
      </c>
    </row>
    <row r="179" spans="1:4" ht="15.75" customHeight="1" x14ac:dyDescent="0.25"/>
    <row r="180" spans="1:4" ht="15.75" customHeight="1" x14ac:dyDescent="0.25"/>
    <row r="181" spans="1:4" ht="15.75" customHeight="1" x14ac:dyDescent="0.25"/>
    <row r="182" spans="1:4" ht="15.75" customHeight="1" x14ac:dyDescent="0.25"/>
    <row r="183" spans="1:4" ht="15.75" customHeight="1" x14ac:dyDescent="0.25"/>
    <row r="184" spans="1:4" ht="15.75" customHeight="1" x14ac:dyDescent="0.25"/>
    <row r="185" spans="1:4" ht="15.75" customHeight="1" x14ac:dyDescent="0.25"/>
    <row r="186" spans="1:4" ht="15.75" customHeight="1" x14ac:dyDescent="0.25"/>
    <row r="187" spans="1:4" ht="15.75" customHeight="1" x14ac:dyDescent="0.25"/>
    <row r="188" spans="1:4" ht="15.75" customHeight="1" x14ac:dyDescent="0.25"/>
    <row r="189" spans="1:4" ht="15.75" customHeight="1" x14ac:dyDescent="0.25"/>
    <row r="190" spans="1:4" ht="15.75" customHeight="1" x14ac:dyDescent="0.25"/>
    <row r="191" spans="1:4" ht="15.75" customHeight="1" x14ac:dyDescent="0.25"/>
    <row r="192" spans="1: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C1000"/>
  <sheetViews>
    <sheetView workbookViewId="0">
      <selection activeCell="D22" sqref="D22"/>
    </sheetView>
  </sheetViews>
  <sheetFormatPr defaultColWidth="14.42578125" defaultRowHeight="15" customHeight="1" x14ac:dyDescent="0.25"/>
  <cols>
    <col min="1" max="1" width="27.5703125" customWidth="1"/>
    <col min="2" max="2" width="12" style="5" hidden="1" customWidth="1"/>
    <col min="3" max="3" width="9.5703125" style="5" customWidth="1"/>
    <col min="4" max="4" width="19.140625" customWidth="1"/>
    <col min="5" max="5" width="9.42578125" customWidth="1"/>
    <col min="6" max="26" width="8.7109375" customWidth="1"/>
  </cols>
  <sheetData>
    <row r="1" spans="1:3" x14ac:dyDescent="0.25">
      <c r="A1" s="3" t="s">
        <v>524</v>
      </c>
      <c r="B1" s="4" t="s">
        <v>768</v>
      </c>
      <c r="C1" s="4" t="s">
        <v>767</v>
      </c>
    </row>
    <row r="2" spans="1:3" x14ac:dyDescent="0.25">
      <c r="A2" s="1" t="s">
        <v>357</v>
      </c>
      <c r="B2" s="5" t="e">
        <f>COUNTIF([2]!SAMPLE3C[CATEGORY_1],"*"&amp;A2&amp;"*")+COUNTIF([2]!SAMPLE3C[CATEGORY_2],"*"&amp;A2&amp;"*")+COUNTIF([2]!SAMPLE3C[CATEGORY_3],"*"&amp;A2&amp;"*")+COUNTIF([2]!SAMPLE3C[CATEGORY_4],"*"&amp;A2&amp;"*")+COUNTIF([2]!SAMPLE3C[CATEGORY_5],"*"&amp;A2&amp;"*")</f>
        <v>#REF!</v>
      </c>
      <c r="C2" s="5">
        <v>12</v>
      </c>
    </row>
    <row r="3" spans="1:3" x14ac:dyDescent="0.25">
      <c r="A3" s="1" t="s">
        <v>358</v>
      </c>
      <c r="B3" s="5" t="e">
        <f>COUNTIF([2]!SAMPLE3C[CATEGORY_1],"*"&amp;A3&amp;"*")+COUNTIF([2]!SAMPLE3C[CATEGORY_2],"*"&amp;A3&amp;"*")+COUNTIF([2]!SAMPLE3C[CATEGORY_3],"*"&amp;A3&amp;"*")+COUNTIF([2]!SAMPLE3C[CATEGORY_4],"*"&amp;A3&amp;"*")+COUNTIF([2]!SAMPLE3C[CATEGORY_5],"*"&amp;A3&amp;"*")</f>
        <v>#REF!</v>
      </c>
      <c r="C3" s="5">
        <v>11</v>
      </c>
    </row>
    <row r="4" spans="1:3" x14ac:dyDescent="0.25">
      <c r="A4" s="1" t="s">
        <v>359</v>
      </c>
      <c r="B4" s="5" t="e">
        <f>COUNTIF([2]!SAMPLE3C[CATEGORY_1],"*"&amp;A4&amp;"*")+COUNTIF([2]!SAMPLE3C[CATEGORY_2],"*"&amp;A4&amp;"*")+COUNTIF([2]!SAMPLE3C[CATEGORY_3],"*"&amp;A4&amp;"*")+COUNTIF([2]!SAMPLE3C[CATEGORY_4],"*"&amp;A4&amp;"*")+COUNTIF([2]!SAMPLE3C[CATEGORY_5],"*"&amp;A4&amp;"*")</f>
        <v>#REF!</v>
      </c>
      <c r="C4" s="5">
        <v>6</v>
      </c>
    </row>
    <row r="5" spans="1:3" x14ac:dyDescent="0.25">
      <c r="A5" s="1" t="s">
        <v>360</v>
      </c>
      <c r="B5" s="5" t="e">
        <f>COUNTIF([2]!SAMPLE3C[CATEGORY_1],"*"&amp;A5&amp;"*")+COUNTIF([2]!SAMPLE3C[CATEGORY_2],"*"&amp;A5&amp;"*")+COUNTIF([2]!SAMPLE3C[CATEGORY_3],"*"&amp;A5&amp;"*")+COUNTIF([2]!SAMPLE3C[CATEGORY_4],"*"&amp;A5&amp;"*")+COUNTIF([2]!SAMPLE3C[CATEGORY_5],"*"&amp;A5&amp;"*")</f>
        <v>#REF!</v>
      </c>
      <c r="C5" s="5">
        <v>78</v>
      </c>
    </row>
    <row r="6" spans="1:3" x14ac:dyDescent="0.25">
      <c r="A6" s="1" t="s">
        <v>361</v>
      </c>
      <c r="B6" s="5" t="e">
        <f>COUNTIF([2]!SAMPLE3C[CATEGORY_1],"*"&amp;A6&amp;"*")+COUNTIF([2]!SAMPLE3C[CATEGORY_2],"*"&amp;A6&amp;"*")+COUNTIF([2]!SAMPLE3C[CATEGORY_3],"*"&amp;A6&amp;"*")+COUNTIF([2]!SAMPLE3C[CATEGORY_4],"*"&amp;A6&amp;"*")+COUNTIF([2]!SAMPLE3C[CATEGORY_5],"*"&amp;A6&amp;"*")</f>
        <v>#REF!</v>
      </c>
      <c r="C6" s="5">
        <v>1</v>
      </c>
    </row>
    <row r="7" spans="1:3" x14ac:dyDescent="0.25">
      <c r="A7" s="1" t="s">
        <v>362</v>
      </c>
      <c r="B7" s="5" t="e">
        <f>COUNTIF([2]!SAMPLE3C[CATEGORY_1],"*"&amp;A7&amp;"*")+COUNTIF([2]!SAMPLE3C[CATEGORY_2],"*"&amp;A7&amp;"*")+COUNTIF([2]!SAMPLE3C[CATEGORY_3],"*"&amp;A7&amp;"*")+COUNTIF([2]!SAMPLE3C[CATEGORY_4],"*"&amp;A7&amp;"*")+COUNTIF([2]!SAMPLE3C[CATEGORY_5],"*"&amp;A7&amp;"*")</f>
        <v>#REF!</v>
      </c>
      <c r="C7" s="5">
        <v>51</v>
      </c>
    </row>
    <row r="8" spans="1:3" x14ac:dyDescent="0.25">
      <c r="A8" s="1" t="s">
        <v>363</v>
      </c>
      <c r="B8" s="5" t="e">
        <f>COUNTIF([2]!SAMPLE3C[CATEGORY_1],"*"&amp;A8&amp;"*")+COUNTIF([2]!SAMPLE3C[CATEGORY_2],"*"&amp;A8&amp;"*")+COUNTIF([2]!SAMPLE3C[CATEGORY_3],"*"&amp;A8&amp;"*")+COUNTIF([2]!SAMPLE3C[CATEGORY_4],"*"&amp;A8&amp;"*")+COUNTIF([2]!SAMPLE3C[CATEGORY_5],"*"&amp;A8&amp;"*")</f>
        <v>#REF!</v>
      </c>
      <c r="C8" s="5">
        <v>1</v>
      </c>
    </row>
    <row r="9" spans="1:3" x14ac:dyDescent="0.25">
      <c r="A9" s="1" t="s">
        <v>364</v>
      </c>
      <c r="B9" s="5" t="e">
        <f>COUNTIF([2]!SAMPLE3C[CATEGORY_1],"*"&amp;A9&amp;"*")+COUNTIF([2]!SAMPLE3C[CATEGORY_2],"*"&amp;A9&amp;"*")+COUNTIF([2]!SAMPLE3C[CATEGORY_3],"*"&amp;A9&amp;"*")+COUNTIF([2]!SAMPLE3C[CATEGORY_4],"*"&amp;A9&amp;"*")+COUNTIF([2]!SAMPLE3C[CATEGORY_5],"*"&amp;A9&amp;"*")</f>
        <v>#REF!</v>
      </c>
      <c r="C9" s="5">
        <v>7</v>
      </c>
    </row>
    <row r="10" spans="1:3" x14ac:dyDescent="0.25">
      <c r="A10" s="1" t="s">
        <v>365</v>
      </c>
      <c r="B10" s="5" t="e">
        <f>COUNTIF([2]!SAMPLE3C[CATEGORY_1],"*"&amp;A10&amp;"*")+COUNTIF([2]!SAMPLE3C[CATEGORY_2],"*"&amp;A10&amp;"*")+COUNTIF([2]!SAMPLE3C[CATEGORY_3],"*"&amp;A10&amp;"*")+COUNTIF([2]!SAMPLE3C[CATEGORY_4],"*"&amp;A10&amp;"*")+COUNTIF([2]!SAMPLE3C[CATEGORY_5],"*"&amp;A10&amp;"*")</f>
        <v>#REF!</v>
      </c>
      <c r="C10" s="5">
        <v>49</v>
      </c>
    </row>
    <row r="11" spans="1:3" x14ac:dyDescent="0.25">
      <c r="A11" s="1" t="s">
        <v>366</v>
      </c>
      <c r="B11" s="5" t="e">
        <f>COUNTIF([2]!SAMPLE3C[CATEGORY_1],"*"&amp;A11&amp;"*")+COUNTIF([2]!SAMPLE3C[CATEGORY_2],"*"&amp;A11&amp;"*")+COUNTIF([2]!SAMPLE3C[CATEGORY_3],"*"&amp;A11&amp;"*")+COUNTIF([2]!SAMPLE3C[CATEGORY_4],"*"&amp;A11&amp;"*")+COUNTIF([2]!SAMPLE3C[CATEGORY_5],"*"&amp;A11&amp;"*")</f>
        <v>#REF!</v>
      </c>
      <c r="C11" s="5">
        <v>48</v>
      </c>
    </row>
    <row r="12" spans="1:3" x14ac:dyDescent="0.25">
      <c r="A12" s="1" t="s">
        <v>367</v>
      </c>
      <c r="B12" s="5" t="e">
        <f>COUNTIF([2]!SAMPLE3C[CATEGORY_1],"*"&amp;A12&amp;"*")+COUNTIF([2]!SAMPLE3C[CATEGORY_2],"*"&amp;A12&amp;"*")+COUNTIF([2]!SAMPLE3C[CATEGORY_3],"*"&amp;A12&amp;"*")+COUNTIF([2]!SAMPLE3C[CATEGORY_4],"*"&amp;A12&amp;"*")+COUNTIF([2]!SAMPLE3C[CATEGORY_5],"*"&amp;A12&amp;"*")</f>
        <v>#REF!</v>
      </c>
      <c r="C12" s="5">
        <v>1</v>
      </c>
    </row>
    <row r="13" spans="1:3" x14ac:dyDescent="0.25">
      <c r="A13" s="1" t="s">
        <v>368</v>
      </c>
      <c r="B13" s="5" t="e">
        <f>COUNTIF([2]!SAMPLE3C[CATEGORY_1],"*"&amp;A13&amp;"*")+COUNTIF([2]!SAMPLE3C[CATEGORY_2],"*"&amp;A13&amp;"*")+COUNTIF([2]!SAMPLE3C[CATEGORY_3],"*"&amp;A13&amp;"*")+COUNTIF([2]!SAMPLE3C[CATEGORY_4],"*"&amp;A13&amp;"*")+COUNTIF([2]!SAMPLE3C[CATEGORY_5],"*"&amp;A13&amp;"*")</f>
        <v>#REF!</v>
      </c>
      <c r="C13" s="5">
        <v>1</v>
      </c>
    </row>
    <row r="14" spans="1:3" x14ac:dyDescent="0.25">
      <c r="A14" s="1" t="s">
        <v>369</v>
      </c>
      <c r="B14" s="5" t="e">
        <f>COUNTIF([2]!SAMPLE3C[CATEGORY_1],"*"&amp;A14&amp;"*")+COUNTIF([2]!SAMPLE3C[CATEGORY_2],"*"&amp;A14&amp;"*")+COUNTIF([2]!SAMPLE3C[CATEGORY_3],"*"&amp;A14&amp;"*")+COUNTIF([2]!SAMPLE3C[CATEGORY_4],"*"&amp;A14&amp;"*")+COUNTIF([2]!SAMPLE3C[CATEGORY_5],"*"&amp;A14&amp;"*")</f>
        <v>#REF!</v>
      </c>
      <c r="C14" s="5">
        <v>202</v>
      </c>
    </row>
    <row r="15" spans="1:3" x14ac:dyDescent="0.25">
      <c r="A15" s="1" t="s">
        <v>370</v>
      </c>
      <c r="B15" s="5" t="e">
        <f>COUNTIF([2]!SAMPLE3C[CATEGORY_1],"*"&amp;A15&amp;"*")+COUNTIF([2]!SAMPLE3C[CATEGORY_2],"*"&amp;A15&amp;"*")+COUNTIF([2]!SAMPLE3C[CATEGORY_3],"*"&amp;A15&amp;"*")+COUNTIF([2]!SAMPLE3C[CATEGORY_4],"*"&amp;A15&amp;"*")+COUNTIF([2]!SAMPLE3C[CATEGORY_5],"*"&amp;A15&amp;"*")</f>
        <v>#REF!</v>
      </c>
      <c r="C15" s="5">
        <v>2</v>
      </c>
    </row>
    <row r="16" spans="1:3" x14ac:dyDescent="0.25">
      <c r="A16" s="1" t="s">
        <v>371</v>
      </c>
      <c r="B16" s="5" t="e">
        <f>COUNTIF([2]!SAMPLE3C[CATEGORY_1],"*"&amp;A16&amp;"*")+COUNTIF([2]!SAMPLE3C[CATEGORY_2],"*"&amp;A16&amp;"*")+COUNTIF([2]!SAMPLE3C[CATEGORY_3],"*"&amp;A16&amp;"*")+COUNTIF([2]!SAMPLE3C[CATEGORY_4],"*"&amp;A16&amp;"*")+COUNTIF([2]!SAMPLE3C[CATEGORY_5],"*"&amp;A16&amp;"*")</f>
        <v>#REF!</v>
      </c>
      <c r="C16" s="5">
        <v>10</v>
      </c>
    </row>
    <row r="17" spans="1:3" x14ac:dyDescent="0.25">
      <c r="A17" s="1" t="s">
        <v>372</v>
      </c>
      <c r="B17" s="5" t="e">
        <f>COUNTIF([2]!SAMPLE3C[CATEGORY_1],"*"&amp;A17&amp;"*")+COUNTIF([2]!SAMPLE3C[CATEGORY_2],"*"&amp;A17&amp;"*")+COUNTIF([2]!SAMPLE3C[CATEGORY_3],"*"&amp;A17&amp;"*")+COUNTIF([2]!SAMPLE3C[CATEGORY_4],"*"&amp;A17&amp;"*")+COUNTIF([2]!SAMPLE3C[CATEGORY_5],"*"&amp;A17&amp;"*")</f>
        <v>#REF!</v>
      </c>
      <c r="C17" s="5">
        <v>16</v>
      </c>
    </row>
    <row r="18" spans="1:3" x14ac:dyDescent="0.25">
      <c r="A18" s="1" t="s">
        <v>373</v>
      </c>
      <c r="B18" s="5" t="e">
        <f>COUNTIF([2]!SAMPLE3C[CATEGORY_1],"*"&amp;A18&amp;"*")+COUNTIF([2]!SAMPLE3C[CATEGORY_2],"*"&amp;A18&amp;"*")+COUNTIF([2]!SAMPLE3C[CATEGORY_3],"*"&amp;A18&amp;"*")+COUNTIF([2]!SAMPLE3C[CATEGORY_4],"*"&amp;A18&amp;"*")+COUNTIF([2]!SAMPLE3C[CATEGORY_5],"*"&amp;A18&amp;"*")</f>
        <v>#REF!</v>
      </c>
      <c r="C18" s="5">
        <v>44</v>
      </c>
    </row>
    <row r="19" spans="1:3" x14ac:dyDescent="0.25">
      <c r="A19" s="1" t="s">
        <v>374</v>
      </c>
      <c r="B19" s="5" t="e">
        <f>COUNTIF([2]!SAMPLE3C[CATEGORY_1],"*"&amp;A19&amp;"*")+COUNTIF([2]!SAMPLE3C[CATEGORY_2],"*"&amp;A19&amp;"*")+COUNTIF([2]!SAMPLE3C[CATEGORY_3],"*"&amp;A19&amp;"*")+COUNTIF([2]!SAMPLE3C[CATEGORY_4],"*"&amp;A19&amp;"*")+COUNTIF([2]!SAMPLE3C[CATEGORY_5],"*"&amp;A19&amp;"*")</f>
        <v>#REF!</v>
      </c>
      <c r="C19" s="5">
        <v>52</v>
      </c>
    </row>
    <row r="20" spans="1:3" x14ac:dyDescent="0.25">
      <c r="A20" s="1" t="s">
        <v>375</v>
      </c>
      <c r="B20" s="5" t="e">
        <f>COUNTIF([2]!SAMPLE3C[CATEGORY_1],"*"&amp;A20&amp;"*")+COUNTIF([2]!SAMPLE3C[CATEGORY_2],"*"&amp;A20&amp;"*")+COUNTIF([2]!SAMPLE3C[CATEGORY_3],"*"&amp;A20&amp;"*")+COUNTIF([2]!SAMPLE3C[CATEGORY_4],"*"&amp;A20&amp;"*")+COUNTIF([2]!SAMPLE3C[CATEGORY_5],"*"&amp;A20&amp;"*")</f>
        <v>#REF!</v>
      </c>
      <c r="C20" s="5">
        <v>2</v>
      </c>
    </row>
    <row r="21" spans="1:3" ht="15.75" customHeight="1" x14ac:dyDescent="0.25">
      <c r="A21" s="1" t="s">
        <v>376</v>
      </c>
      <c r="B21" s="5" t="e">
        <f>COUNTIF([2]!SAMPLE3C[CATEGORY_1],"*"&amp;A21&amp;"*")+COUNTIF([2]!SAMPLE3C[CATEGORY_2],"*"&amp;A21&amp;"*")+COUNTIF([2]!SAMPLE3C[CATEGORY_3],"*"&amp;A21&amp;"*")+COUNTIF([2]!SAMPLE3C[CATEGORY_4],"*"&amp;A21&amp;"*")+COUNTIF([2]!SAMPLE3C[CATEGORY_5],"*"&amp;A21&amp;"*")</f>
        <v>#REF!</v>
      </c>
      <c r="C21" s="5">
        <v>1</v>
      </c>
    </row>
    <row r="22" spans="1:3" ht="15.75" customHeight="1" x14ac:dyDescent="0.25">
      <c r="A22" s="1" t="s">
        <v>377</v>
      </c>
      <c r="B22" s="5" t="e">
        <f>COUNTIF([2]!SAMPLE3C[CATEGORY_1],"*"&amp;A22&amp;"*")+COUNTIF([2]!SAMPLE3C[CATEGORY_2],"*"&amp;A22&amp;"*")+COUNTIF([2]!SAMPLE3C[CATEGORY_3],"*"&amp;A22&amp;"*")+COUNTIF([2]!SAMPLE3C[CATEGORY_4],"*"&amp;A22&amp;"*")+COUNTIF([2]!SAMPLE3C[CATEGORY_5],"*"&amp;A22&amp;"*")</f>
        <v>#REF!</v>
      </c>
      <c r="C22" s="5">
        <v>6</v>
      </c>
    </row>
    <row r="23" spans="1:3" ht="15.75" customHeight="1" x14ac:dyDescent="0.25">
      <c r="A23" s="1" t="s">
        <v>378</v>
      </c>
      <c r="B23" s="5" t="e">
        <f>COUNTIF([2]!SAMPLE3C[CATEGORY_1],"*"&amp;A23&amp;"*")+COUNTIF([2]!SAMPLE3C[CATEGORY_2],"*"&amp;A23&amp;"*")+COUNTIF([2]!SAMPLE3C[CATEGORY_3],"*"&amp;A23&amp;"*")+COUNTIF([2]!SAMPLE3C[CATEGORY_4],"*"&amp;A23&amp;"*")+COUNTIF([2]!SAMPLE3C[CATEGORY_5],"*"&amp;A23&amp;"*")</f>
        <v>#REF!</v>
      </c>
      <c r="C23" s="5">
        <v>129</v>
      </c>
    </row>
    <row r="24" spans="1:3" ht="15.75" customHeight="1" x14ac:dyDescent="0.25">
      <c r="A24" s="1" t="s">
        <v>379</v>
      </c>
      <c r="B24" s="5" t="e">
        <f>COUNTIF([2]!SAMPLE3C[CATEGORY_1],"*"&amp;A24&amp;"*")+COUNTIF([2]!SAMPLE3C[CATEGORY_2],"*"&amp;A24&amp;"*")+COUNTIF([2]!SAMPLE3C[CATEGORY_3],"*"&amp;A24&amp;"*")+COUNTIF([2]!SAMPLE3C[CATEGORY_4],"*"&amp;A24&amp;"*")+COUNTIF([2]!SAMPLE3C[CATEGORY_5],"*"&amp;A24&amp;"*")</f>
        <v>#REF!</v>
      </c>
      <c r="C24" s="5">
        <v>1</v>
      </c>
    </row>
    <row r="25" spans="1:3" ht="15.75" customHeight="1" x14ac:dyDescent="0.25">
      <c r="A25" s="1" t="s">
        <v>380</v>
      </c>
      <c r="B25" s="5" t="e">
        <f>COUNTIF([2]!SAMPLE3C[CATEGORY_1],"*"&amp;A25&amp;"*")+COUNTIF([2]!SAMPLE3C[CATEGORY_2],"*"&amp;A25&amp;"*")+COUNTIF([2]!SAMPLE3C[CATEGORY_3],"*"&amp;A25&amp;"*")+COUNTIF([2]!SAMPLE3C[CATEGORY_4],"*"&amp;A25&amp;"*")+COUNTIF([2]!SAMPLE3C[CATEGORY_5],"*"&amp;A25&amp;"*")</f>
        <v>#REF!</v>
      </c>
      <c r="C25" s="5">
        <v>86</v>
      </c>
    </row>
    <row r="26" spans="1:3" ht="15.75" customHeight="1" x14ac:dyDescent="0.25">
      <c r="A26" s="1" t="s">
        <v>381</v>
      </c>
      <c r="B26" s="5" t="e">
        <f>COUNTIF([2]!SAMPLE3C[CATEGORY_1],"*"&amp;A26&amp;"*")+COUNTIF([2]!SAMPLE3C[CATEGORY_2],"*"&amp;A26&amp;"*")+COUNTIF([2]!SAMPLE3C[CATEGORY_3],"*"&amp;A26&amp;"*")+COUNTIF([2]!SAMPLE3C[CATEGORY_4],"*"&amp;A26&amp;"*")+COUNTIF([2]!SAMPLE3C[CATEGORY_5],"*"&amp;A26&amp;"*")</f>
        <v>#REF!</v>
      </c>
      <c r="C26" s="5">
        <v>23</v>
      </c>
    </row>
    <row r="27" spans="1:3" ht="15.75" customHeight="1" x14ac:dyDescent="0.25">
      <c r="A27" s="1" t="s">
        <v>382</v>
      </c>
      <c r="B27" s="5" t="e">
        <f>COUNTIF([2]!SAMPLE3C[CATEGORY_1],"*"&amp;A27&amp;"*")+COUNTIF([2]!SAMPLE3C[CATEGORY_2],"*"&amp;A27&amp;"*")+COUNTIF([2]!SAMPLE3C[CATEGORY_3],"*"&amp;A27&amp;"*")+COUNTIF([2]!SAMPLE3C[CATEGORY_4],"*"&amp;A27&amp;"*")+COUNTIF([2]!SAMPLE3C[CATEGORY_5],"*"&amp;A27&amp;"*")</f>
        <v>#REF!</v>
      </c>
      <c r="C27" s="5">
        <v>15</v>
      </c>
    </row>
    <row r="28" spans="1:3" ht="15.75" customHeight="1" x14ac:dyDescent="0.25">
      <c r="A28" s="1" t="s">
        <v>383</v>
      </c>
      <c r="B28" s="5" t="e">
        <f>COUNTIF([2]!SAMPLE3C[CATEGORY_1],"*"&amp;A28&amp;"*")+COUNTIF([2]!SAMPLE3C[CATEGORY_2],"*"&amp;A28&amp;"*")+COUNTIF([2]!SAMPLE3C[CATEGORY_3],"*"&amp;A28&amp;"*")+COUNTIF([2]!SAMPLE3C[CATEGORY_4],"*"&amp;A28&amp;"*")+COUNTIF([2]!SAMPLE3C[CATEGORY_5],"*"&amp;A28&amp;"*")</f>
        <v>#REF!</v>
      </c>
      <c r="C28" s="5">
        <v>1</v>
      </c>
    </row>
    <row r="29" spans="1:3" ht="15.75" customHeight="1" x14ac:dyDescent="0.25">
      <c r="A29" s="1" t="s">
        <v>384</v>
      </c>
      <c r="B29" s="5" t="e">
        <f>COUNTIF([2]!SAMPLE3C[CATEGORY_1],"*"&amp;A29&amp;"*")+COUNTIF([2]!SAMPLE3C[CATEGORY_2],"*"&amp;A29&amp;"*")+COUNTIF([2]!SAMPLE3C[CATEGORY_3],"*"&amp;A29&amp;"*")+COUNTIF([2]!SAMPLE3C[CATEGORY_4],"*"&amp;A29&amp;"*")+COUNTIF([2]!SAMPLE3C[CATEGORY_5],"*"&amp;A29&amp;"*")</f>
        <v>#REF!</v>
      </c>
      <c r="C29" s="5">
        <v>3</v>
      </c>
    </row>
    <row r="30" spans="1:3" ht="15.75" customHeight="1" x14ac:dyDescent="0.25">
      <c r="A30" s="1" t="s">
        <v>385</v>
      </c>
      <c r="B30" s="5" t="e">
        <f>COUNTIF([2]!SAMPLE3C[CATEGORY_1],"*"&amp;A30&amp;"*")+COUNTIF([2]!SAMPLE3C[CATEGORY_2],"*"&amp;A30&amp;"*")+COUNTIF([2]!SAMPLE3C[CATEGORY_3],"*"&amp;A30&amp;"*")+COUNTIF([2]!SAMPLE3C[CATEGORY_4],"*"&amp;A30&amp;"*")+COUNTIF([2]!SAMPLE3C[CATEGORY_5],"*"&amp;A30&amp;"*")</f>
        <v>#REF!</v>
      </c>
      <c r="C30" s="5">
        <v>1</v>
      </c>
    </row>
    <row r="31" spans="1:3" ht="15.75" customHeight="1" x14ac:dyDescent="0.25">
      <c r="A31" s="1" t="s">
        <v>386</v>
      </c>
      <c r="B31" s="5" t="e">
        <f>COUNTIF([2]!SAMPLE3C[CATEGORY_1],"*"&amp;A31&amp;"*")+COUNTIF([2]!SAMPLE3C[CATEGORY_2],"*"&amp;A31&amp;"*")+COUNTIF([2]!SAMPLE3C[CATEGORY_3],"*"&amp;A31&amp;"*")+COUNTIF([2]!SAMPLE3C[CATEGORY_4],"*"&amp;A31&amp;"*")+COUNTIF([2]!SAMPLE3C[CATEGORY_5],"*"&amp;A31&amp;"*")</f>
        <v>#REF!</v>
      </c>
      <c r="C31" s="5">
        <v>5</v>
      </c>
    </row>
    <row r="32" spans="1:3" ht="15.75" customHeight="1" x14ac:dyDescent="0.25">
      <c r="A32" s="1" t="s">
        <v>387</v>
      </c>
      <c r="B32" s="5" t="e">
        <f>COUNTIF([2]!SAMPLE3C[CATEGORY_1],"*"&amp;A32&amp;"*")+COUNTIF([2]!SAMPLE3C[CATEGORY_2],"*"&amp;A32&amp;"*")+COUNTIF([2]!SAMPLE3C[CATEGORY_3],"*"&amp;A32&amp;"*")+COUNTIF([2]!SAMPLE3C[CATEGORY_4],"*"&amp;A32&amp;"*")+COUNTIF([2]!SAMPLE3C[CATEGORY_5],"*"&amp;A32&amp;"*")</f>
        <v>#REF!</v>
      </c>
      <c r="C32" s="5">
        <v>41</v>
      </c>
    </row>
    <row r="33" spans="1:3" ht="15.75" customHeight="1" x14ac:dyDescent="0.25">
      <c r="A33" s="1" t="s">
        <v>388</v>
      </c>
      <c r="B33" s="5" t="e">
        <f>COUNTIF([2]!SAMPLE3C[CATEGORY_1],"*"&amp;A33&amp;"*")+COUNTIF([2]!SAMPLE3C[CATEGORY_2],"*"&amp;A33&amp;"*")+COUNTIF([2]!SAMPLE3C[CATEGORY_3],"*"&amp;A33&amp;"*")+COUNTIF([2]!SAMPLE3C[CATEGORY_4],"*"&amp;A33&amp;"*")+COUNTIF([2]!SAMPLE3C[CATEGORY_5],"*"&amp;A33&amp;"*")</f>
        <v>#REF!</v>
      </c>
      <c r="C33" s="5">
        <v>7</v>
      </c>
    </row>
    <row r="34" spans="1:3" ht="15.75" customHeight="1" x14ac:dyDescent="0.25">
      <c r="A34" s="1" t="s">
        <v>389</v>
      </c>
      <c r="B34" s="5" t="e">
        <f>COUNTIF([2]!SAMPLE3C[CATEGORY_1],"*"&amp;A34&amp;"*")+COUNTIF([2]!SAMPLE3C[CATEGORY_2],"*"&amp;A34&amp;"*")+COUNTIF([2]!SAMPLE3C[CATEGORY_3],"*"&amp;A34&amp;"*")+COUNTIF([2]!SAMPLE3C[CATEGORY_4],"*"&amp;A34&amp;"*")+COUNTIF([2]!SAMPLE3C[CATEGORY_5],"*"&amp;A34&amp;"*")</f>
        <v>#REF!</v>
      </c>
      <c r="C34" s="5">
        <v>1</v>
      </c>
    </row>
    <row r="35" spans="1:3" ht="15.75" customHeight="1" x14ac:dyDescent="0.25">
      <c r="A35" s="1" t="s">
        <v>390</v>
      </c>
      <c r="B35" s="5" t="e">
        <f>COUNTIF([2]!SAMPLE3C[CATEGORY_1],"*"&amp;A35&amp;"*")+COUNTIF([2]!SAMPLE3C[CATEGORY_2],"*"&amp;A35&amp;"*")+COUNTIF([2]!SAMPLE3C[CATEGORY_3],"*"&amp;A35&amp;"*")+COUNTIF([2]!SAMPLE3C[CATEGORY_4],"*"&amp;A35&amp;"*")+COUNTIF([2]!SAMPLE3C[CATEGORY_5],"*"&amp;A35&amp;"*")</f>
        <v>#REF!</v>
      </c>
      <c r="C35" s="5">
        <v>1</v>
      </c>
    </row>
    <row r="36" spans="1:3" ht="15.75" customHeight="1" x14ac:dyDescent="0.25">
      <c r="A36" s="1" t="s">
        <v>391</v>
      </c>
      <c r="B36" s="5" t="e">
        <f>COUNTIF([2]!SAMPLE3C[CATEGORY_1],"*"&amp;A36&amp;"*")+COUNTIF([2]!SAMPLE3C[CATEGORY_2],"*"&amp;A36&amp;"*")+COUNTIF([2]!SAMPLE3C[CATEGORY_3],"*"&amp;A36&amp;"*")+COUNTIF([2]!SAMPLE3C[CATEGORY_4],"*"&amp;A36&amp;"*")+COUNTIF([2]!SAMPLE3C[CATEGORY_5],"*"&amp;A36&amp;"*")</f>
        <v>#REF!</v>
      </c>
      <c r="C36" s="5">
        <v>11</v>
      </c>
    </row>
    <row r="37" spans="1:3" ht="15.75" customHeight="1" x14ac:dyDescent="0.25">
      <c r="A37" s="1" t="s">
        <v>392</v>
      </c>
      <c r="B37" s="5" t="e">
        <f>COUNTIF([2]!SAMPLE3C[CATEGORY_1],"*"&amp;A37&amp;"*")+COUNTIF([2]!SAMPLE3C[CATEGORY_2],"*"&amp;A37&amp;"*")+COUNTIF([2]!SAMPLE3C[CATEGORY_3],"*"&amp;A37&amp;"*")+COUNTIF([2]!SAMPLE3C[CATEGORY_4],"*"&amp;A37&amp;"*")+COUNTIF([2]!SAMPLE3C[CATEGORY_5],"*"&amp;A37&amp;"*")</f>
        <v>#REF!</v>
      </c>
      <c r="C37" s="5">
        <v>1</v>
      </c>
    </row>
    <row r="38" spans="1:3" ht="15.75" customHeight="1" x14ac:dyDescent="0.25">
      <c r="A38" s="1" t="s">
        <v>393</v>
      </c>
      <c r="B38" s="5" t="e">
        <f>COUNTIF([2]!SAMPLE3C[CATEGORY_1],"*"&amp;A38&amp;"*")+COUNTIF([2]!SAMPLE3C[CATEGORY_2],"*"&amp;A38&amp;"*")+COUNTIF([2]!SAMPLE3C[CATEGORY_3],"*"&amp;A38&amp;"*")+COUNTIF([2]!SAMPLE3C[CATEGORY_4],"*"&amp;A38&amp;"*")+COUNTIF([2]!SAMPLE3C[CATEGORY_5],"*"&amp;A38&amp;"*")</f>
        <v>#REF!</v>
      </c>
      <c r="C38" s="5">
        <v>35</v>
      </c>
    </row>
    <row r="39" spans="1:3" ht="15.75" customHeight="1" x14ac:dyDescent="0.25">
      <c r="A39" s="1" t="s">
        <v>394</v>
      </c>
      <c r="B39" s="5" t="e">
        <f>COUNTIF([2]!SAMPLE3C[CATEGORY_1],"*"&amp;A39&amp;"*")+COUNTIF([2]!SAMPLE3C[CATEGORY_2],"*"&amp;A39&amp;"*")+COUNTIF([2]!SAMPLE3C[CATEGORY_3],"*"&amp;A39&amp;"*")+COUNTIF([2]!SAMPLE3C[CATEGORY_4],"*"&amp;A39&amp;"*")+COUNTIF([2]!SAMPLE3C[CATEGORY_5],"*"&amp;A39&amp;"*")</f>
        <v>#REF!</v>
      </c>
      <c r="C39" s="5">
        <v>10</v>
      </c>
    </row>
    <row r="40" spans="1:3" ht="15.75" customHeight="1" x14ac:dyDescent="0.25">
      <c r="A40" s="1" t="s">
        <v>395</v>
      </c>
      <c r="B40" s="5" t="e">
        <f>COUNTIF([2]!SAMPLE3C[CATEGORY_1],"*"&amp;A40&amp;"*")+COUNTIF([2]!SAMPLE3C[CATEGORY_2],"*"&amp;A40&amp;"*")+COUNTIF([2]!SAMPLE3C[CATEGORY_3],"*"&amp;A40&amp;"*")+COUNTIF([2]!SAMPLE3C[CATEGORY_4],"*"&amp;A40&amp;"*")+COUNTIF([2]!SAMPLE3C[CATEGORY_5],"*"&amp;A40&amp;"*")</f>
        <v>#REF!</v>
      </c>
      <c r="C40" s="5">
        <v>99</v>
      </c>
    </row>
    <row r="41" spans="1:3" ht="15.75" customHeight="1" x14ac:dyDescent="0.25">
      <c r="A41" s="1" t="s">
        <v>396</v>
      </c>
      <c r="B41" s="5" t="e">
        <f>COUNTIF([2]!SAMPLE3C[CATEGORY_1],"*"&amp;A41&amp;"*")+COUNTIF([2]!SAMPLE3C[CATEGORY_2],"*"&amp;A41&amp;"*")+COUNTIF([2]!SAMPLE3C[CATEGORY_3],"*"&amp;A41&amp;"*")+COUNTIF([2]!SAMPLE3C[CATEGORY_4],"*"&amp;A41&amp;"*")+COUNTIF([2]!SAMPLE3C[CATEGORY_5],"*"&amp;A41&amp;"*")</f>
        <v>#REF!</v>
      </c>
      <c r="C41" s="5">
        <v>1</v>
      </c>
    </row>
    <row r="42" spans="1:3" ht="15.75" customHeight="1" x14ac:dyDescent="0.25">
      <c r="A42" s="1" t="s">
        <v>397</v>
      </c>
      <c r="B42" s="5" t="e">
        <f>COUNTIF([2]!SAMPLE3C[CATEGORY_1],"*"&amp;A42&amp;"*")+COUNTIF([2]!SAMPLE3C[CATEGORY_2],"*"&amp;A42&amp;"*")+COUNTIF([2]!SAMPLE3C[CATEGORY_3],"*"&amp;A42&amp;"*")+COUNTIF([2]!SAMPLE3C[CATEGORY_4],"*"&amp;A42&amp;"*")+COUNTIF([2]!SAMPLE3C[CATEGORY_5],"*"&amp;A42&amp;"*")</f>
        <v>#REF!</v>
      </c>
      <c r="C42" s="5">
        <v>1</v>
      </c>
    </row>
    <row r="43" spans="1:3" ht="15.75" customHeight="1" x14ac:dyDescent="0.25">
      <c r="A43" s="1" t="s">
        <v>398</v>
      </c>
      <c r="B43" s="5" t="e">
        <f>COUNTIF([2]!SAMPLE3C[CATEGORY_1],"*"&amp;A43&amp;"*")+COUNTIF([2]!SAMPLE3C[CATEGORY_2],"*"&amp;A43&amp;"*")+COUNTIF([2]!SAMPLE3C[CATEGORY_3],"*"&amp;A43&amp;"*")+COUNTIF([2]!SAMPLE3C[CATEGORY_4],"*"&amp;A43&amp;"*")+COUNTIF([2]!SAMPLE3C[CATEGORY_5],"*"&amp;A43&amp;"*")</f>
        <v>#REF!</v>
      </c>
      <c r="C43" s="5">
        <v>1</v>
      </c>
    </row>
    <row r="44" spans="1:3" ht="15.75" customHeight="1" x14ac:dyDescent="0.25">
      <c r="A44" s="1" t="s">
        <v>399</v>
      </c>
      <c r="B44" s="5" t="e">
        <f>COUNTIF([2]!SAMPLE3C[CATEGORY_1],"*"&amp;A44&amp;"*")+COUNTIF([2]!SAMPLE3C[CATEGORY_2],"*"&amp;A44&amp;"*")+COUNTIF([2]!SAMPLE3C[CATEGORY_3],"*"&amp;A44&amp;"*")+COUNTIF([2]!SAMPLE3C[CATEGORY_4],"*"&amp;A44&amp;"*")+COUNTIF([2]!SAMPLE3C[CATEGORY_5],"*"&amp;A44&amp;"*")</f>
        <v>#REF!</v>
      </c>
      <c r="C44" s="5">
        <v>14</v>
      </c>
    </row>
    <row r="45" spans="1:3" ht="15.75" customHeight="1" x14ac:dyDescent="0.25">
      <c r="A45" s="1" t="s">
        <v>400</v>
      </c>
      <c r="B45" s="5" t="e">
        <f>COUNTIF([2]!SAMPLE3C[CATEGORY_1],"*"&amp;A45&amp;"*")+COUNTIF([2]!SAMPLE3C[CATEGORY_2],"*"&amp;A45&amp;"*")+COUNTIF([2]!SAMPLE3C[CATEGORY_3],"*"&amp;A45&amp;"*")+COUNTIF([2]!SAMPLE3C[CATEGORY_4],"*"&amp;A45&amp;"*")+COUNTIF([2]!SAMPLE3C[CATEGORY_5],"*"&amp;A45&amp;"*")</f>
        <v>#REF!</v>
      </c>
      <c r="C45" s="5">
        <v>24</v>
      </c>
    </row>
    <row r="46" spans="1:3" ht="15.75" customHeight="1" x14ac:dyDescent="0.25">
      <c r="A46" s="1" t="s">
        <v>401</v>
      </c>
      <c r="B46" s="5" t="e">
        <f>COUNTIF([2]!SAMPLE3C[CATEGORY_1],"*"&amp;A46&amp;"*")+COUNTIF([2]!SAMPLE3C[CATEGORY_2],"*"&amp;A46&amp;"*")+COUNTIF([2]!SAMPLE3C[CATEGORY_3],"*"&amp;A46&amp;"*")+COUNTIF([2]!SAMPLE3C[CATEGORY_4],"*"&amp;A46&amp;"*")+COUNTIF([2]!SAMPLE3C[CATEGORY_5],"*"&amp;A46&amp;"*")</f>
        <v>#REF!</v>
      </c>
      <c r="C46" s="5">
        <v>58</v>
      </c>
    </row>
    <row r="47" spans="1:3" ht="15.75" customHeight="1" x14ac:dyDescent="0.25">
      <c r="A47" s="1" t="s">
        <v>402</v>
      </c>
      <c r="B47" s="5" t="e">
        <f>COUNTIF([2]!SAMPLE3C[CATEGORY_1],"*"&amp;A47&amp;"*")+COUNTIF([2]!SAMPLE3C[CATEGORY_2],"*"&amp;A47&amp;"*")+COUNTIF([2]!SAMPLE3C[CATEGORY_3],"*"&amp;A47&amp;"*")+COUNTIF([2]!SAMPLE3C[CATEGORY_4],"*"&amp;A47&amp;"*")+COUNTIF([2]!SAMPLE3C[CATEGORY_5],"*"&amp;A47&amp;"*")</f>
        <v>#REF!</v>
      </c>
      <c r="C47" s="5">
        <v>2</v>
      </c>
    </row>
    <row r="48" spans="1:3" ht="15.75" customHeight="1" x14ac:dyDescent="0.25">
      <c r="A48" s="1" t="s">
        <v>403</v>
      </c>
      <c r="B48" s="5" t="e">
        <f>COUNTIF([2]!SAMPLE3C[CATEGORY_1],"*"&amp;A48&amp;"*")+COUNTIF([2]!SAMPLE3C[CATEGORY_2],"*"&amp;A48&amp;"*")+COUNTIF([2]!SAMPLE3C[CATEGORY_3],"*"&amp;A48&amp;"*")+COUNTIF([2]!SAMPLE3C[CATEGORY_4],"*"&amp;A48&amp;"*")+COUNTIF([2]!SAMPLE3C[CATEGORY_5],"*"&amp;A48&amp;"*")</f>
        <v>#REF!</v>
      </c>
      <c r="C48" s="5">
        <v>3</v>
      </c>
    </row>
    <row r="49" spans="1:3" ht="15.75" customHeight="1" x14ac:dyDescent="0.25">
      <c r="A49" s="1" t="s">
        <v>404</v>
      </c>
      <c r="B49" s="5" t="e">
        <f>COUNTIF([2]!SAMPLE3C[CATEGORY_1],"*"&amp;A49&amp;"*")+COUNTIF([2]!SAMPLE3C[CATEGORY_2],"*"&amp;A49&amp;"*")+COUNTIF([2]!SAMPLE3C[CATEGORY_3],"*"&amp;A49&amp;"*")+COUNTIF([2]!SAMPLE3C[CATEGORY_4],"*"&amp;A49&amp;"*")+COUNTIF([2]!SAMPLE3C[CATEGORY_5],"*"&amp;A49&amp;"*")</f>
        <v>#REF!</v>
      </c>
      <c r="C49" s="5">
        <v>31</v>
      </c>
    </row>
    <row r="50" spans="1:3" ht="15.75" customHeight="1" x14ac:dyDescent="0.25">
      <c r="A50" s="1" t="s">
        <v>405</v>
      </c>
      <c r="B50" s="5" t="e">
        <f>COUNTIF([2]!SAMPLE3C[CATEGORY_1],"*"&amp;A50&amp;"*")+COUNTIF([2]!SAMPLE3C[CATEGORY_2],"*"&amp;A50&amp;"*")+COUNTIF([2]!SAMPLE3C[CATEGORY_3],"*"&amp;A50&amp;"*")+COUNTIF([2]!SAMPLE3C[CATEGORY_4],"*"&amp;A50&amp;"*")+COUNTIF([2]!SAMPLE3C[CATEGORY_5],"*"&amp;A50&amp;"*")</f>
        <v>#REF!</v>
      </c>
      <c r="C50" s="5">
        <v>5</v>
      </c>
    </row>
    <row r="51" spans="1:3" ht="15.75" customHeight="1" x14ac:dyDescent="0.25">
      <c r="A51" s="1" t="s">
        <v>406</v>
      </c>
      <c r="B51" s="5" t="e">
        <f>COUNTIF([2]!SAMPLE3C[CATEGORY_1],"*"&amp;A51&amp;"*")+COUNTIF([2]!SAMPLE3C[CATEGORY_2],"*"&amp;A51&amp;"*")+COUNTIF([2]!SAMPLE3C[CATEGORY_3],"*"&amp;A51&amp;"*")+COUNTIF([2]!SAMPLE3C[CATEGORY_4],"*"&amp;A51&amp;"*")+COUNTIF([2]!SAMPLE3C[CATEGORY_5],"*"&amp;A51&amp;"*")</f>
        <v>#REF!</v>
      </c>
      <c r="C51" s="5">
        <v>7</v>
      </c>
    </row>
    <row r="52" spans="1:3" ht="15.75" customHeight="1" x14ac:dyDescent="0.25">
      <c r="A52" s="1" t="s">
        <v>407</v>
      </c>
      <c r="B52" s="5" t="e">
        <f>COUNTIF([2]!SAMPLE3C[CATEGORY_1],"*"&amp;A52&amp;"*")+COUNTIF([2]!SAMPLE3C[CATEGORY_2],"*"&amp;A52&amp;"*")+COUNTIF([2]!SAMPLE3C[CATEGORY_3],"*"&amp;A52&amp;"*")+COUNTIF([2]!SAMPLE3C[CATEGORY_4],"*"&amp;A52&amp;"*")+COUNTIF([2]!SAMPLE3C[CATEGORY_5],"*"&amp;A52&amp;"*")</f>
        <v>#REF!</v>
      </c>
      <c r="C52" s="5">
        <v>50</v>
      </c>
    </row>
    <row r="53" spans="1:3" ht="15.75" customHeight="1" x14ac:dyDescent="0.25">
      <c r="A53" s="1" t="s">
        <v>408</v>
      </c>
      <c r="B53" s="5" t="e">
        <f>COUNTIF([2]!SAMPLE3C[CATEGORY_1],"*"&amp;A53&amp;"*")+COUNTIF([2]!SAMPLE3C[CATEGORY_2],"*"&amp;A53&amp;"*")+COUNTIF([2]!SAMPLE3C[CATEGORY_3],"*"&amp;A53&amp;"*")+COUNTIF([2]!SAMPLE3C[CATEGORY_4],"*"&amp;A53&amp;"*")+COUNTIF([2]!SAMPLE3C[CATEGORY_5],"*"&amp;A53&amp;"*")</f>
        <v>#REF!</v>
      </c>
      <c r="C53" s="5">
        <v>4</v>
      </c>
    </row>
    <row r="54" spans="1:3" ht="15.75" customHeight="1" x14ac:dyDescent="0.25">
      <c r="A54" s="1" t="s">
        <v>409</v>
      </c>
      <c r="B54" s="5" t="e">
        <f>COUNTIF([2]!SAMPLE3C[CATEGORY_1],"*"&amp;A54&amp;"*")+COUNTIF([2]!SAMPLE3C[CATEGORY_2],"*"&amp;A54&amp;"*")+COUNTIF([2]!SAMPLE3C[CATEGORY_3],"*"&amp;A54&amp;"*")+COUNTIF([2]!SAMPLE3C[CATEGORY_4],"*"&amp;A54&amp;"*")+COUNTIF([2]!SAMPLE3C[CATEGORY_5],"*"&amp;A54&amp;"*")</f>
        <v>#REF!</v>
      </c>
      <c r="C54" s="5">
        <v>3</v>
      </c>
    </row>
    <row r="55" spans="1:3" ht="15.75" customHeight="1" x14ac:dyDescent="0.25">
      <c r="A55" s="1" t="s">
        <v>410</v>
      </c>
      <c r="B55" s="5" t="e">
        <f>COUNTIF([2]!SAMPLE3C[CATEGORY_1],"*"&amp;A55&amp;"*")+COUNTIF([2]!SAMPLE3C[CATEGORY_2],"*"&amp;A55&amp;"*")+COUNTIF([2]!SAMPLE3C[CATEGORY_3],"*"&amp;A55&amp;"*")+COUNTIF([2]!SAMPLE3C[CATEGORY_4],"*"&amp;A55&amp;"*")+COUNTIF([2]!SAMPLE3C[CATEGORY_5],"*"&amp;A55&amp;"*")</f>
        <v>#REF!</v>
      </c>
      <c r="C55" s="5">
        <v>80</v>
      </c>
    </row>
    <row r="56" spans="1:3" ht="15.75" customHeight="1" x14ac:dyDescent="0.25">
      <c r="A56" s="1" t="s">
        <v>411</v>
      </c>
      <c r="B56" s="5" t="e">
        <f>COUNTIF([2]!SAMPLE3C[CATEGORY_1],"*"&amp;A56&amp;"*")+COUNTIF([2]!SAMPLE3C[CATEGORY_2],"*"&amp;A56&amp;"*")+COUNTIF([2]!SAMPLE3C[CATEGORY_3],"*"&amp;A56&amp;"*")+COUNTIF([2]!SAMPLE3C[CATEGORY_4],"*"&amp;A56&amp;"*")+COUNTIF([2]!SAMPLE3C[CATEGORY_5],"*"&amp;A56&amp;"*")</f>
        <v>#REF!</v>
      </c>
      <c r="C56" s="5">
        <v>35</v>
      </c>
    </row>
    <row r="57" spans="1:3" ht="15.75" customHeight="1" x14ac:dyDescent="0.25">
      <c r="A57" s="1" t="s">
        <v>412</v>
      </c>
      <c r="B57" s="5" t="e">
        <f>COUNTIF([2]!SAMPLE3C[CATEGORY_1],"*"&amp;A57&amp;"*")+COUNTIF([2]!SAMPLE3C[CATEGORY_2],"*"&amp;A57&amp;"*")+COUNTIF([2]!SAMPLE3C[CATEGORY_3],"*"&amp;A57&amp;"*")+COUNTIF([2]!SAMPLE3C[CATEGORY_4],"*"&amp;A57&amp;"*")+COUNTIF([2]!SAMPLE3C[CATEGORY_5],"*"&amp;A57&amp;"*")</f>
        <v>#REF!</v>
      </c>
      <c r="C57" s="5">
        <v>1</v>
      </c>
    </row>
    <row r="58" spans="1:3" ht="15.75" customHeight="1" x14ac:dyDescent="0.25">
      <c r="A58" s="1" t="s">
        <v>413</v>
      </c>
      <c r="B58" s="5" t="e">
        <f>COUNTIF([2]!SAMPLE3C[CATEGORY_1],"*"&amp;A58&amp;"*")+COUNTIF([2]!SAMPLE3C[CATEGORY_2],"*"&amp;A58&amp;"*")+COUNTIF([2]!SAMPLE3C[CATEGORY_3],"*"&amp;A58&amp;"*")+COUNTIF([2]!SAMPLE3C[CATEGORY_4],"*"&amp;A58&amp;"*")+COUNTIF([2]!SAMPLE3C[CATEGORY_5],"*"&amp;A58&amp;"*")</f>
        <v>#REF!</v>
      </c>
      <c r="C58" s="5">
        <v>2</v>
      </c>
    </row>
    <row r="59" spans="1:3" ht="15.75" customHeight="1" x14ac:dyDescent="0.25">
      <c r="A59" s="1" t="s">
        <v>414</v>
      </c>
      <c r="B59" s="5" t="e">
        <f>COUNTIF([2]!SAMPLE3C[CATEGORY_1],"*"&amp;A59&amp;"*")+COUNTIF([2]!SAMPLE3C[CATEGORY_2],"*"&amp;A59&amp;"*")+COUNTIF([2]!SAMPLE3C[CATEGORY_3],"*"&amp;A59&amp;"*")+COUNTIF([2]!SAMPLE3C[CATEGORY_4],"*"&amp;A59&amp;"*")+COUNTIF([2]!SAMPLE3C[CATEGORY_5],"*"&amp;A59&amp;"*")</f>
        <v>#REF!</v>
      </c>
      <c r="C59" s="5">
        <v>43</v>
      </c>
    </row>
    <row r="60" spans="1:3" ht="15.75" customHeight="1" x14ac:dyDescent="0.25">
      <c r="A60" s="1" t="s">
        <v>415</v>
      </c>
      <c r="B60" s="5" t="e">
        <f>COUNTIF([2]!SAMPLE3C[CATEGORY_1],"*"&amp;A60&amp;"*")+COUNTIF([2]!SAMPLE3C[CATEGORY_2],"*"&amp;A60&amp;"*")+COUNTIF([2]!SAMPLE3C[CATEGORY_3],"*"&amp;A60&amp;"*")+COUNTIF([2]!SAMPLE3C[CATEGORY_4],"*"&amp;A60&amp;"*")+COUNTIF([2]!SAMPLE3C[CATEGORY_5],"*"&amp;A60&amp;"*")</f>
        <v>#REF!</v>
      </c>
      <c r="C60" s="5">
        <v>15</v>
      </c>
    </row>
    <row r="61" spans="1:3" ht="15.75" customHeight="1" x14ac:dyDescent="0.25">
      <c r="A61" s="1" t="s">
        <v>416</v>
      </c>
      <c r="B61" s="5" t="e">
        <f>COUNTIF([2]!SAMPLE3C[CATEGORY_1],"*"&amp;A61&amp;"*")+COUNTIF([2]!SAMPLE3C[CATEGORY_2],"*"&amp;A61&amp;"*")+COUNTIF([2]!SAMPLE3C[CATEGORY_3],"*"&amp;A61&amp;"*")+COUNTIF([2]!SAMPLE3C[CATEGORY_4],"*"&amp;A61&amp;"*")+COUNTIF([2]!SAMPLE3C[CATEGORY_5],"*"&amp;A61&amp;"*")</f>
        <v>#REF!</v>
      </c>
      <c r="C61" s="5">
        <v>541</v>
      </c>
    </row>
    <row r="62" spans="1:3" ht="15.75" customHeight="1" x14ac:dyDescent="0.25">
      <c r="A62" s="1" t="s">
        <v>417</v>
      </c>
      <c r="B62" s="5" t="e">
        <f>COUNTIF([2]!SAMPLE3C[CATEGORY_1],"*"&amp;A62&amp;"*")+COUNTIF([2]!SAMPLE3C[CATEGORY_2],"*"&amp;A62&amp;"*")+COUNTIF([2]!SAMPLE3C[CATEGORY_3],"*"&amp;A62&amp;"*")+COUNTIF([2]!SAMPLE3C[CATEGORY_4],"*"&amp;A62&amp;"*")+COUNTIF([2]!SAMPLE3C[CATEGORY_5],"*"&amp;A62&amp;"*")</f>
        <v>#REF!</v>
      </c>
      <c r="C62" s="5">
        <v>48</v>
      </c>
    </row>
    <row r="63" spans="1:3" ht="15.75" customHeight="1" x14ac:dyDescent="0.25">
      <c r="A63" s="1" t="s">
        <v>418</v>
      </c>
      <c r="B63" s="5" t="e">
        <f>COUNTIF([2]!SAMPLE3C[CATEGORY_1],"*"&amp;A63&amp;"*")+COUNTIF([2]!SAMPLE3C[CATEGORY_2],"*"&amp;A63&amp;"*")+COUNTIF([2]!SAMPLE3C[CATEGORY_3],"*"&amp;A63&amp;"*")+COUNTIF([2]!SAMPLE3C[CATEGORY_4],"*"&amp;A63&amp;"*")+COUNTIF([2]!SAMPLE3C[CATEGORY_5],"*"&amp;A63&amp;"*")</f>
        <v>#REF!</v>
      </c>
      <c r="C63" s="5">
        <v>63</v>
      </c>
    </row>
    <row r="64" spans="1:3" ht="15.75" customHeight="1" x14ac:dyDescent="0.25">
      <c r="A64" s="1" t="s">
        <v>419</v>
      </c>
      <c r="B64" s="5" t="e">
        <f>COUNTIF([2]!SAMPLE3C[CATEGORY_1],"*"&amp;A64&amp;"*")+COUNTIF([2]!SAMPLE3C[CATEGORY_2],"*"&amp;A64&amp;"*")+COUNTIF([2]!SAMPLE3C[CATEGORY_3],"*"&amp;A64&amp;"*")+COUNTIF([2]!SAMPLE3C[CATEGORY_4],"*"&amp;A64&amp;"*")+COUNTIF([2]!SAMPLE3C[CATEGORY_5],"*"&amp;A64&amp;"*")</f>
        <v>#REF!</v>
      </c>
      <c r="C64" s="5">
        <v>13</v>
      </c>
    </row>
    <row r="65" spans="1:3" ht="15.75" customHeight="1" x14ac:dyDescent="0.25">
      <c r="A65" s="1" t="s">
        <v>420</v>
      </c>
      <c r="B65" s="5" t="e">
        <f>COUNTIF([2]!SAMPLE3C[CATEGORY_1],"*"&amp;A65&amp;"*")+COUNTIF([2]!SAMPLE3C[CATEGORY_2],"*"&amp;A65&amp;"*")+COUNTIF([2]!SAMPLE3C[CATEGORY_3],"*"&amp;A65&amp;"*")+COUNTIF([2]!SAMPLE3C[CATEGORY_4],"*"&amp;A65&amp;"*")+COUNTIF([2]!SAMPLE3C[CATEGORY_5],"*"&amp;A65&amp;"*")</f>
        <v>#REF!</v>
      </c>
      <c r="C65" s="5">
        <v>72</v>
      </c>
    </row>
    <row r="66" spans="1:3" ht="15.75" customHeight="1" x14ac:dyDescent="0.25">
      <c r="A66" s="1" t="s">
        <v>421</v>
      </c>
      <c r="B66" s="5" t="e">
        <f>COUNTIF([2]!SAMPLE3C[CATEGORY_1],"*"&amp;A66&amp;"*")+COUNTIF([2]!SAMPLE3C[CATEGORY_2],"*"&amp;A66&amp;"*")+COUNTIF([2]!SAMPLE3C[CATEGORY_3],"*"&amp;A66&amp;"*")+COUNTIF([2]!SAMPLE3C[CATEGORY_4],"*"&amp;A66&amp;"*")+COUNTIF([2]!SAMPLE3C[CATEGORY_5],"*"&amp;A66&amp;"*")</f>
        <v>#REF!</v>
      </c>
      <c r="C66" s="5">
        <v>3</v>
      </c>
    </row>
    <row r="67" spans="1:3" ht="15.75" customHeight="1" x14ac:dyDescent="0.25">
      <c r="A67" s="1" t="s">
        <v>422</v>
      </c>
      <c r="B67" s="5" t="e">
        <f>COUNTIF([2]!SAMPLE3C[CATEGORY_1],"*"&amp;A67&amp;"*")+COUNTIF([2]!SAMPLE3C[CATEGORY_2],"*"&amp;A67&amp;"*")+COUNTIF([2]!SAMPLE3C[CATEGORY_3],"*"&amp;A67&amp;"*")+COUNTIF([2]!SAMPLE3C[CATEGORY_4],"*"&amp;A67&amp;"*")+COUNTIF([2]!SAMPLE3C[CATEGORY_5],"*"&amp;A67&amp;"*")</f>
        <v>#REF!</v>
      </c>
      <c r="C67" s="5">
        <v>18</v>
      </c>
    </row>
    <row r="68" spans="1:3" ht="15.75" customHeight="1" x14ac:dyDescent="0.25">
      <c r="A68" s="1" t="s">
        <v>423</v>
      </c>
      <c r="B68" s="5" t="e">
        <f>COUNTIF([2]!SAMPLE3C[CATEGORY_1],"*"&amp;A68&amp;"*")+COUNTIF([2]!SAMPLE3C[CATEGORY_2],"*"&amp;A68&amp;"*")+COUNTIF([2]!SAMPLE3C[CATEGORY_3],"*"&amp;A68&amp;"*")+COUNTIF([2]!SAMPLE3C[CATEGORY_4],"*"&amp;A68&amp;"*")+COUNTIF([2]!SAMPLE3C[CATEGORY_5],"*"&amp;A68&amp;"*")</f>
        <v>#REF!</v>
      </c>
      <c r="C68" s="5">
        <v>2</v>
      </c>
    </row>
    <row r="69" spans="1:3" ht="15.75" customHeight="1" x14ac:dyDescent="0.25">
      <c r="A69" s="1" t="s">
        <v>424</v>
      </c>
      <c r="B69" s="5" t="e">
        <f>COUNTIF([2]!SAMPLE3C[CATEGORY_1],"*"&amp;A69&amp;"*")+COUNTIF([2]!SAMPLE3C[CATEGORY_2],"*"&amp;A69&amp;"*")+COUNTIF([2]!SAMPLE3C[CATEGORY_3],"*"&amp;A69&amp;"*")+COUNTIF([2]!SAMPLE3C[CATEGORY_4],"*"&amp;A69&amp;"*")+COUNTIF([2]!SAMPLE3C[CATEGORY_5],"*"&amp;A69&amp;"*")</f>
        <v>#REF!</v>
      </c>
      <c r="C69" s="5">
        <v>4</v>
      </c>
    </row>
    <row r="70" spans="1:3" ht="15.75" customHeight="1" x14ac:dyDescent="0.25">
      <c r="A70" s="1" t="s">
        <v>425</v>
      </c>
      <c r="B70" s="5" t="e">
        <f>COUNTIF([2]!SAMPLE3C[CATEGORY_1],"*"&amp;A70&amp;"*")+COUNTIF([2]!SAMPLE3C[CATEGORY_2],"*"&amp;A70&amp;"*")+COUNTIF([2]!SAMPLE3C[CATEGORY_3],"*"&amp;A70&amp;"*")+COUNTIF([2]!SAMPLE3C[CATEGORY_4],"*"&amp;A70&amp;"*")+COUNTIF([2]!SAMPLE3C[CATEGORY_5],"*"&amp;A70&amp;"*")</f>
        <v>#REF!</v>
      </c>
      <c r="C70" s="5">
        <v>56</v>
      </c>
    </row>
    <row r="71" spans="1:3" ht="15.75" customHeight="1" x14ac:dyDescent="0.25">
      <c r="A71" s="1" t="s">
        <v>426</v>
      </c>
      <c r="B71" s="5" t="e">
        <f>COUNTIF([2]!SAMPLE3C[CATEGORY_1],"*"&amp;A71&amp;"*")+COUNTIF([2]!SAMPLE3C[CATEGORY_2],"*"&amp;A71&amp;"*")+COUNTIF([2]!SAMPLE3C[CATEGORY_3],"*"&amp;A71&amp;"*")+COUNTIF([2]!SAMPLE3C[CATEGORY_4],"*"&amp;A71&amp;"*")+COUNTIF([2]!SAMPLE3C[CATEGORY_5],"*"&amp;A71&amp;"*")</f>
        <v>#REF!</v>
      </c>
      <c r="C71" s="5">
        <v>1</v>
      </c>
    </row>
    <row r="72" spans="1:3" ht="15.75" customHeight="1" x14ac:dyDescent="0.25">
      <c r="A72" s="1" t="s">
        <v>427</v>
      </c>
      <c r="B72" s="5" t="e">
        <f>COUNTIF([2]!SAMPLE3C[CATEGORY_1],"*"&amp;A72&amp;"*")+COUNTIF([2]!SAMPLE3C[CATEGORY_2],"*"&amp;A72&amp;"*")+COUNTIF([2]!SAMPLE3C[CATEGORY_3],"*"&amp;A72&amp;"*")+COUNTIF([2]!SAMPLE3C[CATEGORY_4],"*"&amp;A72&amp;"*")+COUNTIF([2]!SAMPLE3C[CATEGORY_5],"*"&amp;A72&amp;"*")</f>
        <v>#REF!</v>
      </c>
      <c r="C72" s="5">
        <v>6</v>
      </c>
    </row>
    <row r="73" spans="1:3" ht="15.75" customHeight="1" x14ac:dyDescent="0.25">
      <c r="A73" s="1" t="s">
        <v>428</v>
      </c>
      <c r="B73" s="5" t="e">
        <f>COUNTIF([2]!SAMPLE3C[CATEGORY_1],"*"&amp;A73&amp;"*")+COUNTIF([2]!SAMPLE3C[CATEGORY_2],"*"&amp;A73&amp;"*")+COUNTIF([2]!SAMPLE3C[CATEGORY_3],"*"&amp;A73&amp;"*")+COUNTIF([2]!SAMPLE3C[CATEGORY_4],"*"&amp;A73&amp;"*")+COUNTIF([2]!SAMPLE3C[CATEGORY_5],"*"&amp;A73&amp;"*")</f>
        <v>#REF!</v>
      </c>
      <c r="C73" s="5">
        <v>1</v>
      </c>
    </row>
    <row r="74" spans="1:3" ht="15.75" customHeight="1" x14ac:dyDescent="0.25">
      <c r="A74" s="1" t="s">
        <v>429</v>
      </c>
      <c r="B74" s="5" t="e">
        <f>COUNTIF([2]!SAMPLE3C[CATEGORY_1],"*"&amp;A74&amp;"*")+COUNTIF([2]!SAMPLE3C[CATEGORY_2],"*"&amp;A74&amp;"*")+COUNTIF([2]!SAMPLE3C[CATEGORY_3],"*"&amp;A74&amp;"*")+COUNTIF([2]!SAMPLE3C[CATEGORY_4],"*"&amp;A74&amp;"*")+COUNTIF([2]!SAMPLE3C[CATEGORY_5],"*"&amp;A74&amp;"*")</f>
        <v>#REF!</v>
      </c>
      <c r="C74" s="5">
        <v>3</v>
      </c>
    </row>
    <row r="75" spans="1:3" ht="15.75" customHeight="1" x14ac:dyDescent="0.25">
      <c r="A75" s="1" t="s">
        <v>430</v>
      </c>
      <c r="B75" s="5" t="e">
        <f>COUNTIF([2]!SAMPLE3C[CATEGORY_1],"*"&amp;A75&amp;"*")+COUNTIF([2]!SAMPLE3C[CATEGORY_2],"*"&amp;A75&amp;"*")+COUNTIF([2]!SAMPLE3C[CATEGORY_3],"*"&amp;A75&amp;"*")+COUNTIF([2]!SAMPLE3C[CATEGORY_4],"*"&amp;A75&amp;"*")+COUNTIF([2]!SAMPLE3C[CATEGORY_5],"*"&amp;A75&amp;"*")</f>
        <v>#REF!</v>
      </c>
      <c r="C75" s="5">
        <v>1</v>
      </c>
    </row>
    <row r="76" spans="1:3" ht="15.75" customHeight="1" x14ac:dyDescent="0.25">
      <c r="A76" s="1" t="s">
        <v>431</v>
      </c>
      <c r="B76" s="5" t="e">
        <f>COUNTIF([2]!SAMPLE3C[CATEGORY_1],"*"&amp;A76&amp;"*")+COUNTIF([2]!SAMPLE3C[CATEGORY_2],"*"&amp;A76&amp;"*")+COUNTIF([2]!SAMPLE3C[CATEGORY_3],"*"&amp;A76&amp;"*")+COUNTIF([2]!SAMPLE3C[CATEGORY_4],"*"&amp;A76&amp;"*")+COUNTIF([2]!SAMPLE3C[CATEGORY_5],"*"&amp;A76&amp;"*")</f>
        <v>#REF!</v>
      </c>
      <c r="C76" s="5">
        <v>1</v>
      </c>
    </row>
    <row r="77" spans="1:3" ht="15.75" customHeight="1" x14ac:dyDescent="0.25">
      <c r="A77" s="1" t="s">
        <v>432</v>
      </c>
      <c r="B77" s="5" t="e">
        <f>COUNTIF([2]!SAMPLE3C[CATEGORY_1],"*"&amp;A77&amp;"*")+COUNTIF([2]!SAMPLE3C[CATEGORY_2],"*"&amp;A77&amp;"*")+COUNTIF([2]!SAMPLE3C[CATEGORY_3],"*"&amp;A77&amp;"*")+COUNTIF([2]!SAMPLE3C[CATEGORY_4],"*"&amp;A77&amp;"*")+COUNTIF([2]!SAMPLE3C[CATEGORY_5],"*"&amp;A77&amp;"*")</f>
        <v>#REF!</v>
      </c>
      <c r="C77" s="5">
        <v>97</v>
      </c>
    </row>
    <row r="78" spans="1:3" ht="15.75" customHeight="1" x14ac:dyDescent="0.25">
      <c r="A78" s="1" t="s">
        <v>433</v>
      </c>
      <c r="B78" s="5" t="e">
        <f>COUNTIF([2]!SAMPLE3C[CATEGORY_1],"*"&amp;A78&amp;"*")+COUNTIF([2]!SAMPLE3C[CATEGORY_2],"*"&amp;A78&amp;"*")+COUNTIF([2]!SAMPLE3C[CATEGORY_3],"*"&amp;A78&amp;"*")+COUNTIF([2]!SAMPLE3C[CATEGORY_4],"*"&amp;A78&amp;"*")+COUNTIF([2]!SAMPLE3C[CATEGORY_5],"*"&amp;A78&amp;"*")</f>
        <v>#REF!</v>
      </c>
      <c r="C78" s="5">
        <v>1</v>
      </c>
    </row>
    <row r="79" spans="1:3" ht="15.75" customHeight="1" x14ac:dyDescent="0.25">
      <c r="A79" s="1" t="s">
        <v>434</v>
      </c>
      <c r="B79" s="5" t="e">
        <f>COUNTIF([2]!SAMPLE3C[CATEGORY_1],"*"&amp;A79&amp;"*")+COUNTIF([2]!SAMPLE3C[CATEGORY_2],"*"&amp;A79&amp;"*")+COUNTIF([2]!SAMPLE3C[CATEGORY_3],"*"&amp;A79&amp;"*")+COUNTIF([2]!SAMPLE3C[CATEGORY_4],"*"&amp;A79&amp;"*")+COUNTIF([2]!SAMPLE3C[CATEGORY_5],"*"&amp;A79&amp;"*")</f>
        <v>#REF!</v>
      </c>
      <c r="C79" s="5">
        <v>2</v>
      </c>
    </row>
    <row r="80" spans="1:3" ht="15.75" customHeight="1" x14ac:dyDescent="0.25">
      <c r="A80" s="1" t="s">
        <v>435</v>
      </c>
      <c r="B80" s="5" t="e">
        <f>COUNTIF([2]!SAMPLE3C[CATEGORY_1],"*"&amp;A80&amp;"*")+COUNTIF([2]!SAMPLE3C[CATEGORY_2],"*"&amp;A80&amp;"*")+COUNTIF([2]!SAMPLE3C[CATEGORY_3],"*"&amp;A80&amp;"*")+COUNTIF([2]!SAMPLE3C[CATEGORY_4],"*"&amp;A80&amp;"*")+COUNTIF([2]!SAMPLE3C[CATEGORY_5],"*"&amp;A80&amp;"*")</f>
        <v>#REF!</v>
      </c>
      <c r="C80" s="5">
        <v>26</v>
      </c>
    </row>
    <row r="81" spans="1:3" ht="15.75" customHeight="1" x14ac:dyDescent="0.25">
      <c r="A81" s="1" t="s">
        <v>436</v>
      </c>
      <c r="B81" s="5" t="e">
        <f>COUNTIF([2]!SAMPLE3C[CATEGORY_1],"*"&amp;A81&amp;"*")+COUNTIF([2]!SAMPLE3C[CATEGORY_2],"*"&amp;A81&amp;"*")+COUNTIF([2]!SAMPLE3C[CATEGORY_3],"*"&amp;A81&amp;"*")+COUNTIF([2]!SAMPLE3C[CATEGORY_4],"*"&amp;A81&amp;"*")+COUNTIF([2]!SAMPLE3C[CATEGORY_5],"*"&amp;A81&amp;"*")</f>
        <v>#REF!</v>
      </c>
      <c r="C81" s="5">
        <v>34</v>
      </c>
    </row>
    <row r="82" spans="1:3" ht="15.75" customHeight="1" x14ac:dyDescent="0.25">
      <c r="A82" s="1" t="s">
        <v>437</v>
      </c>
      <c r="B82" s="5" t="e">
        <f>COUNTIF([2]!SAMPLE3C[CATEGORY_1],"*"&amp;A82&amp;"*")+COUNTIF([2]!SAMPLE3C[CATEGORY_2],"*"&amp;A82&amp;"*")+COUNTIF([2]!SAMPLE3C[CATEGORY_3],"*"&amp;A82&amp;"*")+COUNTIF([2]!SAMPLE3C[CATEGORY_4],"*"&amp;A82&amp;"*")+COUNTIF([2]!SAMPLE3C[CATEGORY_5],"*"&amp;A82&amp;"*")</f>
        <v>#REF!</v>
      </c>
      <c r="C82" s="5">
        <v>3</v>
      </c>
    </row>
    <row r="83" spans="1:3" ht="15.75" customHeight="1" x14ac:dyDescent="0.25">
      <c r="A83" s="1" t="s">
        <v>438</v>
      </c>
      <c r="B83" s="5" t="e">
        <f>COUNTIF([2]!SAMPLE3C[CATEGORY_1],"*"&amp;A83&amp;"*")+COUNTIF([2]!SAMPLE3C[CATEGORY_2],"*"&amp;A83&amp;"*")+COUNTIF([2]!SAMPLE3C[CATEGORY_3],"*"&amp;A83&amp;"*")+COUNTIF([2]!SAMPLE3C[CATEGORY_4],"*"&amp;A83&amp;"*")+COUNTIF([2]!SAMPLE3C[CATEGORY_5],"*"&amp;A83&amp;"*")</f>
        <v>#REF!</v>
      </c>
      <c r="C83" s="5">
        <v>42</v>
      </c>
    </row>
    <row r="84" spans="1:3" ht="15.75" customHeight="1" x14ac:dyDescent="0.25">
      <c r="A84" s="1" t="s">
        <v>439</v>
      </c>
      <c r="B84" s="5" t="e">
        <f>COUNTIF([2]!SAMPLE3C[CATEGORY_1],"*"&amp;A84&amp;"*")+COUNTIF([2]!SAMPLE3C[CATEGORY_2],"*"&amp;A84&amp;"*")+COUNTIF([2]!SAMPLE3C[CATEGORY_3],"*"&amp;A84&amp;"*")+COUNTIF([2]!SAMPLE3C[CATEGORY_4],"*"&amp;A84&amp;"*")+COUNTIF([2]!SAMPLE3C[CATEGORY_5],"*"&amp;A84&amp;"*")</f>
        <v>#REF!</v>
      </c>
      <c r="C84" s="5">
        <v>5</v>
      </c>
    </row>
    <row r="85" spans="1:3" ht="15.75" customHeight="1" x14ac:dyDescent="0.25">
      <c r="A85" s="1" t="s">
        <v>440</v>
      </c>
      <c r="B85" s="5" t="e">
        <f>COUNTIF([2]!SAMPLE3C[CATEGORY_1],"*"&amp;A85&amp;"*")+COUNTIF([2]!SAMPLE3C[CATEGORY_2],"*"&amp;A85&amp;"*")+COUNTIF([2]!SAMPLE3C[CATEGORY_3],"*"&amp;A85&amp;"*")+COUNTIF([2]!SAMPLE3C[CATEGORY_4],"*"&amp;A85&amp;"*")+COUNTIF([2]!SAMPLE3C[CATEGORY_5],"*"&amp;A85&amp;"*")</f>
        <v>#REF!</v>
      </c>
      <c r="C85" s="5">
        <v>44</v>
      </c>
    </row>
    <row r="86" spans="1:3" ht="15.75" customHeight="1" x14ac:dyDescent="0.25">
      <c r="A86" s="1" t="s">
        <v>441</v>
      </c>
      <c r="B86" s="5" t="e">
        <f>COUNTIF([2]!SAMPLE3C[CATEGORY_1],"*"&amp;A86&amp;"*")+COUNTIF([2]!SAMPLE3C[CATEGORY_2],"*"&amp;A86&amp;"*")+COUNTIF([2]!SAMPLE3C[CATEGORY_3],"*"&amp;A86&amp;"*")+COUNTIF([2]!SAMPLE3C[CATEGORY_4],"*"&amp;A86&amp;"*")+COUNTIF([2]!SAMPLE3C[CATEGORY_5],"*"&amp;A86&amp;"*")</f>
        <v>#REF!</v>
      </c>
      <c r="C86" s="5">
        <v>4</v>
      </c>
    </row>
    <row r="87" spans="1:3" ht="15.75" customHeight="1" x14ac:dyDescent="0.25">
      <c r="A87" s="1" t="s">
        <v>442</v>
      </c>
      <c r="B87" s="5" t="e">
        <f>COUNTIF([2]!SAMPLE3C[CATEGORY_1],"*"&amp;A87&amp;"*")+COUNTIF([2]!SAMPLE3C[CATEGORY_2],"*"&amp;A87&amp;"*")+COUNTIF([2]!SAMPLE3C[CATEGORY_3],"*"&amp;A87&amp;"*")+COUNTIF([2]!SAMPLE3C[CATEGORY_4],"*"&amp;A87&amp;"*")+COUNTIF([2]!SAMPLE3C[CATEGORY_5],"*"&amp;A87&amp;"*")</f>
        <v>#REF!</v>
      </c>
      <c r="C87" s="5">
        <v>2</v>
      </c>
    </row>
    <row r="88" spans="1:3" ht="15.75" customHeight="1" x14ac:dyDescent="0.25">
      <c r="A88" s="1" t="s">
        <v>443</v>
      </c>
      <c r="B88" s="5" t="e">
        <f>COUNTIF([2]!SAMPLE3C[CATEGORY_1],"*"&amp;A88&amp;"*")+COUNTIF([2]!SAMPLE3C[CATEGORY_2],"*"&amp;A88&amp;"*")+COUNTIF([2]!SAMPLE3C[CATEGORY_3],"*"&amp;A88&amp;"*")+COUNTIF([2]!SAMPLE3C[CATEGORY_4],"*"&amp;A88&amp;"*")+COUNTIF([2]!SAMPLE3C[CATEGORY_5],"*"&amp;A88&amp;"*")</f>
        <v>#REF!</v>
      </c>
      <c r="C88" s="5">
        <v>13</v>
      </c>
    </row>
    <row r="89" spans="1:3" ht="15.75" customHeight="1" x14ac:dyDescent="0.25">
      <c r="A89" s="1" t="s">
        <v>444</v>
      </c>
      <c r="B89" s="5" t="e">
        <f>COUNTIF([2]!SAMPLE3C[CATEGORY_1],"*"&amp;A89&amp;"*")+COUNTIF([2]!SAMPLE3C[CATEGORY_2],"*"&amp;A89&amp;"*")+COUNTIF([2]!SAMPLE3C[CATEGORY_3],"*"&amp;A89&amp;"*")+COUNTIF([2]!SAMPLE3C[CATEGORY_4],"*"&amp;A89&amp;"*")+COUNTIF([2]!SAMPLE3C[CATEGORY_5],"*"&amp;A89&amp;"*")</f>
        <v>#REF!</v>
      </c>
      <c r="C89" s="5">
        <v>46</v>
      </c>
    </row>
    <row r="90" spans="1:3" ht="15.75" customHeight="1" x14ac:dyDescent="0.25">
      <c r="A90" s="1" t="s">
        <v>445</v>
      </c>
      <c r="B90" s="5" t="e">
        <f>COUNTIF([2]!SAMPLE3C[CATEGORY_1],"*"&amp;A90&amp;"*")+COUNTIF([2]!SAMPLE3C[CATEGORY_2],"*"&amp;A90&amp;"*")+COUNTIF([2]!SAMPLE3C[CATEGORY_3],"*"&amp;A90&amp;"*")+COUNTIF([2]!SAMPLE3C[CATEGORY_4],"*"&amp;A90&amp;"*")+COUNTIF([2]!SAMPLE3C[CATEGORY_5],"*"&amp;A90&amp;"*")</f>
        <v>#REF!</v>
      </c>
      <c r="C90" s="5">
        <v>57</v>
      </c>
    </row>
    <row r="91" spans="1:3" ht="15.75" customHeight="1" x14ac:dyDescent="0.25">
      <c r="A91" s="1" t="s">
        <v>446</v>
      </c>
      <c r="B91" s="5" t="e">
        <f>COUNTIF([2]!SAMPLE3C[CATEGORY_1],"*"&amp;A91&amp;"*")+COUNTIF([2]!SAMPLE3C[CATEGORY_2],"*"&amp;A91&amp;"*")+COUNTIF([2]!SAMPLE3C[CATEGORY_3],"*"&amp;A91&amp;"*")+COUNTIF([2]!SAMPLE3C[CATEGORY_4],"*"&amp;A91&amp;"*")+COUNTIF([2]!SAMPLE3C[CATEGORY_5],"*"&amp;A91&amp;"*")</f>
        <v>#REF!</v>
      </c>
      <c r="C91" s="5">
        <v>28</v>
      </c>
    </row>
    <row r="92" spans="1:3" ht="15.75" customHeight="1" x14ac:dyDescent="0.25">
      <c r="A92" s="1" t="s">
        <v>447</v>
      </c>
      <c r="B92" s="5" t="e">
        <f>COUNTIF([2]!SAMPLE3C[CATEGORY_1],"*"&amp;A92&amp;"*")+COUNTIF([2]!SAMPLE3C[CATEGORY_2],"*"&amp;A92&amp;"*")+COUNTIF([2]!SAMPLE3C[CATEGORY_3],"*"&amp;A92&amp;"*")+COUNTIF([2]!SAMPLE3C[CATEGORY_4],"*"&amp;A92&amp;"*")+COUNTIF([2]!SAMPLE3C[CATEGORY_5],"*"&amp;A92&amp;"*")</f>
        <v>#REF!</v>
      </c>
      <c r="C92" s="5">
        <v>4</v>
      </c>
    </row>
    <row r="93" spans="1:3" ht="15.75" customHeight="1" x14ac:dyDescent="0.25">
      <c r="A93" s="1" t="s">
        <v>448</v>
      </c>
      <c r="B93" s="5" t="e">
        <f>COUNTIF([2]!SAMPLE3C[CATEGORY_1],"*"&amp;A93&amp;"*")+COUNTIF([2]!SAMPLE3C[CATEGORY_2],"*"&amp;A93&amp;"*")+COUNTIF([2]!SAMPLE3C[CATEGORY_3],"*"&amp;A93&amp;"*")+COUNTIF([2]!SAMPLE3C[CATEGORY_4],"*"&amp;A93&amp;"*")+COUNTIF([2]!SAMPLE3C[CATEGORY_5],"*"&amp;A93&amp;"*")</f>
        <v>#REF!</v>
      </c>
      <c r="C93" s="5">
        <v>57</v>
      </c>
    </row>
    <row r="94" spans="1:3" ht="15.75" customHeight="1" x14ac:dyDescent="0.25">
      <c r="A94" s="1" t="s">
        <v>449</v>
      </c>
      <c r="B94" s="5" t="e">
        <f>COUNTIF([2]!SAMPLE3C[CATEGORY_1],"*"&amp;A94&amp;"*")+COUNTIF([2]!SAMPLE3C[CATEGORY_2],"*"&amp;A94&amp;"*")+COUNTIF([2]!SAMPLE3C[CATEGORY_3],"*"&amp;A94&amp;"*")+COUNTIF([2]!SAMPLE3C[CATEGORY_4],"*"&amp;A94&amp;"*")+COUNTIF([2]!SAMPLE3C[CATEGORY_5],"*"&amp;A94&amp;"*")</f>
        <v>#REF!</v>
      </c>
      <c r="C94" s="5">
        <v>1</v>
      </c>
    </row>
    <row r="95" spans="1:3" ht="15.75" customHeight="1" x14ac:dyDescent="0.25">
      <c r="A95" s="1" t="s">
        <v>450</v>
      </c>
      <c r="B95" s="5" t="e">
        <f>COUNTIF([2]!SAMPLE3C[CATEGORY_1],"*"&amp;A95&amp;"*")+COUNTIF([2]!SAMPLE3C[CATEGORY_2],"*"&amp;A95&amp;"*")+COUNTIF([2]!SAMPLE3C[CATEGORY_3],"*"&amp;A95&amp;"*")+COUNTIF([2]!SAMPLE3C[CATEGORY_4],"*"&amp;A95&amp;"*")+COUNTIF([2]!SAMPLE3C[CATEGORY_5],"*"&amp;A95&amp;"*")</f>
        <v>#REF!</v>
      </c>
      <c r="C95" s="5">
        <v>6</v>
      </c>
    </row>
    <row r="96" spans="1:3" ht="15.75" customHeight="1" x14ac:dyDescent="0.25">
      <c r="A96" s="1" t="s">
        <v>451</v>
      </c>
      <c r="B96" s="5" t="e">
        <f>COUNTIF([2]!SAMPLE3C[CATEGORY_1],"*"&amp;A96&amp;"*")+COUNTIF([2]!SAMPLE3C[CATEGORY_2],"*"&amp;A96&amp;"*")+COUNTIF([2]!SAMPLE3C[CATEGORY_3],"*"&amp;A96&amp;"*")+COUNTIF([2]!SAMPLE3C[CATEGORY_4],"*"&amp;A96&amp;"*")+COUNTIF([2]!SAMPLE3C[CATEGORY_5],"*"&amp;A96&amp;"*")</f>
        <v>#REF!</v>
      </c>
      <c r="C96" s="5">
        <v>10</v>
      </c>
    </row>
    <row r="97" spans="1:3" ht="15.75" customHeight="1" x14ac:dyDescent="0.25">
      <c r="A97" s="1" t="s">
        <v>452</v>
      </c>
      <c r="B97" s="5" t="e">
        <f>COUNTIF([2]!SAMPLE3C[CATEGORY_1],"*"&amp;A97&amp;"*")+COUNTIF([2]!SAMPLE3C[CATEGORY_2],"*"&amp;A97&amp;"*")+COUNTIF([2]!SAMPLE3C[CATEGORY_3],"*"&amp;A97&amp;"*")+COUNTIF([2]!SAMPLE3C[CATEGORY_4],"*"&amp;A97&amp;"*")+COUNTIF([2]!SAMPLE3C[CATEGORY_5],"*"&amp;A97&amp;"*")</f>
        <v>#REF!</v>
      </c>
      <c r="C97" s="5">
        <v>11</v>
      </c>
    </row>
    <row r="98" spans="1:3" ht="15.75" customHeight="1" x14ac:dyDescent="0.25">
      <c r="A98" s="1" t="s">
        <v>453</v>
      </c>
      <c r="B98" s="5" t="e">
        <f>COUNTIF([2]!SAMPLE3C[CATEGORY_1],"*"&amp;A98&amp;"*")+COUNTIF([2]!SAMPLE3C[CATEGORY_2],"*"&amp;A98&amp;"*")+COUNTIF([2]!SAMPLE3C[CATEGORY_3],"*"&amp;A98&amp;"*")+COUNTIF([2]!SAMPLE3C[CATEGORY_4],"*"&amp;A98&amp;"*")+COUNTIF([2]!SAMPLE3C[CATEGORY_5],"*"&amp;A98&amp;"*")</f>
        <v>#REF!</v>
      </c>
      <c r="C98" s="5">
        <v>2</v>
      </c>
    </row>
    <row r="99" spans="1:3" ht="15.75" customHeight="1" x14ac:dyDescent="0.25">
      <c r="A99" s="1" t="s">
        <v>454</v>
      </c>
      <c r="B99" s="5" t="e">
        <f>COUNTIF([2]!SAMPLE3C[CATEGORY_1],"*"&amp;A99&amp;"*")+COUNTIF([2]!SAMPLE3C[CATEGORY_2],"*"&amp;A99&amp;"*")+COUNTIF([2]!SAMPLE3C[CATEGORY_3],"*"&amp;A99&amp;"*")+COUNTIF([2]!SAMPLE3C[CATEGORY_4],"*"&amp;A99&amp;"*")+COUNTIF([2]!SAMPLE3C[CATEGORY_5],"*"&amp;A99&amp;"*")</f>
        <v>#REF!</v>
      </c>
      <c r="C99" s="5">
        <v>2</v>
      </c>
    </row>
    <row r="100" spans="1:3" ht="15.75" customHeight="1" x14ac:dyDescent="0.25">
      <c r="A100" s="1" t="s">
        <v>455</v>
      </c>
      <c r="B100" s="5" t="e">
        <f>COUNTIF([2]!SAMPLE3C[CATEGORY_1],"*"&amp;A100&amp;"*")+COUNTIF([2]!SAMPLE3C[CATEGORY_2],"*"&amp;A100&amp;"*")+COUNTIF([2]!SAMPLE3C[CATEGORY_3],"*"&amp;A100&amp;"*")+COUNTIF([2]!SAMPLE3C[CATEGORY_4],"*"&amp;A100&amp;"*")+COUNTIF([2]!SAMPLE3C[CATEGORY_5],"*"&amp;A100&amp;"*")</f>
        <v>#REF!</v>
      </c>
      <c r="C100" s="5">
        <v>1</v>
      </c>
    </row>
    <row r="101" spans="1:3" ht="15.75" customHeight="1" x14ac:dyDescent="0.25">
      <c r="A101" s="1" t="s">
        <v>456</v>
      </c>
      <c r="B101" s="5" t="e">
        <f>COUNTIF([2]!SAMPLE3C[CATEGORY_1],"*"&amp;A101&amp;"*")+COUNTIF([2]!SAMPLE3C[CATEGORY_2],"*"&amp;A101&amp;"*")+COUNTIF([2]!SAMPLE3C[CATEGORY_3],"*"&amp;A101&amp;"*")+COUNTIF([2]!SAMPLE3C[CATEGORY_4],"*"&amp;A101&amp;"*")+COUNTIF([2]!SAMPLE3C[CATEGORY_5],"*"&amp;A101&amp;"*")</f>
        <v>#REF!</v>
      </c>
      <c r="C101" s="5">
        <v>29</v>
      </c>
    </row>
    <row r="102" spans="1:3" ht="15.75" customHeight="1" x14ac:dyDescent="0.25">
      <c r="A102" s="1" t="s">
        <v>457</v>
      </c>
      <c r="B102" s="5" t="e">
        <f>COUNTIF([2]!SAMPLE3C[CATEGORY_1],"*"&amp;A102&amp;"*")+COUNTIF([2]!SAMPLE3C[CATEGORY_2],"*"&amp;A102&amp;"*")+COUNTIF([2]!SAMPLE3C[CATEGORY_3],"*"&amp;A102&amp;"*")+COUNTIF([2]!SAMPLE3C[CATEGORY_4],"*"&amp;A102&amp;"*")+COUNTIF([2]!SAMPLE3C[CATEGORY_5],"*"&amp;A102&amp;"*")</f>
        <v>#REF!</v>
      </c>
      <c r="C102" s="5">
        <v>3</v>
      </c>
    </row>
    <row r="103" spans="1:3" ht="15.75" customHeight="1" x14ac:dyDescent="0.25">
      <c r="A103" s="1" t="s">
        <v>458</v>
      </c>
      <c r="B103" s="5" t="e">
        <f>COUNTIF([2]!SAMPLE3C[CATEGORY_1],"*"&amp;A103&amp;"*")+COUNTIF([2]!SAMPLE3C[CATEGORY_2],"*"&amp;A103&amp;"*")+COUNTIF([2]!SAMPLE3C[CATEGORY_3],"*"&amp;A103&amp;"*")+COUNTIF([2]!SAMPLE3C[CATEGORY_4],"*"&amp;A103&amp;"*")+COUNTIF([2]!SAMPLE3C[CATEGORY_5],"*"&amp;A103&amp;"*")</f>
        <v>#REF!</v>
      </c>
      <c r="C103" s="5">
        <v>12</v>
      </c>
    </row>
    <row r="104" spans="1:3" ht="15.75" customHeight="1" x14ac:dyDescent="0.25">
      <c r="A104" s="1" t="s">
        <v>459</v>
      </c>
      <c r="B104" s="5" t="e">
        <f>COUNTIF([2]!SAMPLE3C[CATEGORY_1],"*"&amp;A104&amp;"*")+COUNTIF([2]!SAMPLE3C[CATEGORY_2],"*"&amp;A104&amp;"*")+COUNTIF([2]!SAMPLE3C[CATEGORY_3],"*"&amp;A104&amp;"*")+COUNTIF([2]!SAMPLE3C[CATEGORY_4],"*"&amp;A104&amp;"*")+COUNTIF([2]!SAMPLE3C[CATEGORY_5],"*"&amp;A104&amp;"*")</f>
        <v>#REF!</v>
      </c>
      <c r="C104" s="5">
        <v>31</v>
      </c>
    </row>
    <row r="105" spans="1:3" ht="15.75" customHeight="1" x14ac:dyDescent="0.25">
      <c r="A105" s="1" t="s">
        <v>460</v>
      </c>
      <c r="B105" s="5" t="e">
        <f>COUNTIF([2]!SAMPLE3C[CATEGORY_1],"*"&amp;A105&amp;"*")+COUNTIF([2]!SAMPLE3C[CATEGORY_2],"*"&amp;A105&amp;"*")+COUNTIF([2]!SAMPLE3C[CATEGORY_3],"*"&amp;A105&amp;"*")+COUNTIF([2]!SAMPLE3C[CATEGORY_4],"*"&amp;A105&amp;"*")+COUNTIF([2]!SAMPLE3C[CATEGORY_5],"*"&amp;A105&amp;"*")</f>
        <v>#REF!</v>
      </c>
      <c r="C105" s="5">
        <v>2</v>
      </c>
    </row>
    <row r="106" spans="1:3" ht="15.75" customHeight="1" x14ac:dyDescent="0.25">
      <c r="A106" s="1" t="s">
        <v>461</v>
      </c>
      <c r="B106" s="5" t="e">
        <f>COUNTIF([2]!SAMPLE3C[CATEGORY_1],"*"&amp;A106&amp;"*")+COUNTIF([2]!SAMPLE3C[CATEGORY_2],"*"&amp;A106&amp;"*")+COUNTIF([2]!SAMPLE3C[CATEGORY_3],"*"&amp;A106&amp;"*")+COUNTIF([2]!SAMPLE3C[CATEGORY_4],"*"&amp;A106&amp;"*")+COUNTIF([2]!SAMPLE3C[CATEGORY_5],"*"&amp;A106&amp;"*")</f>
        <v>#REF!</v>
      </c>
      <c r="C106" s="5">
        <v>2</v>
      </c>
    </row>
    <row r="107" spans="1:3" ht="15.75" customHeight="1" x14ac:dyDescent="0.25">
      <c r="A107" s="1" t="s">
        <v>462</v>
      </c>
      <c r="B107" s="5" t="e">
        <f>COUNTIF([2]!SAMPLE3C[CATEGORY_1],"*"&amp;A107&amp;"*")+COUNTIF([2]!SAMPLE3C[CATEGORY_2],"*"&amp;A107&amp;"*")+COUNTIF([2]!SAMPLE3C[CATEGORY_3],"*"&amp;A107&amp;"*")+COUNTIF([2]!SAMPLE3C[CATEGORY_4],"*"&amp;A107&amp;"*")+COUNTIF([2]!SAMPLE3C[CATEGORY_5],"*"&amp;A107&amp;"*")</f>
        <v>#REF!</v>
      </c>
      <c r="C107" s="5">
        <v>10</v>
      </c>
    </row>
    <row r="108" spans="1:3" ht="15.75" customHeight="1" x14ac:dyDescent="0.25">
      <c r="A108" s="1" t="s">
        <v>463</v>
      </c>
      <c r="B108" s="5" t="e">
        <f>COUNTIF([2]!SAMPLE3C[CATEGORY_1],"*"&amp;A108&amp;"*")+COUNTIF([2]!SAMPLE3C[CATEGORY_2],"*"&amp;A108&amp;"*")+COUNTIF([2]!SAMPLE3C[CATEGORY_3],"*"&amp;A108&amp;"*")+COUNTIF([2]!SAMPLE3C[CATEGORY_4],"*"&amp;A108&amp;"*")+COUNTIF([2]!SAMPLE3C[CATEGORY_5],"*"&amp;A108&amp;"*")</f>
        <v>#REF!</v>
      </c>
      <c r="C108" s="5">
        <v>6</v>
      </c>
    </row>
    <row r="109" spans="1:3" ht="15.75" customHeight="1" x14ac:dyDescent="0.25">
      <c r="A109" s="1" t="s">
        <v>464</v>
      </c>
      <c r="B109" s="5" t="e">
        <f>COUNTIF([2]!SAMPLE3C[CATEGORY_1],"*"&amp;A109&amp;"*")+COUNTIF([2]!SAMPLE3C[CATEGORY_2],"*"&amp;A109&amp;"*")+COUNTIF([2]!SAMPLE3C[CATEGORY_3],"*"&amp;A109&amp;"*")+COUNTIF([2]!SAMPLE3C[CATEGORY_4],"*"&amp;A109&amp;"*")+COUNTIF([2]!SAMPLE3C[CATEGORY_5],"*"&amp;A109&amp;"*")</f>
        <v>#REF!</v>
      </c>
      <c r="C109" s="5">
        <v>3</v>
      </c>
    </row>
    <row r="110" spans="1:3" ht="15.75" customHeight="1" x14ac:dyDescent="0.25">
      <c r="A110" s="1" t="s">
        <v>465</v>
      </c>
      <c r="B110" s="5" t="e">
        <f>COUNTIF([2]!SAMPLE3C[CATEGORY_1],"*"&amp;A110&amp;"*")+COUNTIF([2]!SAMPLE3C[CATEGORY_2],"*"&amp;A110&amp;"*")+COUNTIF([2]!SAMPLE3C[CATEGORY_3],"*"&amp;A110&amp;"*")+COUNTIF([2]!SAMPLE3C[CATEGORY_4],"*"&amp;A110&amp;"*")+COUNTIF([2]!SAMPLE3C[CATEGORY_5],"*"&amp;A110&amp;"*")</f>
        <v>#REF!</v>
      </c>
      <c r="C110" s="5">
        <v>3</v>
      </c>
    </row>
    <row r="111" spans="1:3" ht="15.75" customHeight="1" x14ac:dyDescent="0.25">
      <c r="A111" s="1" t="s">
        <v>466</v>
      </c>
      <c r="B111" s="5" t="e">
        <f>COUNTIF([2]!SAMPLE3C[CATEGORY_1],"*"&amp;A111&amp;"*")+COUNTIF([2]!SAMPLE3C[CATEGORY_2],"*"&amp;A111&amp;"*")+COUNTIF([2]!SAMPLE3C[CATEGORY_3],"*"&amp;A111&amp;"*")+COUNTIF([2]!SAMPLE3C[CATEGORY_4],"*"&amp;A111&amp;"*")+COUNTIF([2]!SAMPLE3C[CATEGORY_5],"*"&amp;A111&amp;"*")</f>
        <v>#REF!</v>
      </c>
      <c r="C111" s="5">
        <v>2</v>
      </c>
    </row>
    <row r="112" spans="1:3" ht="15.75" customHeight="1" x14ac:dyDescent="0.25">
      <c r="A112" s="1" t="s">
        <v>87</v>
      </c>
      <c r="B112" s="5" t="e">
        <f>COUNTIF([2]!SAMPLE3C[CATEGORY_1],"*"&amp;A112&amp;"*")+COUNTIF([2]!SAMPLE3C[CATEGORY_2],"*"&amp;A112&amp;"*")+COUNTIF([2]!SAMPLE3C[CATEGORY_3],"*"&amp;A112&amp;"*")+COUNTIF([2]!SAMPLE3C[CATEGORY_4],"*"&amp;A112&amp;"*")+COUNTIF([2]!SAMPLE3C[CATEGORY_5],"*"&amp;A112&amp;"*")</f>
        <v>#REF!</v>
      </c>
      <c r="C112" s="5">
        <v>19</v>
      </c>
    </row>
    <row r="113" spans="1:3" ht="15.75" customHeight="1" x14ac:dyDescent="0.25">
      <c r="A113" s="1" t="s">
        <v>467</v>
      </c>
      <c r="B113" s="5" t="e">
        <f>COUNTIF([2]!SAMPLE3C[CATEGORY_1],"*"&amp;A113&amp;"*")+COUNTIF([2]!SAMPLE3C[CATEGORY_2],"*"&amp;A113&amp;"*")+COUNTIF([2]!SAMPLE3C[CATEGORY_3],"*"&amp;A113&amp;"*")+COUNTIF([2]!SAMPLE3C[CATEGORY_4],"*"&amp;A113&amp;"*")+COUNTIF([2]!SAMPLE3C[CATEGORY_5],"*"&amp;A113&amp;"*")</f>
        <v>#REF!</v>
      </c>
      <c r="C113" s="5">
        <v>3</v>
      </c>
    </row>
    <row r="114" spans="1:3" ht="15.75" customHeight="1" x14ac:dyDescent="0.25">
      <c r="A114" s="1" t="s">
        <v>468</v>
      </c>
      <c r="B114" s="5" t="e">
        <f>COUNTIF([2]!SAMPLE3C[CATEGORY_1],"*"&amp;A114&amp;"*")+COUNTIF([2]!SAMPLE3C[CATEGORY_2],"*"&amp;A114&amp;"*")+COUNTIF([2]!SAMPLE3C[CATEGORY_3],"*"&amp;A114&amp;"*")+COUNTIF([2]!SAMPLE3C[CATEGORY_4],"*"&amp;A114&amp;"*")+COUNTIF([2]!SAMPLE3C[CATEGORY_5],"*"&amp;A114&amp;"*")</f>
        <v>#REF!</v>
      </c>
      <c r="C114" s="5">
        <v>1</v>
      </c>
    </row>
    <row r="115" spans="1:3" ht="15.75" customHeight="1" x14ac:dyDescent="0.25">
      <c r="A115" s="1" t="s">
        <v>469</v>
      </c>
      <c r="B115" s="5" t="e">
        <f>COUNTIF([2]!SAMPLE3C[CATEGORY_1],"*"&amp;A115&amp;"*")+COUNTIF([2]!SAMPLE3C[CATEGORY_2],"*"&amp;A115&amp;"*")+COUNTIF([2]!SAMPLE3C[CATEGORY_3],"*"&amp;A115&amp;"*")+COUNTIF([2]!SAMPLE3C[CATEGORY_4],"*"&amp;A115&amp;"*")+COUNTIF([2]!SAMPLE3C[CATEGORY_5],"*"&amp;A115&amp;"*")</f>
        <v>#REF!</v>
      </c>
      <c r="C115" s="5">
        <v>15</v>
      </c>
    </row>
    <row r="116" spans="1:3" ht="15.75" customHeight="1" x14ac:dyDescent="0.25">
      <c r="A116" s="1" t="s">
        <v>470</v>
      </c>
      <c r="B116" s="5" t="e">
        <f>COUNTIF([2]!SAMPLE3C[CATEGORY_1],"*"&amp;A116&amp;"*")+COUNTIF([2]!SAMPLE3C[CATEGORY_2],"*"&amp;A116&amp;"*")+COUNTIF([2]!SAMPLE3C[CATEGORY_3],"*"&amp;A116&amp;"*")+COUNTIF([2]!SAMPLE3C[CATEGORY_4],"*"&amp;A116&amp;"*")+COUNTIF([2]!SAMPLE3C[CATEGORY_5],"*"&amp;A116&amp;"*")</f>
        <v>#REF!</v>
      </c>
      <c r="C116" s="5">
        <v>1</v>
      </c>
    </row>
    <row r="117" spans="1:3" ht="15.75" customHeight="1" x14ac:dyDescent="0.25">
      <c r="A117" s="1" t="s">
        <v>471</v>
      </c>
      <c r="B117" s="5" t="e">
        <f>COUNTIF([2]!SAMPLE3C[CATEGORY_1],"*"&amp;A117&amp;"*")+COUNTIF([2]!SAMPLE3C[CATEGORY_2],"*"&amp;A117&amp;"*")+COUNTIF([2]!SAMPLE3C[CATEGORY_3],"*"&amp;A117&amp;"*")+COUNTIF([2]!SAMPLE3C[CATEGORY_4],"*"&amp;A117&amp;"*")+COUNTIF([2]!SAMPLE3C[CATEGORY_5],"*"&amp;A117&amp;"*")</f>
        <v>#REF!</v>
      </c>
      <c r="C117" s="5">
        <v>5</v>
      </c>
    </row>
    <row r="118" spans="1:3" ht="15.75" customHeight="1" x14ac:dyDescent="0.25">
      <c r="A118" s="1" t="s">
        <v>472</v>
      </c>
      <c r="B118" s="5" t="e">
        <f>COUNTIF([2]!SAMPLE3C[CATEGORY_1],"*"&amp;A118&amp;"*")+COUNTIF([2]!SAMPLE3C[CATEGORY_2],"*"&amp;A118&amp;"*")+COUNTIF([2]!SAMPLE3C[CATEGORY_3],"*"&amp;A118&amp;"*")+COUNTIF([2]!SAMPLE3C[CATEGORY_4],"*"&amp;A118&amp;"*")+COUNTIF([2]!SAMPLE3C[CATEGORY_5],"*"&amp;A118&amp;"*")</f>
        <v>#REF!</v>
      </c>
      <c r="C118" s="5">
        <v>1</v>
      </c>
    </row>
    <row r="119" spans="1:3" ht="15.75" customHeight="1" x14ac:dyDescent="0.25">
      <c r="A119" s="1" t="s">
        <v>473</v>
      </c>
      <c r="B119" s="5" t="e">
        <f>COUNTIF([2]!SAMPLE3C[CATEGORY_1],"*"&amp;A119&amp;"*")+COUNTIF([2]!SAMPLE3C[CATEGORY_2],"*"&amp;A119&amp;"*")+COUNTIF([2]!SAMPLE3C[CATEGORY_3],"*"&amp;A119&amp;"*")+COUNTIF([2]!SAMPLE3C[CATEGORY_4],"*"&amp;A119&amp;"*")+COUNTIF([2]!SAMPLE3C[CATEGORY_5],"*"&amp;A119&amp;"*")</f>
        <v>#REF!</v>
      </c>
      <c r="C119" s="5">
        <v>11</v>
      </c>
    </row>
    <row r="120" spans="1:3" ht="15.75" customHeight="1" x14ac:dyDescent="0.25">
      <c r="A120" s="1" t="s">
        <v>474</v>
      </c>
      <c r="B120" s="5" t="e">
        <f>COUNTIF([2]!SAMPLE3C[CATEGORY_1],"*"&amp;A120&amp;"*")+COUNTIF([2]!SAMPLE3C[CATEGORY_2],"*"&amp;A120&amp;"*")+COUNTIF([2]!SAMPLE3C[CATEGORY_3],"*"&amp;A120&amp;"*")+COUNTIF([2]!SAMPLE3C[CATEGORY_4],"*"&amp;A120&amp;"*")+COUNTIF([2]!SAMPLE3C[CATEGORY_5],"*"&amp;A120&amp;"*")</f>
        <v>#REF!</v>
      </c>
      <c r="C120" s="5">
        <v>1</v>
      </c>
    </row>
    <row r="121" spans="1:3" ht="15.75" customHeight="1" x14ac:dyDescent="0.25">
      <c r="A121" s="1" t="s">
        <v>475</v>
      </c>
      <c r="B121" s="5" t="e">
        <f>COUNTIF([2]!SAMPLE3C[CATEGORY_1],"*"&amp;A121&amp;"*")+COUNTIF([2]!SAMPLE3C[CATEGORY_2],"*"&amp;A121&amp;"*")+COUNTIF([2]!SAMPLE3C[CATEGORY_3],"*"&amp;A121&amp;"*")+COUNTIF([2]!SAMPLE3C[CATEGORY_4],"*"&amp;A121&amp;"*")+COUNTIF([2]!SAMPLE3C[CATEGORY_5],"*"&amp;A121&amp;"*")</f>
        <v>#REF!</v>
      </c>
      <c r="C121" s="5">
        <v>2</v>
      </c>
    </row>
    <row r="122" spans="1:3" ht="15.75" customHeight="1" x14ac:dyDescent="0.25">
      <c r="A122" s="1" t="s">
        <v>476</v>
      </c>
      <c r="B122" s="5" t="e">
        <f>COUNTIF([2]!SAMPLE3C[CATEGORY_1],"*"&amp;A122&amp;"*")+COUNTIF([2]!SAMPLE3C[CATEGORY_2],"*"&amp;A122&amp;"*")+COUNTIF([2]!SAMPLE3C[CATEGORY_3],"*"&amp;A122&amp;"*")+COUNTIF([2]!SAMPLE3C[CATEGORY_4],"*"&amp;A122&amp;"*")+COUNTIF([2]!SAMPLE3C[CATEGORY_5],"*"&amp;A122&amp;"*")</f>
        <v>#REF!</v>
      </c>
      <c r="C122" s="5">
        <v>52</v>
      </c>
    </row>
    <row r="123" spans="1:3" ht="15.75" customHeight="1" x14ac:dyDescent="0.25">
      <c r="A123" s="1" t="s">
        <v>477</v>
      </c>
      <c r="B123" s="5" t="e">
        <f>COUNTIF([2]!SAMPLE3C[CATEGORY_1],"*"&amp;A123&amp;"*")+COUNTIF([2]!SAMPLE3C[CATEGORY_2],"*"&amp;A123&amp;"*")+COUNTIF([2]!SAMPLE3C[CATEGORY_3],"*"&amp;A123&amp;"*")+COUNTIF([2]!SAMPLE3C[CATEGORY_4],"*"&amp;A123&amp;"*")+COUNTIF([2]!SAMPLE3C[CATEGORY_5],"*"&amp;A123&amp;"*")</f>
        <v>#REF!</v>
      </c>
      <c r="C123" s="5">
        <v>40</v>
      </c>
    </row>
    <row r="124" spans="1:3" ht="15.75" customHeight="1" x14ac:dyDescent="0.25">
      <c r="A124" s="1" t="s">
        <v>478</v>
      </c>
      <c r="B124" s="5" t="e">
        <f>COUNTIF([2]!SAMPLE3C[CATEGORY_1],"*"&amp;A124&amp;"*")+COUNTIF([2]!SAMPLE3C[CATEGORY_2],"*"&amp;A124&amp;"*")+COUNTIF([2]!SAMPLE3C[CATEGORY_3],"*"&amp;A124&amp;"*")+COUNTIF([2]!SAMPLE3C[CATEGORY_4],"*"&amp;A124&amp;"*")+COUNTIF([2]!SAMPLE3C[CATEGORY_5],"*"&amp;A124&amp;"*")</f>
        <v>#REF!</v>
      </c>
      <c r="C124" s="5">
        <v>5</v>
      </c>
    </row>
    <row r="125" spans="1:3" ht="15.75" customHeight="1" x14ac:dyDescent="0.25">
      <c r="A125" s="1" t="s">
        <v>479</v>
      </c>
      <c r="B125" s="5" t="e">
        <f>COUNTIF([2]!SAMPLE3C[CATEGORY_1],"*"&amp;A125&amp;"*")+COUNTIF([2]!SAMPLE3C[CATEGORY_2],"*"&amp;A125&amp;"*")+COUNTIF([2]!SAMPLE3C[CATEGORY_3],"*"&amp;A125&amp;"*")+COUNTIF([2]!SAMPLE3C[CATEGORY_4],"*"&amp;A125&amp;"*")+COUNTIF([2]!SAMPLE3C[CATEGORY_5],"*"&amp;A125&amp;"*")</f>
        <v>#REF!</v>
      </c>
      <c r="C125" s="5">
        <v>21</v>
      </c>
    </row>
    <row r="126" spans="1:3" ht="15.75" customHeight="1" x14ac:dyDescent="0.25"/>
    <row r="127" spans="1:3" ht="15.75" customHeight="1" x14ac:dyDescent="0.25"/>
    <row r="128" spans="1:3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D1000"/>
  <sheetViews>
    <sheetView workbookViewId="0">
      <selection activeCell="H21" sqref="H21"/>
    </sheetView>
  </sheetViews>
  <sheetFormatPr defaultColWidth="14.42578125" defaultRowHeight="15" customHeight="1" x14ac:dyDescent="0.25"/>
  <cols>
    <col min="1" max="1" width="16.140625" customWidth="1"/>
    <col min="2" max="2" width="16.5703125" customWidth="1"/>
    <col min="3" max="3" width="14.42578125" hidden="1" customWidth="1"/>
    <col min="4" max="4" width="9.85546875" style="5" bestFit="1" customWidth="1"/>
    <col min="5" max="26" width="8.7109375" customWidth="1"/>
  </cols>
  <sheetData>
    <row r="1" spans="1:4" x14ac:dyDescent="0.25">
      <c r="A1" s="3" t="s">
        <v>188</v>
      </c>
      <c r="B1" s="3" t="s">
        <v>524</v>
      </c>
      <c r="C1" s="4" t="s">
        <v>768</v>
      </c>
      <c r="D1" s="4" t="s">
        <v>767</v>
      </c>
    </row>
    <row r="2" spans="1:4" x14ac:dyDescent="0.25">
      <c r="A2" s="2" t="s">
        <v>480</v>
      </c>
      <c r="B2" s="1" t="str">
        <f ca="1">IFERROR(__xludf.DUMMYFUNCTION("GOOGLETRANSLATE(A89,""auto"",""en"")"),"bistro")</f>
        <v>bistro</v>
      </c>
      <c r="C2" s="5" t="e">
        <f>COUNTIF([3]SAMPLE4C!$R:$R,"*"&amp;A2&amp;"*")</f>
        <v>#VALUE!</v>
      </c>
      <c r="D2" s="5">
        <v>1</v>
      </c>
    </row>
    <row r="3" spans="1:4" x14ac:dyDescent="0.25">
      <c r="A3" s="3" t="s">
        <v>739</v>
      </c>
      <c r="B3" s="1" t="str">
        <f ca="1">IFERROR(__xludf.DUMMYFUNCTION("GOOGLETRANSLATE(A2,""auto"",""en"")"),"duck")</f>
        <v>duck</v>
      </c>
      <c r="C3" s="5" t="e">
        <f>COUNTIF([3]SAMPLE4C!$R:$R,"*"&amp;A3&amp;"*")</f>
        <v>#VALUE!</v>
      </c>
      <c r="D3" s="5">
        <v>1</v>
      </c>
    </row>
    <row r="4" spans="1:4" x14ac:dyDescent="0.25">
      <c r="A4" s="1" t="s">
        <v>719</v>
      </c>
      <c r="B4" s="1" t="str">
        <f ca="1">IFERROR(__xludf.DUMMYFUNCTION("GOOGLETRANSLATE(A3,""auto"",""en"")"),"juice")</f>
        <v>juice</v>
      </c>
      <c r="C4" s="5" t="e">
        <f>COUNTIF([3]SAMPLE4C!$R:$R,"*"&amp;A4&amp;"*")</f>
        <v>#VALUE!</v>
      </c>
      <c r="D4" s="5">
        <v>1</v>
      </c>
    </row>
    <row r="5" spans="1:4" x14ac:dyDescent="0.25">
      <c r="A5" s="2" t="s">
        <v>481</v>
      </c>
      <c r="B5" s="1" t="str">
        <f ca="1">IFERROR(__xludf.DUMMYFUNCTION("GOOGLETRANSLATE(A90,""auto"",""en"")"),"milkshake")</f>
        <v>milkshake</v>
      </c>
      <c r="C5" s="5" t="e">
        <f>COUNTIF([3]SAMPLE4C!$R:$R,"*"&amp;A5&amp;"*")</f>
        <v>#VALUE!</v>
      </c>
      <c r="D5" s="5">
        <v>1</v>
      </c>
    </row>
    <row r="6" spans="1:4" x14ac:dyDescent="0.25">
      <c r="A6" s="1" t="s">
        <v>754</v>
      </c>
      <c r="B6" s="1" t="str">
        <f ca="1">IFERROR(__xludf.DUMMYFUNCTION("GOOGLETRANSLATE(A4,""auto"",""en"")"),"softdrinks")</f>
        <v>softdrinks</v>
      </c>
      <c r="C6" s="5" t="e">
        <f>COUNTIF([3]SAMPLE4C!$R:$R,"*"&amp;A6&amp;"*")</f>
        <v>#VALUE!</v>
      </c>
      <c r="D6" s="5">
        <v>0</v>
      </c>
    </row>
    <row r="7" spans="1:4" x14ac:dyDescent="0.25">
      <c r="A7" s="1" t="s">
        <v>482</v>
      </c>
      <c r="B7" s="1" t="str">
        <f ca="1">IFERROR(__xludf.DUMMYFUNCTION("GOOGLETRANSLATE(A5,""auto"",""en"")"),"ice")</f>
        <v>ice</v>
      </c>
      <c r="C7" s="5" t="e">
        <f>COUNTIF([3]SAMPLE4C!$R:$R,"*"&amp;A7&amp;"*")</f>
        <v>#VALUE!</v>
      </c>
      <c r="D7" s="5">
        <v>9</v>
      </c>
    </row>
    <row r="8" spans="1:4" x14ac:dyDescent="0.25">
      <c r="A8" s="1" t="s">
        <v>483</v>
      </c>
      <c r="B8" s="1" t="str">
        <f ca="1">IFERROR(__xludf.DUMMYFUNCTION("GOOGLETRANSLATE(A6,""auto"",""en"")"),"American")</f>
        <v>American</v>
      </c>
      <c r="C8" s="5" t="e">
        <f>COUNTIF([3]SAMPLE4C!$R:$R,"*"&amp;A8&amp;"*")</f>
        <v>#VALUE!</v>
      </c>
      <c r="D8" s="5">
        <v>20</v>
      </c>
    </row>
    <row r="9" spans="1:4" x14ac:dyDescent="0.25">
      <c r="A9" s="1" t="s">
        <v>193</v>
      </c>
      <c r="B9" s="1" t="str">
        <f ca="1">IFERROR(__xludf.DUMMYFUNCTION("GOOGLETRANSLATE(A7,""auto"",""en"")"),"Italian")</f>
        <v>Italian</v>
      </c>
      <c r="C9" s="5" t="e">
        <f>COUNTIF([3]SAMPLE4C!$R:$R,"*"&amp;A9&amp;"*")</f>
        <v>#VALUE!</v>
      </c>
      <c r="D9" s="5">
        <v>45</v>
      </c>
    </row>
    <row r="10" spans="1:4" x14ac:dyDescent="0.25">
      <c r="A10" s="1" t="s">
        <v>195</v>
      </c>
      <c r="B10" s="1" t="str">
        <f ca="1">IFERROR(__xludf.DUMMYFUNCTION("GOOGLETRANSLATE(A8,""auto"",""en"")"),"Indiancuisine")</f>
        <v>Indiancuisine</v>
      </c>
      <c r="C10" s="5" t="e">
        <f>COUNTIF([3]SAMPLE4C!$R:$R,"*"&amp;A10&amp;"*")</f>
        <v>#VALUE!</v>
      </c>
      <c r="D10" s="5">
        <v>38</v>
      </c>
    </row>
    <row r="11" spans="1:4" x14ac:dyDescent="0.25">
      <c r="A11" s="1" t="s">
        <v>484</v>
      </c>
      <c r="B11" s="1" t="str">
        <f ca="1">IFERROR(__xludf.DUMMYFUNCTION("GOOGLETRANSLATE(A9,""auto"",""en"")"),"Vegan")</f>
        <v>Vegan</v>
      </c>
      <c r="C11" s="5" t="e">
        <f>COUNTIF([3]SAMPLE4C!$R:$R,"*"&amp;A11&amp;"*")</f>
        <v>#VALUE!</v>
      </c>
      <c r="D11" s="5">
        <v>4</v>
      </c>
    </row>
    <row r="12" spans="1:4" x14ac:dyDescent="0.25">
      <c r="A12" s="1" t="s">
        <v>146</v>
      </c>
      <c r="B12" s="1" t="str">
        <f ca="1">IFERROR(__xludf.DUMMYFUNCTION("GOOGLETRANSLATE(A10,""auto"",""en"")"),"Udon")</f>
        <v>Udon</v>
      </c>
      <c r="C12" s="5" t="e">
        <f>COUNTIF([3]SAMPLE4C!$R:$R,"*"&amp;A12&amp;"*")</f>
        <v>#VALUE!</v>
      </c>
      <c r="D12" s="5">
        <v>10</v>
      </c>
    </row>
    <row r="13" spans="1:4" x14ac:dyDescent="0.25">
      <c r="A13" s="1" t="s">
        <v>151</v>
      </c>
      <c r="B13" s="1" t="str">
        <f ca="1">IFERROR(__xludf.DUMMYFUNCTION("GOOGLETRANSLATE(A11,""auto"",""en"")"),"eel")</f>
        <v>eel</v>
      </c>
      <c r="C13" s="5" t="e">
        <f>COUNTIF([3]SAMPLE4C!$R:$R,"*"&amp;A13&amp;"*")</f>
        <v>#VALUE!</v>
      </c>
      <c r="D13" s="5">
        <v>4</v>
      </c>
    </row>
    <row r="14" spans="1:4" x14ac:dyDescent="0.25">
      <c r="A14" s="1" t="s">
        <v>485</v>
      </c>
      <c r="B14" s="1" t="str">
        <f ca="1">IFERROR(__xludf.DUMMYFUNCTION("GOOGLETRANSLATE(A12,""auto"",""en"")"),"ethnic")</f>
        <v>ethnic</v>
      </c>
      <c r="C14" s="5" t="e">
        <f>COUNTIF([3]SAMPLE4C!$R:$R,"*"&amp;A14&amp;"*")</f>
        <v>#VALUE!</v>
      </c>
      <c r="D14" s="5">
        <v>17</v>
      </c>
    </row>
    <row r="15" spans="1:4" x14ac:dyDescent="0.25">
      <c r="A15" s="1" t="s">
        <v>198</v>
      </c>
      <c r="B15" s="1" t="str">
        <f ca="1">IFERROR(__xludf.DUMMYFUNCTION("GOOGLETRANSLATE(A13,""auto"",""en"")"),"riceball")</f>
        <v>riceball</v>
      </c>
      <c r="C15" s="5" t="e">
        <f>COUNTIF([3]SAMPLE4C!$R:$R,"*"&amp;A15&amp;"*")</f>
        <v>#VALUE!</v>
      </c>
      <c r="D15" s="5">
        <v>5</v>
      </c>
    </row>
    <row r="16" spans="1:4" x14ac:dyDescent="0.25">
      <c r="A16" s="1" t="s">
        <v>201</v>
      </c>
      <c r="B16" s="1" t="str">
        <f ca="1">IFERROR(__xludf.DUMMYFUNCTION("GOOGLETRANSLATE(A14,""auto"",""en"")"),"Okonomiyaki")</f>
        <v>Okonomiyaki</v>
      </c>
      <c r="C16" s="5" t="e">
        <f>COUNTIF([3]SAMPLE4C!$R:$R,"*"&amp;A16&amp;"*")</f>
        <v>#VALUE!</v>
      </c>
      <c r="D16" s="5">
        <v>31</v>
      </c>
    </row>
    <row r="17" spans="1:4" x14ac:dyDescent="0.25">
      <c r="A17" s="1" t="s">
        <v>486</v>
      </c>
      <c r="B17" s="1" t="str">
        <f ca="1">IFERROR(__xludf.DUMMYFUNCTION("GOOGLETRANSLATE(A15,""auto"",""en"")"),"Sushi")</f>
        <v>Sushi</v>
      </c>
      <c r="C17" s="5" t="e">
        <f>COUNTIF([3]SAMPLE4C!$R:$R,"*"&amp;A17&amp;"*")</f>
        <v>#VALUE!</v>
      </c>
      <c r="D17" s="5">
        <v>45</v>
      </c>
    </row>
    <row r="18" spans="1:4" x14ac:dyDescent="0.25">
      <c r="A18" s="1" t="s">
        <v>487</v>
      </c>
      <c r="B18" s="1" t="str">
        <f ca="1">IFERROR(__xludf.DUMMYFUNCTION("GOOGLETRANSLATE(A16,""auto"",""en"")"),"tea")</f>
        <v>tea</v>
      </c>
      <c r="C18" s="5" t="e">
        <f>COUNTIF([3]SAMPLE4C!$R:$R,"*"&amp;A18&amp;"*")</f>
        <v>#VALUE!</v>
      </c>
      <c r="D18" s="5">
        <v>5</v>
      </c>
    </row>
    <row r="19" spans="1:4" x14ac:dyDescent="0.25">
      <c r="A19" s="1" t="s">
        <v>488</v>
      </c>
      <c r="B19" s="1" t="str">
        <f ca="1">IFERROR(__xludf.DUMMYFUNCTION("GOOGLETRANSLATE(A17,""auto"",""en"")"),"sake")</f>
        <v>sake</v>
      </c>
      <c r="C19" s="5" t="e">
        <f>COUNTIF([3]SAMPLE4C!$R:$R,"*"&amp;A19&amp;"*")</f>
        <v>#VALUE!</v>
      </c>
      <c r="D19" s="5">
        <v>16</v>
      </c>
    </row>
    <row r="20" spans="1:4" x14ac:dyDescent="0.25">
      <c r="A20" s="1" t="s">
        <v>769</v>
      </c>
      <c r="B20" s="1" t="str">
        <f ca="1">IFERROR(__xludf.DUMMYFUNCTION("GOOGLETRANSLATE(A18,""auto"",""en"")"),"cupcake")</f>
        <v>cupcake</v>
      </c>
      <c r="C20" s="5" t="e">
        <f>COUNTIF([3]SAMPLE4C!$R:$R,"*"&amp;A20&amp;"*")</f>
        <v>#VALUE!</v>
      </c>
      <c r="D20" s="5">
        <v>1</v>
      </c>
    </row>
    <row r="21" spans="1:4" ht="15.75" customHeight="1" x14ac:dyDescent="0.25">
      <c r="A21" s="1" t="s">
        <v>205</v>
      </c>
      <c r="B21" s="1" t="str">
        <f ca="1">IFERROR(__xludf.DUMMYFUNCTION("GOOGLETRANSLATE(A19,""auto"",""en"")"),"Cafe")</f>
        <v>Cafe</v>
      </c>
      <c r="C21" s="5" t="e">
        <f>COUNTIF([3]SAMPLE4C!$R:$R,"*"&amp;A21&amp;"*")</f>
        <v>#VALUE!</v>
      </c>
      <c r="D21" s="5">
        <v>72</v>
      </c>
    </row>
    <row r="22" spans="1:4" ht="15.75" customHeight="1" x14ac:dyDescent="0.25">
      <c r="A22" s="1" t="s">
        <v>489</v>
      </c>
      <c r="B22" s="1" t="str">
        <f ca="1">IFERROR(__xludf.DUMMYFUNCTION("GOOGLETRANSLATE(A20,""auto"",""en"")"),"curry")</f>
        <v>curry</v>
      </c>
      <c r="C22" s="5" t="e">
        <f>COUNTIF([3]SAMPLE4C!$R:$R,"*"&amp;A22&amp;"*")</f>
        <v>#VALUE!</v>
      </c>
      <c r="D22" s="5">
        <v>163</v>
      </c>
    </row>
    <row r="23" spans="1:4" ht="15.75" customHeight="1" x14ac:dyDescent="0.25">
      <c r="A23" s="1" t="s">
        <v>490</v>
      </c>
      <c r="B23" s="1" t="str">
        <f ca="1">IFERROR(__xludf.DUMMYFUNCTION("GOOGLETRANSLATE(A21,""auto"",""en"")"),"grill")</f>
        <v>grill</v>
      </c>
      <c r="C23" s="5" t="e">
        <f>COUNTIF([3]SAMPLE4C!$R:$R,"*"&amp;A23&amp;"*")</f>
        <v>#VALUE!</v>
      </c>
      <c r="D23" s="5">
        <v>6</v>
      </c>
    </row>
    <row r="24" spans="1:4" ht="15.75" customHeight="1" x14ac:dyDescent="0.25">
      <c r="A24" s="1" t="s">
        <v>212</v>
      </c>
      <c r="B24" s="1" t="str">
        <f ca="1">IFERROR(__xludf.DUMMYFUNCTION("GOOGLETRANSLATE(A22,""auto"",""en"")"),"Crepe")</f>
        <v>Crepe</v>
      </c>
      <c r="C24" s="5" t="e">
        <f>COUNTIF([3]SAMPLE4C!$R:$R,"*"&amp;A24&amp;"*")</f>
        <v>#VALUE!</v>
      </c>
      <c r="D24" s="5">
        <v>10</v>
      </c>
    </row>
    <row r="25" spans="1:4" ht="15.75" customHeight="1" x14ac:dyDescent="0.25">
      <c r="A25" s="1" t="s">
        <v>213</v>
      </c>
      <c r="B25" s="1" t="str">
        <f ca="1">IFERROR(__xludf.DUMMYFUNCTION("GOOGLETRANSLATE(A23,""auto"",""en"")"),"cake")</f>
        <v>cake</v>
      </c>
      <c r="C25" s="5" t="e">
        <f>COUNTIF([3]SAMPLE4C!$R:$R,"*"&amp;A25&amp;"*")</f>
        <v>#VALUE!</v>
      </c>
      <c r="D25" s="5">
        <v>10</v>
      </c>
    </row>
    <row r="26" spans="1:4" ht="15.75" customHeight="1" x14ac:dyDescent="0.25">
      <c r="A26" s="1" t="s">
        <v>491</v>
      </c>
      <c r="B26" s="1" t="str">
        <f ca="1">IFERROR(__xludf.DUMMYFUNCTION("GOOGLETRANSLATE(A24,""auto"",""en"")"),"kebab")</f>
        <v>kebab</v>
      </c>
      <c r="C26" s="5" t="e">
        <f>COUNTIF([3]SAMPLE4C!$R:$R,"*"&amp;A26&amp;"*")</f>
        <v>#VALUE!</v>
      </c>
      <c r="D26" s="5">
        <v>4</v>
      </c>
    </row>
    <row r="27" spans="1:4" ht="15.75" customHeight="1" x14ac:dyDescent="0.25">
      <c r="A27" s="1" t="s">
        <v>492</v>
      </c>
      <c r="B27" s="1" t="str">
        <f ca="1">IFERROR(__xludf.DUMMYFUNCTION("GOOGLETRANSLATE(A25,""auto"",""en"")"),"coffee")</f>
        <v>coffee</v>
      </c>
      <c r="C27" s="5" t="e">
        <f>COUNTIF([3]SAMPLE4C!$R:$R,"*"&amp;A27&amp;"*")</f>
        <v>#VALUE!</v>
      </c>
      <c r="D27" s="5">
        <v>46</v>
      </c>
    </row>
    <row r="28" spans="1:4" ht="15.75" customHeight="1" x14ac:dyDescent="0.25">
      <c r="A28" s="1" t="s">
        <v>493</v>
      </c>
      <c r="B28" s="1" t="str">
        <f ca="1">IFERROR(__xludf.DUMMYFUNCTION("GOOGLETRANSLATE(A26,""auto"",""en"")"),"salad")</f>
        <v>salad</v>
      </c>
      <c r="C28" s="5" t="e">
        <f>COUNTIF([3]SAMPLE4C!$R:$R,"*"&amp;A28&amp;"*")</f>
        <v>#VALUE!</v>
      </c>
      <c r="D28" s="5">
        <v>50</v>
      </c>
    </row>
    <row r="29" spans="1:4" ht="15.75" customHeight="1" x14ac:dyDescent="0.25">
      <c r="A29" s="1" t="s">
        <v>216</v>
      </c>
      <c r="B29" s="1" t="str">
        <f ca="1">IFERROR(__xludf.DUMMYFUNCTION("GOOGLETRANSLATE(A27,""auto"",""en"")"),"sandwich")</f>
        <v>sandwich</v>
      </c>
      <c r="C29" s="5" t="e">
        <f>COUNTIF([3]SAMPLE4C!$R:$R,"*"&amp;A29&amp;"*")</f>
        <v>#VALUE!</v>
      </c>
      <c r="D29" s="5">
        <v>35</v>
      </c>
    </row>
    <row r="30" spans="1:4" ht="15.75" customHeight="1" x14ac:dyDescent="0.25">
      <c r="A30" s="1" t="s">
        <v>217</v>
      </c>
      <c r="B30" s="1" t="str">
        <f ca="1">IFERROR(__xludf.DUMMYFUNCTION("GOOGLETRANSLATE(A28,""auto"",""en"")"),"stew")</f>
        <v>stew</v>
      </c>
      <c r="C30" s="5" t="e">
        <f>COUNTIF([3]SAMPLE4C!$R:$R,"*"&amp;A30&amp;"*")</f>
        <v>#VALUE!</v>
      </c>
      <c r="D30" s="5">
        <v>1</v>
      </c>
    </row>
    <row r="31" spans="1:4" ht="15.75" customHeight="1" x14ac:dyDescent="0.25">
      <c r="A31" s="1" t="s">
        <v>494</v>
      </c>
      <c r="B31" s="1" t="str">
        <f ca="1">IFERROR(__xludf.DUMMYFUNCTION("GOOGLETRANSLATE(A29,""auto"",""en"")"),"sweets")</f>
        <v>sweets</v>
      </c>
      <c r="C31" s="5" t="e">
        <f>COUNTIF([3]SAMPLE4C!$R:$R,"*"&amp;A31&amp;"*")</f>
        <v>#VALUE!</v>
      </c>
      <c r="D31" s="5">
        <v>38</v>
      </c>
    </row>
    <row r="32" spans="1:4" ht="15.75" customHeight="1" x14ac:dyDescent="0.25">
      <c r="A32" s="1" t="s">
        <v>495</v>
      </c>
      <c r="B32" s="1" t="str">
        <f ca="1">IFERROR(__xludf.DUMMYFUNCTION("GOOGLETRANSLATE(A30,""auto"",""en"")"),"soup")</f>
        <v>soup</v>
      </c>
      <c r="C32" s="5" t="e">
        <f>COUNTIF([3]SAMPLE4C!$R:$R,"*"&amp;A32&amp;"*")</f>
        <v>#VALUE!</v>
      </c>
      <c r="D32" s="5">
        <v>33</v>
      </c>
    </row>
    <row r="33" spans="1:4" ht="15.75" customHeight="1" x14ac:dyDescent="0.25">
      <c r="A33" s="1" t="s">
        <v>223</v>
      </c>
      <c r="B33" s="1" t="str">
        <f ca="1">IFERROR(__xludf.DUMMYFUNCTION("GOOGLETRANSLATE(A31,""auto"",""en"")"),"SoupCurry")</f>
        <v>SoupCurry</v>
      </c>
      <c r="C33" s="5" t="e">
        <f>COUNTIF([3]SAMPLE4C!$R:$R,"*"&amp;A33&amp;"*")</f>
        <v>#VALUE!</v>
      </c>
      <c r="D33" s="5">
        <v>19</v>
      </c>
    </row>
    <row r="34" spans="1:4" ht="15.75" customHeight="1" x14ac:dyDescent="0.25">
      <c r="A34" s="1" t="s">
        <v>225</v>
      </c>
      <c r="B34" s="1" t="str">
        <f ca="1">IFERROR(__xludf.DUMMYFUNCTION("GOOGLETRANSLATE(A32,""auto"",""en"")"),"steak")</f>
        <v>steak</v>
      </c>
      <c r="C34" s="5" t="e">
        <f>COUNTIF([3]SAMPLE4C!$R:$R,"*"&amp;A34&amp;"*")</f>
        <v>#VALUE!</v>
      </c>
      <c r="D34" s="5">
        <v>39</v>
      </c>
    </row>
    <row r="35" spans="1:4" ht="15.75" customHeight="1" x14ac:dyDescent="0.25">
      <c r="A35" s="1" t="s">
        <v>496</v>
      </c>
      <c r="B35" s="1" t="str">
        <f ca="1">IFERROR(__xludf.DUMMYFUNCTION("GOOGLETRANSLATE(A33,""auto"",""en"")"),"Steakhouse")</f>
        <v>Steakhouse</v>
      </c>
      <c r="C35" s="5" t="e">
        <f>COUNTIF([3]SAMPLE4C!$R:$R,"*"&amp;A35&amp;"*")</f>
        <v>#VALUE!</v>
      </c>
      <c r="D35" s="5">
        <v>6</v>
      </c>
    </row>
    <row r="36" spans="1:4" ht="15.75" customHeight="1" x14ac:dyDescent="0.25">
      <c r="A36" s="2" t="s">
        <v>226</v>
      </c>
      <c r="B36" s="1" t="str">
        <f ca="1">IFERROR(__xludf.DUMMYFUNCTION("GOOGLETRANSLATE(A118,""auto"",""en"")"),"Spanish")</f>
        <v>Spanish</v>
      </c>
      <c r="C36" s="5" t="e">
        <f>COUNTIF([3]SAMPLE4C!$R:$R,"*"&amp;A36&amp;"*")</f>
        <v>#VALUE!</v>
      </c>
      <c r="D36" s="5">
        <v>1</v>
      </c>
    </row>
    <row r="37" spans="1:4" ht="15.75" customHeight="1" x14ac:dyDescent="0.25">
      <c r="A37" s="1" t="s">
        <v>497</v>
      </c>
      <c r="B37" s="1" t="str">
        <f ca="1">IFERROR(__xludf.DUMMYFUNCTION("GOOGLETRANSLATE(A34,""auto"",""en"")"),"Smoothie")</f>
        <v>Smoothie</v>
      </c>
      <c r="C37" s="5" t="e">
        <f>COUNTIF([3]SAMPLE4C!$R:$R,"*"&amp;A37&amp;"*")</f>
        <v>#VALUE!</v>
      </c>
      <c r="D37" s="5">
        <v>7</v>
      </c>
    </row>
    <row r="38" spans="1:4" ht="15.75" customHeight="1" x14ac:dyDescent="0.25">
      <c r="A38" s="1" t="s">
        <v>231</v>
      </c>
      <c r="B38" s="1" t="str">
        <f ca="1">IFERROR(__xludf.DUMMYFUNCTION("GOOGLETRANSLATE(A35,""auto"",""en"")"),"Soba")</f>
        <v>Soba</v>
      </c>
      <c r="C38" s="5" t="e">
        <f>COUNTIF([3]SAMPLE4C!$R:$R,"*"&amp;A38&amp;"*")</f>
        <v>#VALUE!</v>
      </c>
      <c r="D38" s="5">
        <v>19</v>
      </c>
    </row>
    <row r="39" spans="1:4" ht="15.75" customHeight="1" x14ac:dyDescent="0.25">
      <c r="A39" s="1" t="s">
        <v>236</v>
      </c>
      <c r="B39" s="1" t="str">
        <f ca="1">IFERROR(__xludf.DUMMYFUNCTION("GOOGLETRANSLATE(A36,""auto"",""en"")"),"Thaifood")</f>
        <v>Thaifood</v>
      </c>
      <c r="C39" s="5" t="e">
        <f>COUNTIF([3]SAMPLE4C!$R:$R,"*"&amp;A39&amp;"*")</f>
        <v>#VALUE!</v>
      </c>
      <c r="D39" s="5">
        <v>5</v>
      </c>
    </row>
    <row r="40" spans="1:4" ht="15.75" customHeight="1" x14ac:dyDescent="0.25">
      <c r="A40" s="1" t="s">
        <v>770</v>
      </c>
      <c r="B40" s="1" t="str">
        <f ca="1">IFERROR(__xludf.DUMMYFUNCTION("GOOGLETRANSLATE(A37,""auto"",""en"")"),"Taco")</f>
        <v>Taco</v>
      </c>
      <c r="C40" s="5" t="e">
        <f>COUNTIF([3]SAMPLE4C!$R:$R,"*"&amp;A40&amp;"*")</f>
        <v>#VALUE!</v>
      </c>
      <c r="D40" s="5">
        <v>6</v>
      </c>
    </row>
    <row r="41" spans="1:4" ht="15.75" customHeight="1" x14ac:dyDescent="0.25">
      <c r="A41" s="1" t="s">
        <v>498</v>
      </c>
      <c r="B41" s="1" t="str">
        <f ca="1">IFERROR(__xludf.DUMMYFUNCTION("GOOGLETRANSLATE(A38,""auto"",""en"")"),"tapioca")</f>
        <v>tapioca</v>
      </c>
      <c r="C41" s="5" t="e">
        <f>COUNTIF([3]SAMPLE4C!$R:$R,"*"&amp;A41&amp;"*")</f>
        <v>#VALUE!</v>
      </c>
      <c r="D41" s="5">
        <v>16</v>
      </c>
    </row>
    <row r="42" spans="1:4" ht="15.75" customHeight="1" x14ac:dyDescent="0.25">
      <c r="A42" s="1" t="s">
        <v>771</v>
      </c>
      <c r="B42" s="1" t="str">
        <f ca="1">IFERROR(__xludf.DUMMYFUNCTION("GOOGLETRANSLATE(A39,""auto"",""en"")"),"protein")</f>
        <v>protein</v>
      </c>
      <c r="C42" s="5" t="e">
        <f>COUNTIF([3]SAMPLE4C!$R:$R,"*"&amp;A42&amp;"*")</f>
        <v>#VALUE!</v>
      </c>
      <c r="D42" s="5">
        <v>1</v>
      </c>
    </row>
    <row r="43" spans="1:4" ht="15.75" customHeight="1" x14ac:dyDescent="0.25">
      <c r="A43" s="1" t="s">
        <v>241</v>
      </c>
      <c r="B43" s="1" t="str">
        <f ca="1">IFERROR(__xludf.DUMMYFUNCTION("GOOGLETRANSLATE(A40,""auto"",""en"")"),"tsukemen")</f>
        <v>tsukemen</v>
      </c>
      <c r="C43" s="5" t="e">
        <f>COUNTIF([3]SAMPLE4C!$R:$R,"*"&amp;A43&amp;"*")</f>
        <v>#VALUE!</v>
      </c>
      <c r="D43" s="5">
        <v>12</v>
      </c>
    </row>
    <row r="44" spans="1:4" ht="15.75" customHeight="1" x14ac:dyDescent="0.25">
      <c r="A44" s="1" t="s">
        <v>499</v>
      </c>
      <c r="B44" s="1" t="str">
        <f ca="1">IFERROR(__xludf.DUMMYFUNCTION("GOOGLETRANSLATE(A41,""auto"",""en"")"),"dessert")</f>
        <v>dessert</v>
      </c>
      <c r="C44" s="5" t="e">
        <f>COUNTIF([3]SAMPLE4C!$R:$R,"*"&amp;A44&amp;"*")</f>
        <v>#VALUE!</v>
      </c>
      <c r="D44" s="5">
        <v>63</v>
      </c>
    </row>
    <row r="45" spans="1:4" ht="15.75" customHeight="1" x14ac:dyDescent="0.25">
      <c r="A45" s="2" t="s">
        <v>244</v>
      </c>
      <c r="B45" s="1" t="str">
        <f ca="1">IFERROR(__xludf.DUMMYFUNCTION("GOOGLETRANSLATE(A125,""auto"",""en"")"),"donut")</f>
        <v>donut</v>
      </c>
      <c r="C45" s="5" t="e">
        <f>COUNTIF([3]SAMPLE4C!$R:$R,"*"&amp;A45&amp;"*")</f>
        <v>#VALUE!</v>
      </c>
      <c r="D45" s="5">
        <v>3</v>
      </c>
    </row>
    <row r="46" spans="1:4" ht="15.75" customHeight="1" x14ac:dyDescent="0.25">
      <c r="A46" s="1" t="s">
        <v>500</v>
      </c>
      <c r="B46" s="1" t="str">
        <f ca="1">IFERROR(__xludf.DUMMYFUNCTION("GOOGLETRANSLATE(A42,""auto"",""en"")"),"Drink")</f>
        <v>Drink</v>
      </c>
      <c r="C46" s="5" t="e">
        <f>COUNTIF([3]SAMPLE4C!$R:$R,"*"&amp;A46&amp;"*")</f>
        <v>#VALUE!</v>
      </c>
      <c r="D46" s="5">
        <v>35</v>
      </c>
    </row>
    <row r="47" spans="1:4" ht="15.75" customHeight="1" x14ac:dyDescent="0.25">
      <c r="A47" s="1" t="s">
        <v>772</v>
      </c>
      <c r="B47" s="1" t="str">
        <f ca="1">IFERROR(__xludf.DUMMYFUNCTION("GOOGLETRANSLATE(A43,""auto"",""en"")"),"Turkishcuisine")</f>
        <v>Turkishcuisine</v>
      </c>
      <c r="C47" s="5" t="e">
        <f>COUNTIF([3]SAMPLE4C!$R:$R,"*"&amp;A47&amp;"*")</f>
        <v>#VALUE!</v>
      </c>
      <c r="D47" s="5">
        <v>1</v>
      </c>
    </row>
    <row r="48" spans="1:4" ht="15.75" customHeight="1" x14ac:dyDescent="0.25">
      <c r="A48" s="1" t="s">
        <v>248</v>
      </c>
      <c r="B48" s="1" t="str">
        <f ca="1">IFERROR(__xludf.DUMMYFUNCTION("GOOGLETRANSLATE(A44,""auto"",""en"")"),"Nepalesecuisine")</f>
        <v>Nepalesecuisine</v>
      </c>
      <c r="C48" s="5" t="e">
        <f>COUNTIF([3]SAMPLE4C!$R:$R,"*"&amp;A48&amp;"*")</f>
        <v>#VALUE!</v>
      </c>
      <c r="D48" s="5">
        <v>5</v>
      </c>
    </row>
    <row r="49" spans="1:4" ht="15.75" customHeight="1" x14ac:dyDescent="0.25">
      <c r="A49" s="1" t="s">
        <v>254</v>
      </c>
      <c r="B49" s="1" t="str">
        <f ca="1">IFERROR(__xludf.DUMMYFUNCTION("GOOGLETRANSLATE(A45,""auto"",""en"")"),"pasta")</f>
        <v>pasta</v>
      </c>
      <c r="C49" s="5" t="e">
        <f>COUNTIF([3]SAMPLE4C!$R:$R,"*"&amp;A49&amp;"*")</f>
        <v>#VALUE!</v>
      </c>
      <c r="D49" s="5">
        <v>49</v>
      </c>
    </row>
    <row r="50" spans="1:4" ht="15.75" customHeight="1" x14ac:dyDescent="0.25">
      <c r="A50" s="1" t="s">
        <v>501</v>
      </c>
      <c r="B50" s="1" t="str">
        <f ca="1">IFERROR(__xludf.DUMMYFUNCTION("GOOGLETRANSLATE(A46,""auto"",""en"")"),"Halal")</f>
        <v>Halal</v>
      </c>
      <c r="C50" s="5" t="e">
        <f>COUNTIF([3]SAMPLE4C!$R:$R,"*"&amp;A50&amp;"*")</f>
        <v>#VALUE!</v>
      </c>
      <c r="D50" s="5">
        <v>3</v>
      </c>
    </row>
    <row r="51" spans="1:4" ht="15.75" customHeight="1" x14ac:dyDescent="0.25">
      <c r="A51" s="1" t="s">
        <v>260</v>
      </c>
      <c r="B51" s="1" t="str">
        <f ca="1">IFERROR(__xludf.DUMMYFUNCTION("GOOGLETRANSLATE(A47,""auto"",""en"")"),"pancake")</f>
        <v>pancake</v>
      </c>
      <c r="C51" s="5" t="e">
        <f>COUNTIF([3]SAMPLE4C!$R:$R,"*"&amp;A51&amp;"*")</f>
        <v>#VALUE!</v>
      </c>
      <c r="D51" s="5">
        <v>3</v>
      </c>
    </row>
    <row r="52" spans="1:4" ht="15.75" customHeight="1" x14ac:dyDescent="0.25">
      <c r="A52" s="1" t="s">
        <v>261</v>
      </c>
      <c r="B52" s="1" t="str">
        <f ca="1">IFERROR(__xludf.DUMMYFUNCTION("GOOGLETRANSLATE(A48,""auto"",""en"")"),"hamburger")</f>
        <v>hamburger</v>
      </c>
      <c r="C52" s="5" t="e">
        <f>COUNTIF([3]SAMPLE4C!$R:$R,"*"&amp;A52&amp;"*")</f>
        <v>#VALUE!</v>
      </c>
      <c r="D52" s="5">
        <v>26</v>
      </c>
    </row>
    <row r="53" spans="1:4" ht="15.75" customHeight="1" x14ac:dyDescent="0.25">
      <c r="A53" s="1" t="s">
        <v>502</v>
      </c>
      <c r="B53" s="1" t="str">
        <f ca="1">IFERROR(__xludf.DUMMYFUNCTION("GOOGLETRANSLATE(A49,""auto"",""en"")"),"Beer")</f>
        <v>Beer</v>
      </c>
      <c r="C53" s="5" t="e">
        <f>COUNTIF([3]SAMPLE4C!$R:$R,"*"&amp;A53&amp;"*")</f>
        <v>#VALUE!</v>
      </c>
      <c r="D53" s="5">
        <v>2</v>
      </c>
    </row>
    <row r="54" spans="1:4" ht="15.75" customHeight="1" x14ac:dyDescent="0.25">
      <c r="A54" s="1" t="s">
        <v>266</v>
      </c>
      <c r="B54" s="1" t="str">
        <f ca="1">IFERROR(__xludf.DUMMYFUNCTION("GOOGLETRANSLATE(A50,""auto"",""en"")"),"pizza")</f>
        <v>pizza</v>
      </c>
      <c r="C54" s="5" t="e">
        <f>COUNTIF([3]SAMPLE4C!$R:$R,"*"&amp;A54&amp;"*")</f>
        <v>#VALUE!</v>
      </c>
      <c r="D54" s="5">
        <v>60</v>
      </c>
    </row>
    <row r="55" spans="1:4" ht="15.75" customHeight="1" x14ac:dyDescent="0.25">
      <c r="A55" s="1" t="s">
        <v>22</v>
      </c>
      <c r="B55" s="1" t="str">
        <f ca="1">IFERROR(__xludf.DUMMYFUNCTION("GOOGLETRANSLATE(A51,""auto"",""en"")"),"bistro")</f>
        <v>bistro</v>
      </c>
      <c r="C55" s="5" t="e">
        <f>COUNTIF([3]SAMPLE4C!$R:$R,"*"&amp;A55&amp;"*")</f>
        <v>#VALUE!</v>
      </c>
      <c r="D55" s="5">
        <v>1</v>
      </c>
    </row>
    <row r="56" spans="1:4" ht="15.75" customHeight="1" x14ac:dyDescent="0.25">
      <c r="A56" s="2" t="s">
        <v>503</v>
      </c>
      <c r="B56" s="1" t="str">
        <f ca="1">IFERROR(__xludf.DUMMYFUNCTION("GOOGLETRANSLATE(A133,""auto"",""en"")"),"Brito")</f>
        <v>Brito</v>
      </c>
      <c r="C56" s="5" t="e">
        <f>COUNTIF([3]SAMPLE4C!$R:$R,"*"&amp;A56&amp;"*")</f>
        <v>#VALUE!</v>
      </c>
      <c r="D56" s="5">
        <v>1</v>
      </c>
    </row>
    <row r="57" spans="1:4" ht="15.75" customHeight="1" x14ac:dyDescent="0.25">
      <c r="A57" s="1" t="s">
        <v>504</v>
      </c>
      <c r="B57" s="1" t="str">
        <f ca="1">IFERROR(__xludf.DUMMYFUNCTION("GOOGLETRANSLATE(A52,""auto"",""en"")"),"fruits")</f>
        <v>fruits</v>
      </c>
      <c r="C57" s="5" t="e">
        <f>COUNTIF([3]SAMPLE4C!$R:$R,"*"&amp;A57&amp;"*")</f>
        <v>#VALUE!</v>
      </c>
      <c r="D57" s="5">
        <v>2</v>
      </c>
    </row>
    <row r="58" spans="1:4" ht="15.75" customHeight="1" x14ac:dyDescent="0.25">
      <c r="A58" s="1" t="s">
        <v>271</v>
      </c>
      <c r="B58" s="1" t="str">
        <f ca="1">IFERROR(__xludf.DUMMYFUNCTION("GOOGLETRANSLATE(A53,""auto"",""en"")"),"French")</f>
        <v>French</v>
      </c>
      <c r="C58" s="5" t="e">
        <f>COUNTIF([3]SAMPLE4C!$R:$R,"*"&amp;A58&amp;"*")</f>
        <v>#VALUE!</v>
      </c>
      <c r="D58" s="5">
        <v>5</v>
      </c>
    </row>
    <row r="59" spans="1:4" ht="15.75" customHeight="1" x14ac:dyDescent="0.25">
      <c r="A59" s="1" t="s">
        <v>505</v>
      </c>
      <c r="B59" s="1" t="str">
        <f ca="1">IFERROR(__xludf.DUMMYFUNCTION("GOOGLETRANSLATE(A54,""auto"",""en"")"),"Bakery")</f>
        <v>Bakery</v>
      </c>
      <c r="C59" s="5" t="e">
        <f>COUNTIF([3]SAMPLE4C!$R:$R,"*"&amp;A59&amp;"*")</f>
        <v>#VALUE!</v>
      </c>
      <c r="D59" s="5">
        <v>21</v>
      </c>
    </row>
    <row r="60" spans="1:4" ht="15.75" customHeight="1" x14ac:dyDescent="0.25">
      <c r="A60" s="1" t="s">
        <v>506</v>
      </c>
      <c r="B60" s="1" t="str">
        <f ca="1">IFERROR(__xludf.DUMMYFUNCTION("GOOGLETRANSLATE(A55,""auto"",""en"")"),"vegetarian")</f>
        <v>vegetarian</v>
      </c>
      <c r="C60" s="5" t="e">
        <f>COUNTIF([3]SAMPLE4C!$R:$R,"*"&amp;A60&amp;"*")</f>
        <v>#VALUE!</v>
      </c>
      <c r="D60" s="5">
        <v>2</v>
      </c>
    </row>
    <row r="61" spans="1:4" ht="15.75" customHeight="1" x14ac:dyDescent="0.25">
      <c r="A61" s="1" t="s">
        <v>272</v>
      </c>
      <c r="B61" s="1" t="str">
        <f ca="1">IFERROR(__xludf.DUMMYFUNCTION("GOOGLETRANSLATE(A56,""auto"",""en"")"),"Vietnamesefood")</f>
        <v>Vietnamesefood</v>
      </c>
      <c r="C61" s="5" t="e">
        <f>COUNTIF([3]SAMPLE4C!$R:$R,"*"&amp;A61&amp;"*")</f>
        <v>#VALUE!</v>
      </c>
      <c r="D61" s="5">
        <v>4</v>
      </c>
    </row>
    <row r="62" spans="1:4" ht="15.75" customHeight="1" x14ac:dyDescent="0.25">
      <c r="A62" s="1" t="s">
        <v>507</v>
      </c>
      <c r="B62" s="1" t="str">
        <f ca="1">IFERROR(__xludf.DUMMYFUNCTION("GOOGLETRANSLATE(A57,""auto"",""en"")"),"Healthy")</f>
        <v>Healthy</v>
      </c>
      <c r="C62" s="5" t="e">
        <f>COUNTIF([3]SAMPLE4C!$R:$R,"*"&amp;A62&amp;"*")</f>
        <v>#VALUE!</v>
      </c>
      <c r="D62" s="5">
        <v>17</v>
      </c>
    </row>
    <row r="63" spans="1:4" ht="15.75" customHeight="1" x14ac:dyDescent="0.25">
      <c r="A63" s="2" t="s">
        <v>508</v>
      </c>
      <c r="B63" s="1" t="str">
        <f ca="1">IFERROR(__xludf.DUMMYFUNCTION("GOOGLETRANSLATE(A140,""auto"",""en"")"),"Poki")</f>
        <v>Poki</v>
      </c>
      <c r="C63" s="5" t="e">
        <f>COUNTIF([3]SAMPLE4C!$R:$R,"*"&amp;A63&amp;"*")</f>
        <v>#VALUE!</v>
      </c>
      <c r="D63" s="5">
        <v>1</v>
      </c>
    </row>
    <row r="64" spans="1:4" ht="15.75" customHeight="1" x14ac:dyDescent="0.25">
      <c r="A64" s="1" t="s">
        <v>509</v>
      </c>
      <c r="B64" s="1" t="str">
        <f ca="1">IFERROR(__xludf.DUMMYFUNCTION("GOOGLETRANSLATE(A58,""auto"",""en"")"),"Mexicanfood")</f>
        <v>Mexicanfood</v>
      </c>
      <c r="C64" s="5" t="e">
        <f>COUNTIF([3]SAMPLE4C!$R:$R,"*"&amp;A64&amp;"*")</f>
        <v>#VALUE!</v>
      </c>
      <c r="D64" s="5">
        <v>6</v>
      </c>
    </row>
    <row r="65" spans="1:4" ht="15.75" customHeight="1" x14ac:dyDescent="0.25">
      <c r="A65" s="1" t="s">
        <v>279</v>
      </c>
      <c r="B65" s="1" t="str">
        <f ca="1">IFERROR(__xludf.DUMMYFUNCTION("GOOGLETRANSLATE(A59,""auto"",""en"")"),"ramen")</f>
        <v>ramen</v>
      </c>
      <c r="C65" s="5" t="e">
        <f>COUNTIF([3]SAMPLE4C!$R:$R,"*"&amp;A65&amp;"*")</f>
        <v>#VALUE!</v>
      </c>
      <c r="D65" s="5">
        <v>58</v>
      </c>
    </row>
    <row r="66" spans="1:4" ht="15.75" customHeight="1" x14ac:dyDescent="0.25">
      <c r="A66" s="1" t="s">
        <v>773</v>
      </c>
      <c r="B66" s="1" t="str">
        <f ca="1">IFERROR(__xludf.DUMMYFUNCTION("GOOGLETRANSLATE(A60,""auto"",""en"")"),"wine")</f>
        <v>wine</v>
      </c>
      <c r="C66" s="5" t="e">
        <f>COUNTIF([3]SAMPLE4C!$R:$R,"*"&amp;A66&amp;"*")</f>
        <v>#VALUE!</v>
      </c>
      <c r="D66" s="5">
        <v>1</v>
      </c>
    </row>
    <row r="67" spans="1:4" ht="15.75" customHeight="1" x14ac:dyDescent="0.25">
      <c r="A67" s="1" t="s">
        <v>510</v>
      </c>
      <c r="B67" s="1" t="str">
        <f ca="1">IFERROR(__xludf.DUMMYFUNCTION("GOOGLETRANSLATE(A61,""auto"",""en"")"),"China")</f>
        <v>China</v>
      </c>
      <c r="C67" s="5" t="e">
        <f>COUNTIF([3]SAMPLE4C!$R:$R,"*"&amp;A67&amp;"*")</f>
        <v>#VALUE!</v>
      </c>
      <c r="D67" s="5">
        <v>67</v>
      </c>
    </row>
    <row r="68" spans="1:4" ht="15.75" customHeight="1" x14ac:dyDescent="0.25">
      <c r="A68" s="1" t="s">
        <v>37</v>
      </c>
      <c r="B68" s="1" t="str">
        <f ca="1">IFERROR(__xludf.DUMMYFUNCTION("GOOGLETRANSLATE(A62,""auto"",""en"")"),"Chinesecuisine")</f>
        <v>Chinesecuisine</v>
      </c>
      <c r="C68" s="5" t="e">
        <f>COUNTIF([3]SAMPLE4C!$R:$R,"*"&amp;A68&amp;"*")</f>
        <v>#VALUE!</v>
      </c>
      <c r="D68" s="5">
        <v>3</v>
      </c>
    </row>
    <row r="69" spans="1:4" ht="15.75" customHeight="1" x14ac:dyDescent="0.25">
      <c r="A69" s="1" t="s">
        <v>511</v>
      </c>
      <c r="B69" s="1" t="str">
        <f ca="1">IFERROR(__xludf.DUMMYFUNCTION("GOOGLETRANSLATE(A63,""auto"",""en"")"),"Ricebowl")</f>
        <v>Ricebowl</v>
      </c>
      <c r="C69" s="5" t="e">
        <f>COUNTIF([3]SAMPLE4C!$R:$R,"*"&amp;A69&amp;"*")</f>
        <v>#VALUE!</v>
      </c>
      <c r="D69" s="5">
        <v>165</v>
      </c>
    </row>
    <row r="70" spans="1:4" ht="15.75" customHeight="1" x14ac:dyDescent="0.25">
      <c r="A70" s="1" t="s">
        <v>774</v>
      </c>
      <c r="B70" s="1" t="str">
        <f ca="1">IFERROR(__xludf.DUMMYFUNCTION("GOOGLETRANSLATE(A64,""auto"",""en"")"),"sashimi")</f>
        <v>sashimi</v>
      </c>
      <c r="C70" s="5" t="e">
        <f>COUNTIF([3]SAMPLE4C!$R:$R,"*"&amp;A70&amp;"*")</f>
        <v>#VALUE!</v>
      </c>
      <c r="D70" s="5">
        <v>3</v>
      </c>
    </row>
    <row r="71" spans="1:4" ht="15.75" customHeight="1" x14ac:dyDescent="0.25">
      <c r="A71" s="1" t="s">
        <v>179</v>
      </c>
      <c r="B71" s="1" t="str">
        <f ca="1">IFERROR(__xludf.DUMMYFUNCTION("GOOGLETRANSLATE(A65,""auto"",""en"")"),"Taiwanesecuisine")</f>
        <v>Taiwanesecuisine</v>
      </c>
      <c r="C71" s="5" t="e">
        <f>COUNTIF([3]SAMPLE4C!$R:$R,"*"&amp;A71&amp;"*")</f>
        <v>#VALUE!</v>
      </c>
      <c r="D71" s="5">
        <v>6</v>
      </c>
    </row>
    <row r="72" spans="1:4" ht="15.75" customHeight="1" x14ac:dyDescent="0.25">
      <c r="A72" s="1" t="s">
        <v>775</v>
      </c>
      <c r="B72" s="1" t="str">
        <f ca="1">IFERROR(__xludf.DUMMYFUNCTION("GOOGLETRANSLATE(A66,""auto"",""en"")"),"Cuisine")</f>
        <v>Cuisine</v>
      </c>
      <c r="C72" s="5" t="e">
        <f>COUNTIF([3]SAMPLE4C!$R:$R,"*"&amp;A72&amp;"*")</f>
        <v>#VALUE!</v>
      </c>
      <c r="D72" s="5">
        <v>6</v>
      </c>
    </row>
    <row r="73" spans="1:4" ht="15.75" customHeight="1" x14ac:dyDescent="0.25">
      <c r="A73" s="1" t="s">
        <v>512</v>
      </c>
      <c r="B73" s="1" t="str">
        <f ca="1">IFERROR(__xludf.DUMMYFUNCTION("GOOGLETRANSLATE(A67,""auto"",""en"")"),"Japanesefood")</f>
        <v>Japanesefood</v>
      </c>
      <c r="C73" s="5" t="e">
        <f>COUNTIF([3]SAMPLE4C!$R:$R,"*"&amp;A73&amp;"*")</f>
        <v>#VALUE!</v>
      </c>
      <c r="D73" s="5">
        <v>172</v>
      </c>
    </row>
    <row r="74" spans="1:4" ht="15.75" customHeight="1" x14ac:dyDescent="0.25">
      <c r="A74" s="1" t="s">
        <v>300</v>
      </c>
      <c r="B74" s="1" t="str">
        <f ca="1">IFERROR(__xludf.DUMMYFUNCTION("GOOGLETRANSLATE(A68,""auto"",""en"")"),"Tempura")</f>
        <v>Tempura</v>
      </c>
      <c r="C74" s="5" t="e">
        <f>COUNTIF([3]SAMPLE4C!$R:$R,"*"&amp;A74&amp;"*")</f>
        <v>#VALUE!</v>
      </c>
      <c r="D74" s="5">
        <v>5</v>
      </c>
    </row>
    <row r="75" spans="1:4" ht="15.75" customHeight="1" x14ac:dyDescent="0.25">
      <c r="A75" s="1" t="s">
        <v>513</v>
      </c>
      <c r="B75" s="1" t="str">
        <f ca="1">IFERROR(__xludf.DUMMYFUNCTION("GOOGLETRANSLATE(A69,""auto"",""en"")"),"Stalls")</f>
        <v>Stalls</v>
      </c>
      <c r="C75" s="5" t="e">
        <f>COUNTIF([3]SAMPLE4C!$R:$R,"*"&amp;A75&amp;"*")</f>
        <v>#VALUE!</v>
      </c>
      <c r="D75" s="5">
        <v>21</v>
      </c>
    </row>
    <row r="76" spans="1:4" ht="15.75" customHeight="1" x14ac:dyDescent="0.25">
      <c r="A76" s="1" t="s">
        <v>309</v>
      </c>
      <c r="B76" s="1" t="str">
        <f ca="1">IFERROR(__xludf.DUMMYFUNCTION("GOOGLETRANSLATE(A70,""auto"",""en"")"),"Lunch")</f>
        <v>Lunch</v>
      </c>
      <c r="C76" s="5" t="e">
        <f>COUNTIF([3]SAMPLE4C!$R:$R,"*"&amp;A76&amp;"*")</f>
        <v>#VALUE!</v>
      </c>
      <c r="D76" s="5">
        <v>231</v>
      </c>
    </row>
    <row r="77" spans="1:4" ht="15.75" customHeight="1" x14ac:dyDescent="0.25">
      <c r="A77" s="1" t="s">
        <v>514</v>
      </c>
      <c r="B77" s="1" t="str">
        <f ca="1">IFERROR(__xludf.DUMMYFUNCTION("GOOGLETRANSLATE(A71,""auto"",""en"")"),"Sidedish")</f>
        <v>Sidedish</v>
      </c>
      <c r="C77" s="5" t="e">
        <f>COUNTIF([3]SAMPLE4C!$R:$R,"*"&amp;A77&amp;"*")</f>
        <v>#VALUE!</v>
      </c>
      <c r="D77" s="5">
        <v>6</v>
      </c>
    </row>
    <row r="78" spans="1:4" ht="15.75" customHeight="1" x14ac:dyDescent="0.25">
      <c r="A78" s="1" t="s">
        <v>776</v>
      </c>
      <c r="B78" s="1" t="str">
        <f ca="1">IFERROR(__xludf.DUMMYFUNCTION("GOOGLETRANSLATE(A72,""auto"",""en"")"),"Chickenwings")</f>
        <v>Chickenwings</v>
      </c>
      <c r="C78" s="5" t="e">
        <f>COUNTIF([3]SAMPLE4C!$R:$R,"*"&amp;A78&amp;"*")</f>
        <v>#VALUE!</v>
      </c>
      <c r="D78" s="5">
        <v>2</v>
      </c>
    </row>
    <row r="79" spans="1:4" ht="15.75" customHeight="1" x14ac:dyDescent="0.25">
      <c r="A79" s="1" t="s">
        <v>515</v>
      </c>
      <c r="B79" s="1" t="str">
        <f ca="1">IFERROR(__xludf.DUMMYFUNCTION("GOOGLETRANSLATE(A73,""auto"",""en"")"),"Friedchicken")</f>
        <v>Friedchicken</v>
      </c>
      <c r="C79" s="5" t="e">
        <f>COUNTIF([3]SAMPLE4C!$R:$R,"*"&amp;A79&amp;"*")</f>
        <v>#VALUE!</v>
      </c>
      <c r="D79" s="5">
        <v>53</v>
      </c>
    </row>
    <row r="80" spans="1:4" ht="15.75" customHeight="1" x14ac:dyDescent="0.25">
      <c r="A80" s="1" t="s">
        <v>321</v>
      </c>
      <c r="B80" s="1" t="str">
        <f ca="1">IFERROR(__xludf.DUMMYFUNCTION("GOOGLETRANSLATE(A74,""auto"",""en"")"),"Westernfood")</f>
        <v>Westernfood</v>
      </c>
      <c r="C80" s="5" t="e">
        <f>COUNTIF([3]SAMPLE4C!$R:$R,"*"&amp;A80&amp;"*")</f>
        <v>#VALUE!</v>
      </c>
      <c r="D80" s="5">
        <v>43</v>
      </c>
    </row>
    <row r="81" spans="1:4" ht="15.75" customHeight="1" x14ac:dyDescent="0.25">
      <c r="A81" s="1" t="s">
        <v>516</v>
      </c>
      <c r="B81" s="1" t="str">
        <f ca="1">IFERROR(__xludf.DUMMYFUNCTION("GOOGLETRANSLATE(A75,""auto"",""en"")"),"seafood")</f>
        <v>seafood</v>
      </c>
      <c r="C81" s="5" t="e">
        <f>COUNTIF([3]SAMPLE4C!$R:$R,"*"&amp;A81&amp;"*")</f>
        <v>#VALUE!</v>
      </c>
      <c r="D81" s="5">
        <v>37</v>
      </c>
    </row>
    <row r="82" spans="1:4" ht="15.75" customHeight="1" x14ac:dyDescent="0.25">
      <c r="A82" s="1" t="s">
        <v>777</v>
      </c>
      <c r="B82" s="1" t="str">
        <f ca="1">IFERROR(__xludf.DUMMYFUNCTION("GOOGLETRANSLATE(A76,""auto"",""en"")"),"dessert")</f>
        <v>dessert</v>
      </c>
      <c r="C82" s="5" t="e">
        <f>COUNTIF([3]SAMPLE4C!$R:$R,"*"&amp;A82&amp;"*")</f>
        <v>#VALUE!</v>
      </c>
      <c r="D82" s="5">
        <v>5</v>
      </c>
    </row>
    <row r="83" spans="1:4" ht="15.75" customHeight="1" x14ac:dyDescent="0.25">
      <c r="A83" s="1" t="s">
        <v>324</v>
      </c>
      <c r="B83" s="1" t="str">
        <f ca="1">IFERROR(__xludf.DUMMYFUNCTION("GOOGLETRANSLATE(A77,""auto"",""en"")"),"Friednoodles")</f>
        <v>Friednoodles</v>
      </c>
      <c r="C83" s="5" t="e">
        <f>COUNTIF([3]SAMPLE4C!$R:$R,"*"&amp;A83&amp;"*")</f>
        <v>#VALUE!</v>
      </c>
      <c r="D83" s="5">
        <v>14</v>
      </c>
    </row>
    <row r="84" spans="1:4" ht="15.75" customHeight="1" x14ac:dyDescent="0.25">
      <c r="A84" s="1" t="s">
        <v>517</v>
      </c>
      <c r="B84" s="1" t="str">
        <f ca="1">IFERROR(__xludf.DUMMYFUNCTION("GOOGLETRANSLATE(A78,""auto"",""en"")"),"Yakitori")</f>
        <v>Yakitori</v>
      </c>
      <c r="C84" s="5" t="e">
        <f>COUNTIF([3]SAMPLE4C!$R:$R,"*"&amp;A84&amp;"*")</f>
        <v>#VALUE!</v>
      </c>
      <c r="D84" s="5">
        <v>27</v>
      </c>
    </row>
    <row r="85" spans="1:4" ht="15.75" customHeight="1" x14ac:dyDescent="0.25">
      <c r="A85" s="1" t="s">
        <v>326</v>
      </c>
      <c r="B85" s="1" t="str">
        <f ca="1">IFERROR(__xludf.DUMMYFUNCTION("GOOGLETRANSLATE(A79,""auto"",""en"")"),"Grilledmeat")</f>
        <v>Grilledmeat</v>
      </c>
      <c r="C85" s="5" t="e">
        <f>COUNTIF([3]SAMPLE4C!$R:$R,"*"&amp;A85&amp;"*")</f>
        <v>#VALUE!</v>
      </c>
      <c r="D85" s="5">
        <v>7</v>
      </c>
    </row>
    <row r="86" spans="1:4" ht="15.75" customHeight="1" x14ac:dyDescent="0.25">
      <c r="A86" s="1" t="s">
        <v>518</v>
      </c>
      <c r="B86" s="1" t="str">
        <f ca="1">IFERROR(__xludf.DUMMYFUNCTION("GOOGLETRANSLATE(A80,""auto"",""en"")"),"FriedRice")</f>
        <v>FriedRice</v>
      </c>
      <c r="C86" s="5" t="e">
        <f>COUNTIF([3]SAMPLE4C!$R:$R,"*"&amp;A86&amp;"*")</f>
        <v>#VALUE!</v>
      </c>
      <c r="D86" s="5">
        <v>12</v>
      </c>
    </row>
    <row r="87" spans="1:4" ht="15.75" customHeight="1" x14ac:dyDescent="0.25">
      <c r="A87" s="1" t="s">
        <v>519</v>
      </c>
      <c r="B87" s="1" t="str">
        <f ca="1">IFERROR(__xludf.DUMMYFUNCTION("GOOGLETRANSLATE(A81,""auto"",""en"")"),"rice")</f>
        <v>rice</v>
      </c>
      <c r="C87" s="5" t="e">
        <f>COUNTIF([3]SAMPLE4C!$R:$R,"*"&amp;A87&amp;"*")</f>
        <v>#VALUE!</v>
      </c>
      <c r="D87" s="5">
        <v>11</v>
      </c>
    </row>
    <row r="88" spans="1:4" ht="15.75" customHeight="1" x14ac:dyDescent="0.25">
      <c r="A88" s="1" t="s">
        <v>520</v>
      </c>
      <c r="B88" s="1" t="str">
        <f ca="1">IFERROR(__xludf.DUMMYFUNCTION("GOOGLETRANSLATE(A82,""auto"",""en"")"),"vegetables")</f>
        <v>vegetables</v>
      </c>
      <c r="C88" s="5" t="e">
        <f>COUNTIF([3]SAMPLE4C!$R:$R,"*"&amp;A88&amp;"*")</f>
        <v>#VALUE!</v>
      </c>
      <c r="D88" s="5">
        <v>4</v>
      </c>
    </row>
    <row r="89" spans="1:4" ht="15.75" customHeight="1" x14ac:dyDescent="0.25">
      <c r="A89" s="1" t="s">
        <v>521</v>
      </c>
      <c r="B89" s="1" t="str">
        <f ca="1">IFERROR(__xludf.DUMMYFUNCTION("GOOGLETRANSLATE(A83,""auto"",""en"")"),"Teppanyaki")</f>
        <v>Teppanyaki</v>
      </c>
      <c r="C89" s="5" t="e">
        <f>COUNTIF([3]SAMPLE4C!$R:$R,"*"&amp;A89&amp;"*")</f>
        <v>#VALUE!</v>
      </c>
      <c r="D89" s="5">
        <v>11</v>
      </c>
    </row>
    <row r="90" spans="1:4" ht="15.75" customHeight="1" x14ac:dyDescent="0.25">
      <c r="A90" s="1" t="s">
        <v>348</v>
      </c>
      <c r="B90" s="1" t="str">
        <f ca="1">IFERROR(__xludf.DUMMYFUNCTION("GOOGLETRANSLATE(A84,""auto"",""en"")"),"Koreancuisine")</f>
        <v>Koreancuisine</v>
      </c>
      <c r="C90" s="5" t="e">
        <f>COUNTIF([3]SAMPLE4C!$R:$R,"*"&amp;A90&amp;"*")</f>
        <v>#VALUE!</v>
      </c>
      <c r="D90" s="5">
        <v>30</v>
      </c>
    </row>
    <row r="91" spans="1:4" ht="15.75" customHeight="1" x14ac:dyDescent="0.25">
      <c r="A91" s="1" t="s">
        <v>351</v>
      </c>
      <c r="B91" s="1" t="str">
        <f ca="1">IFERROR(__xludf.DUMMYFUNCTION("GOOGLETRANSLATE(A85,""auto"",""en"")"),"dumpling")</f>
        <v>dumpling</v>
      </c>
      <c r="C91" s="5" t="e">
        <f>COUNTIF([3]SAMPLE4C!$R:$R,"*"&amp;A91&amp;"*")</f>
        <v>#VALUE!</v>
      </c>
      <c r="D91" s="5">
        <v>6</v>
      </c>
    </row>
    <row r="92" spans="1:4" ht="15.75" customHeight="1" x14ac:dyDescent="0.25">
      <c r="A92" s="1" t="s">
        <v>522</v>
      </c>
      <c r="B92" s="1" t="str">
        <f ca="1">IFERROR(__xludf.DUMMYFUNCTION("GOOGLETRANSLATE(A86,""auto"",""en"")"),"seafood")</f>
        <v>seafood</v>
      </c>
      <c r="C92" s="5" t="e">
        <f>COUNTIF([3]SAMPLE4C!$R:$R,"*"&amp;A92&amp;"*")</f>
        <v>#VALUE!</v>
      </c>
      <c r="D92" s="5">
        <v>34</v>
      </c>
    </row>
    <row r="93" spans="1:4" ht="15.75" customHeight="1" x14ac:dyDescent="0.25">
      <c r="A93" s="1" t="s">
        <v>355</v>
      </c>
      <c r="B93" s="1" t="str">
        <f ca="1">IFERROR(__xludf.DUMMYFUNCTION("GOOGLETRANSLATE(A87,""auto"",""en"")"),"Birdfood")</f>
        <v>Birdfood</v>
      </c>
      <c r="C93" s="5" t="e">
        <f>COUNTIF([3]SAMPLE4C!$R:$R,"*"&amp;A93&amp;"*")</f>
        <v>#VALUE!</v>
      </c>
      <c r="D93" s="5">
        <v>49</v>
      </c>
    </row>
    <row r="94" spans="1:4" ht="15.75" customHeight="1" x14ac:dyDescent="0.25">
      <c r="A94" s="1" t="s">
        <v>523</v>
      </c>
      <c r="B94" s="1" t="str">
        <f ca="1">IFERROR(__xludf.DUMMYFUNCTION("GOOGLETRANSLATE(A88,""auto"",""en"")"),"noodles")</f>
        <v>noodles</v>
      </c>
      <c r="C94" s="5" t="e">
        <f>COUNTIF([3]SAMPLE4C!$R:$R,"*"&amp;A94&amp;"*")</f>
        <v>#VALUE!</v>
      </c>
      <c r="D94" s="5">
        <v>125</v>
      </c>
    </row>
    <row r="95" spans="1:4" ht="15.75" customHeight="1" x14ac:dyDescent="0.25">
      <c r="D95"/>
    </row>
    <row r="96" spans="1:4" ht="15.75" customHeight="1" x14ac:dyDescent="0.25">
      <c r="D96"/>
    </row>
    <row r="97" spans="4:4" ht="15.75" customHeight="1" x14ac:dyDescent="0.25">
      <c r="D97"/>
    </row>
    <row r="98" spans="4:4" ht="15.75" customHeight="1" x14ac:dyDescent="0.25">
      <c r="D98"/>
    </row>
    <row r="99" spans="4:4" ht="15.75" customHeight="1" x14ac:dyDescent="0.25">
      <c r="D99"/>
    </row>
    <row r="100" spans="4:4" ht="15.75" customHeight="1" x14ac:dyDescent="0.25">
      <c r="D100"/>
    </row>
    <row r="101" spans="4:4" ht="15.75" customHeight="1" x14ac:dyDescent="0.25">
      <c r="D101"/>
    </row>
    <row r="102" spans="4:4" ht="15.75" customHeight="1" x14ac:dyDescent="0.25">
      <c r="D102"/>
    </row>
    <row r="103" spans="4:4" ht="15.75" customHeight="1" x14ac:dyDescent="0.25">
      <c r="D103"/>
    </row>
    <row r="104" spans="4:4" ht="15.75" customHeight="1" x14ac:dyDescent="0.25">
      <c r="D104"/>
    </row>
    <row r="105" spans="4:4" ht="15.75" customHeight="1" x14ac:dyDescent="0.25">
      <c r="D105"/>
    </row>
    <row r="106" spans="4:4" ht="15.75" customHeight="1" x14ac:dyDescent="0.25">
      <c r="D106"/>
    </row>
    <row r="107" spans="4:4" ht="15.75" customHeight="1" x14ac:dyDescent="0.25">
      <c r="D107"/>
    </row>
    <row r="108" spans="4:4" ht="15.75" customHeight="1" x14ac:dyDescent="0.25">
      <c r="D108"/>
    </row>
    <row r="109" spans="4:4" ht="15.75" customHeight="1" x14ac:dyDescent="0.25">
      <c r="D109"/>
    </row>
    <row r="110" spans="4:4" ht="15.75" customHeight="1" x14ac:dyDescent="0.25">
      <c r="D110"/>
    </row>
    <row r="111" spans="4:4" ht="15.75" customHeight="1" x14ac:dyDescent="0.25">
      <c r="D111"/>
    </row>
    <row r="112" spans="4:4" ht="15.75" customHeight="1" x14ac:dyDescent="0.25">
      <c r="D112"/>
    </row>
    <row r="113" spans="4:4" ht="15.75" customHeight="1" x14ac:dyDescent="0.25">
      <c r="D113"/>
    </row>
    <row r="114" spans="4:4" ht="15.75" customHeight="1" x14ac:dyDescent="0.25">
      <c r="D114"/>
    </row>
    <row r="115" spans="4:4" ht="15.75" customHeight="1" x14ac:dyDescent="0.25">
      <c r="D115"/>
    </row>
    <row r="116" spans="4:4" ht="15.75" customHeight="1" x14ac:dyDescent="0.25">
      <c r="D116"/>
    </row>
    <row r="117" spans="4:4" ht="15.75" customHeight="1" x14ac:dyDescent="0.25">
      <c r="D117"/>
    </row>
    <row r="118" spans="4:4" ht="15.75" customHeight="1" x14ac:dyDescent="0.25">
      <c r="D118"/>
    </row>
    <row r="119" spans="4:4" ht="15.75" customHeight="1" x14ac:dyDescent="0.25">
      <c r="D119"/>
    </row>
    <row r="120" spans="4:4" ht="15.75" customHeight="1" x14ac:dyDescent="0.25">
      <c r="D120"/>
    </row>
    <row r="121" spans="4:4" ht="15.75" customHeight="1" x14ac:dyDescent="0.25">
      <c r="D121"/>
    </row>
    <row r="122" spans="4:4" ht="15.75" customHeight="1" x14ac:dyDescent="0.25">
      <c r="D122"/>
    </row>
    <row r="123" spans="4:4" ht="15.75" customHeight="1" x14ac:dyDescent="0.25">
      <c r="D123"/>
    </row>
    <row r="124" spans="4:4" ht="15.75" customHeight="1" x14ac:dyDescent="0.25">
      <c r="D124"/>
    </row>
    <row r="125" spans="4:4" ht="15.75" customHeight="1" x14ac:dyDescent="0.25">
      <c r="D125"/>
    </row>
    <row r="126" spans="4:4" ht="15.75" customHeight="1" x14ac:dyDescent="0.25">
      <c r="D126"/>
    </row>
    <row r="127" spans="4:4" ht="15.75" customHeight="1" x14ac:dyDescent="0.25">
      <c r="D127"/>
    </row>
    <row r="128" spans="4:4" ht="15.75" customHeight="1" x14ac:dyDescent="0.25">
      <c r="D128"/>
    </row>
    <row r="129" spans="4:4" ht="15.75" customHeight="1" x14ac:dyDescent="0.25">
      <c r="D129"/>
    </row>
    <row r="130" spans="4:4" ht="15.75" customHeight="1" x14ac:dyDescent="0.25">
      <c r="D130"/>
    </row>
    <row r="131" spans="4:4" ht="15.75" customHeight="1" x14ac:dyDescent="0.25">
      <c r="D131"/>
    </row>
    <row r="132" spans="4:4" ht="15.75" customHeight="1" x14ac:dyDescent="0.25">
      <c r="D132"/>
    </row>
    <row r="133" spans="4:4" ht="15.75" customHeight="1" x14ac:dyDescent="0.25">
      <c r="D133"/>
    </row>
    <row r="134" spans="4:4" ht="15.75" customHeight="1" x14ac:dyDescent="0.25">
      <c r="D134"/>
    </row>
    <row r="135" spans="4:4" ht="15.75" customHeight="1" x14ac:dyDescent="0.25">
      <c r="D135"/>
    </row>
    <row r="136" spans="4:4" ht="15.75" customHeight="1" x14ac:dyDescent="0.25">
      <c r="D136"/>
    </row>
    <row r="137" spans="4:4" ht="15.75" customHeight="1" x14ac:dyDescent="0.25">
      <c r="D137"/>
    </row>
    <row r="138" spans="4:4" ht="15.75" customHeight="1" x14ac:dyDescent="0.25">
      <c r="D138"/>
    </row>
    <row r="139" spans="4:4" ht="15.75" customHeight="1" x14ac:dyDescent="0.25">
      <c r="D139"/>
    </row>
    <row r="140" spans="4:4" ht="15.75" customHeight="1" x14ac:dyDescent="0.25">
      <c r="D140"/>
    </row>
    <row r="141" spans="4:4" ht="15.75" customHeight="1" x14ac:dyDescent="0.25">
      <c r="D141"/>
    </row>
    <row r="142" spans="4:4" ht="15.75" customHeight="1" x14ac:dyDescent="0.25">
      <c r="D142"/>
    </row>
    <row r="143" spans="4:4" ht="15.75" customHeight="1" x14ac:dyDescent="0.25">
      <c r="D143"/>
    </row>
    <row r="144" spans="4:4" ht="15.75" customHeight="1" x14ac:dyDescent="0.25">
      <c r="D144"/>
    </row>
    <row r="145" spans="4:4" ht="15.75" customHeight="1" x14ac:dyDescent="0.25">
      <c r="D145"/>
    </row>
    <row r="146" spans="4:4" ht="15.75" customHeight="1" x14ac:dyDescent="0.25">
      <c r="D146"/>
    </row>
    <row r="147" spans="4:4" ht="15.75" customHeight="1" x14ac:dyDescent="0.25">
      <c r="D147"/>
    </row>
    <row r="148" spans="4:4" ht="15.75" customHeight="1" x14ac:dyDescent="0.25">
      <c r="D148"/>
    </row>
    <row r="149" spans="4:4" ht="15.75" customHeight="1" x14ac:dyDescent="0.25">
      <c r="D149"/>
    </row>
    <row r="150" spans="4:4" ht="15.75" customHeight="1" x14ac:dyDescent="0.25">
      <c r="D150"/>
    </row>
    <row r="151" spans="4:4" ht="15.75" customHeight="1" x14ac:dyDescent="0.25">
      <c r="D151"/>
    </row>
    <row r="152" spans="4:4" ht="15.75" customHeight="1" x14ac:dyDescent="0.25">
      <c r="D152"/>
    </row>
    <row r="153" spans="4:4" ht="15.75" customHeight="1" x14ac:dyDescent="0.25">
      <c r="D153"/>
    </row>
    <row r="154" spans="4:4" ht="15.75" customHeight="1" x14ac:dyDescent="0.25">
      <c r="D154"/>
    </row>
    <row r="155" spans="4:4" ht="15.75" customHeight="1" x14ac:dyDescent="0.25">
      <c r="D155"/>
    </row>
    <row r="156" spans="4:4" ht="15.75" customHeight="1" x14ac:dyDescent="0.25">
      <c r="D156"/>
    </row>
    <row r="157" spans="4:4" ht="15.75" customHeight="1" x14ac:dyDescent="0.25">
      <c r="D157"/>
    </row>
    <row r="158" spans="4:4" ht="15.75" customHeight="1" x14ac:dyDescent="0.25">
      <c r="D158"/>
    </row>
    <row r="159" spans="4:4" ht="15.75" customHeight="1" x14ac:dyDescent="0.25">
      <c r="D159"/>
    </row>
    <row r="160" spans="4:4" ht="15.75" customHeight="1" x14ac:dyDescent="0.25">
      <c r="D160"/>
    </row>
    <row r="161" spans="4:4" ht="15.75" customHeight="1" x14ac:dyDescent="0.25">
      <c r="D161"/>
    </row>
    <row r="162" spans="4:4" ht="15.75" customHeight="1" x14ac:dyDescent="0.25">
      <c r="D162"/>
    </row>
    <row r="163" spans="4:4" ht="15.75" customHeight="1" x14ac:dyDescent="0.25">
      <c r="D163"/>
    </row>
    <row r="164" spans="4:4" ht="15.75" customHeight="1" x14ac:dyDescent="0.25">
      <c r="D164"/>
    </row>
    <row r="165" spans="4:4" ht="15.75" customHeight="1" x14ac:dyDescent="0.25">
      <c r="D165"/>
    </row>
    <row r="166" spans="4:4" ht="15.75" customHeight="1" x14ac:dyDescent="0.25"/>
    <row r="167" spans="4:4" ht="15.75" customHeight="1" x14ac:dyDescent="0.25"/>
    <row r="168" spans="4:4" ht="15.75" customHeight="1" x14ac:dyDescent="0.25"/>
    <row r="169" spans="4:4" ht="15.75" customHeight="1" x14ac:dyDescent="0.25"/>
    <row r="170" spans="4:4" ht="15.75" customHeight="1" x14ac:dyDescent="0.25"/>
    <row r="171" spans="4:4" ht="15.75" customHeight="1" x14ac:dyDescent="0.25"/>
    <row r="172" spans="4:4" ht="15.75" customHeight="1" x14ac:dyDescent="0.25"/>
    <row r="173" spans="4:4" ht="15.75" customHeight="1" x14ac:dyDescent="0.25"/>
    <row r="174" spans="4:4" ht="15.75" customHeight="1" x14ac:dyDescent="0.25"/>
    <row r="175" spans="4:4" ht="15.75" customHeight="1" x14ac:dyDescent="0.25"/>
    <row r="176" spans="4:4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87B4-FB4E-4D15-BFF8-52A3E3F81B9A}">
  <dimension ref="A1:L395"/>
  <sheetViews>
    <sheetView zoomScale="85" zoomScaleNormal="85" workbookViewId="0">
      <selection activeCell="I42" sqref="I42"/>
    </sheetView>
  </sheetViews>
  <sheetFormatPr defaultRowHeight="15" x14ac:dyDescent="0.25"/>
  <cols>
    <col min="1" max="1" width="36.140625" bestFit="1" customWidth="1"/>
    <col min="2" max="2" width="29.140625" bestFit="1" customWidth="1"/>
    <col min="3" max="3" width="8.5703125" bestFit="1" customWidth="1"/>
    <col min="5" max="5" width="29.140625" bestFit="1" customWidth="1"/>
    <col min="6" max="6" width="23.7109375" style="9" customWidth="1"/>
    <col min="7" max="7" width="9.140625" style="5"/>
    <col min="9" max="9" width="21.7109375" bestFit="1" customWidth="1"/>
    <col min="10" max="10" width="9.140625" style="5"/>
  </cols>
  <sheetData>
    <row r="1" spans="1:11" x14ac:dyDescent="0.25">
      <c r="A1" t="s">
        <v>188</v>
      </c>
      <c r="B1" t="s">
        <v>524</v>
      </c>
      <c r="C1" t="s">
        <v>767</v>
      </c>
      <c r="E1" s="3" t="s">
        <v>779</v>
      </c>
      <c r="F1" s="8" t="s">
        <v>778</v>
      </c>
      <c r="G1" s="4" t="s">
        <v>767</v>
      </c>
      <c r="I1" s="3" t="s">
        <v>778</v>
      </c>
      <c r="J1" s="4" t="s">
        <v>767</v>
      </c>
      <c r="K1" s="10"/>
    </row>
    <row r="2" spans="1:11" x14ac:dyDescent="0.25">
      <c r="B2" t="s">
        <v>357</v>
      </c>
      <c r="C2">
        <v>12</v>
      </c>
      <c r="E2" t="str" cm="1">
        <f t="array" ref="E2:E338">_xlfn.UNIQUE(Append1[rstcat (eng) raw])</f>
        <v>Affordable Meals</v>
      </c>
      <c r="F2" s="8" t="s">
        <v>450</v>
      </c>
      <c r="G2" s="5">
        <f>SUMIF(Append1[rstcat (eng) raw],E2,Append1[Count])</f>
        <v>12</v>
      </c>
      <c r="I2" t="str" cm="1">
        <f t="array" ref="I2:I32">_xlfn.UNIQUE(_xlfn._xlws.SORT(F2:F199))</f>
        <v>Asian Cuisine</v>
      </c>
      <c r="J2" s="5">
        <f>SUMIF(F:F,I2,G:G)</f>
        <v>110</v>
      </c>
    </row>
    <row r="3" spans="1:11" x14ac:dyDescent="0.25">
      <c r="B3" t="s">
        <v>358</v>
      </c>
      <c r="C3">
        <v>11</v>
      </c>
      <c r="E3" t="str">
        <v>Alcohol</v>
      </c>
      <c r="F3" s="8" t="s">
        <v>763</v>
      </c>
      <c r="G3" s="5">
        <f>SUMIF(Append1[rstcat (eng) raw],E3,Append1[Count])</f>
        <v>11</v>
      </c>
      <c r="I3" t="str">
        <v>Bar</v>
      </c>
      <c r="J3" s="5">
        <f t="shared" ref="J3:J33" si="0">SUMIF(F:F,I3,G:G)</f>
        <v>554</v>
      </c>
    </row>
    <row r="4" spans="1:11" x14ac:dyDescent="0.25">
      <c r="B4" t="s">
        <v>359</v>
      </c>
      <c r="C4">
        <v>6</v>
      </c>
      <c r="E4" t="str">
        <v>Allergy Friendly</v>
      </c>
      <c r="F4" s="8" t="s">
        <v>407</v>
      </c>
      <c r="G4" s="5">
        <f>SUMIF(Append1[rstcat (eng) raw],E4,Append1[Count])</f>
        <v>6</v>
      </c>
      <c r="I4" t="str">
        <v>BBQ</v>
      </c>
      <c r="J4" s="5">
        <f t="shared" si="0"/>
        <v>99</v>
      </c>
    </row>
    <row r="5" spans="1:11" x14ac:dyDescent="0.25">
      <c r="B5" t="s">
        <v>360</v>
      </c>
      <c r="C5">
        <v>78</v>
      </c>
      <c r="E5" t="str">
        <v>American</v>
      </c>
      <c r="F5" s="8" t="s">
        <v>721</v>
      </c>
      <c r="G5" s="5">
        <f>SUMIF(Append1[rstcat (eng) raw],E5,Append1[Count])</f>
        <v>98</v>
      </c>
      <c r="I5" t="str">
        <v>Bento</v>
      </c>
      <c r="J5" s="5">
        <f t="shared" si="0"/>
        <v>48</v>
      </c>
    </row>
    <row r="6" spans="1:11" x14ac:dyDescent="0.25">
      <c r="A6" t="s">
        <v>483</v>
      </c>
      <c r="B6" t="s">
        <v>360</v>
      </c>
      <c r="C6">
        <v>20</v>
      </c>
      <c r="E6" t="str">
        <v>American cuisine</v>
      </c>
      <c r="F6" s="8" t="s">
        <v>721</v>
      </c>
      <c r="G6" s="5">
        <f>SUMIF(Append1[rstcat (eng) raw],E6,Append1[Count])</f>
        <v>2</v>
      </c>
      <c r="I6" t="str">
        <v>Café</v>
      </c>
      <c r="J6" s="5">
        <f t="shared" si="0"/>
        <v>620</v>
      </c>
    </row>
    <row r="7" spans="1:11" x14ac:dyDescent="0.25">
      <c r="A7" t="s">
        <v>191</v>
      </c>
      <c r="B7" t="s">
        <v>527</v>
      </c>
      <c r="C7">
        <v>2</v>
      </c>
      <c r="E7" t="str">
        <v>Anko</v>
      </c>
      <c r="F7" s="8" t="s">
        <v>720</v>
      </c>
      <c r="G7" s="5">
        <f>SUMIF(Append1[rstcat (eng) raw],E7,Append1[Count])</f>
        <v>1</v>
      </c>
      <c r="I7" t="str">
        <v>Chinese Cuisine</v>
      </c>
      <c r="J7" s="5">
        <f t="shared" si="0"/>
        <v>270</v>
      </c>
    </row>
    <row r="8" spans="1:11" x14ac:dyDescent="0.25">
      <c r="A8" t="s">
        <v>192</v>
      </c>
      <c r="B8" t="s">
        <v>528</v>
      </c>
      <c r="C8">
        <v>1</v>
      </c>
      <c r="E8" t="str">
        <v>Arabian</v>
      </c>
      <c r="F8" s="8" t="s">
        <v>729</v>
      </c>
      <c r="G8" s="5">
        <f>SUMIF(Append1[rstcat (eng) raw],E8,Append1[Count])</f>
        <v>1</v>
      </c>
      <c r="I8" t="str">
        <v>Curry</v>
      </c>
      <c r="J8" s="5">
        <f t="shared" si="0"/>
        <v>290</v>
      </c>
    </row>
    <row r="9" spans="1:11" x14ac:dyDescent="0.25">
      <c r="B9" t="s">
        <v>361</v>
      </c>
      <c r="C9">
        <v>1</v>
      </c>
      <c r="E9" t="str">
        <v>Asian</v>
      </c>
      <c r="F9" s="8" t="s">
        <v>727</v>
      </c>
      <c r="G9" s="5">
        <f>SUMIF(Append1[rstcat (eng) raw],E9,Append1[Count])</f>
        <v>51</v>
      </c>
      <c r="I9" t="str">
        <v>Dessert</v>
      </c>
      <c r="J9" s="5">
        <f t="shared" si="0"/>
        <v>211</v>
      </c>
    </row>
    <row r="10" spans="1:11" x14ac:dyDescent="0.25">
      <c r="B10" t="s">
        <v>362</v>
      </c>
      <c r="C10">
        <v>51</v>
      </c>
      <c r="E10" t="str">
        <v>Asian Ethnic Cuisine (Other)</v>
      </c>
      <c r="F10" s="8" t="s">
        <v>727</v>
      </c>
      <c r="G10" s="5">
        <f>SUMIF(Append1[rstcat (eng) raw],E10,Append1[Count])</f>
        <v>6</v>
      </c>
      <c r="I10" t="str">
        <v>Drinks</v>
      </c>
      <c r="J10" s="5">
        <f t="shared" si="0"/>
        <v>92</v>
      </c>
    </row>
    <row r="11" spans="1:11" x14ac:dyDescent="0.25">
      <c r="A11" t="s">
        <v>190</v>
      </c>
      <c r="B11" t="s">
        <v>526</v>
      </c>
      <c r="C11">
        <v>6</v>
      </c>
      <c r="E11" t="str">
        <v>Bagels</v>
      </c>
      <c r="F11" s="8" t="s">
        <v>717</v>
      </c>
      <c r="G11" s="5">
        <f>SUMIF(Append1[rstcat (eng) raw],E11,Append1[Count])</f>
        <v>1</v>
      </c>
      <c r="I11" t="str">
        <v>Family</v>
      </c>
      <c r="J11" s="5">
        <f t="shared" si="0"/>
        <v>55</v>
      </c>
    </row>
    <row r="12" spans="1:11" x14ac:dyDescent="0.25">
      <c r="B12" t="s">
        <v>363</v>
      </c>
      <c r="C12">
        <v>1</v>
      </c>
      <c r="E12" t="str">
        <v>Bakery</v>
      </c>
      <c r="F12" s="8" t="s">
        <v>717</v>
      </c>
      <c r="G12" s="5">
        <f>SUMIF(Append1[rstcat (eng) raw],E12,Append1[Count])</f>
        <v>28</v>
      </c>
      <c r="I12" t="str">
        <v>Fast Food</v>
      </c>
      <c r="J12" s="5">
        <f t="shared" si="0"/>
        <v>99</v>
      </c>
    </row>
    <row r="13" spans="1:11" x14ac:dyDescent="0.25">
      <c r="B13" t="s">
        <v>364</v>
      </c>
      <c r="C13">
        <v>7</v>
      </c>
      <c r="E13" t="str">
        <v>bar</v>
      </c>
      <c r="F13" s="8" t="s">
        <v>763</v>
      </c>
      <c r="G13" s="5">
        <f>SUMIF(Append1[rstcat (eng) raw],E13,Append1[Count])</f>
        <v>174</v>
      </c>
      <c r="I13" t="str">
        <v>Grilled</v>
      </c>
      <c r="J13" s="5">
        <f t="shared" si="0"/>
        <v>141</v>
      </c>
    </row>
    <row r="14" spans="1:11" x14ac:dyDescent="0.25">
      <c r="A14" t="s">
        <v>505</v>
      </c>
      <c r="B14" t="s">
        <v>364</v>
      </c>
      <c r="C14">
        <v>21</v>
      </c>
      <c r="E14" t="str">
        <v>Bar / liquor (other)</v>
      </c>
      <c r="F14" s="8" t="s">
        <v>763</v>
      </c>
      <c r="G14" s="5">
        <f>SUMIF(Append1[rstcat (eng) raw],E14,Append1[Count])</f>
        <v>16</v>
      </c>
      <c r="I14" t="str">
        <v>Halal</v>
      </c>
      <c r="J14" s="5">
        <f t="shared" si="0"/>
        <v>3</v>
      </c>
    </row>
    <row r="15" spans="1:11" x14ac:dyDescent="0.25">
      <c r="A15" t="s">
        <v>249</v>
      </c>
      <c r="B15" t="s">
        <v>584</v>
      </c>
      <c r="C15">
        <v>174</v>
      </c>
      <c r="E15" t="str">
        <v>Bar Bar</v>
      </c>
      <c r="F15" s="8" t="s">
        <v>763</v>
      </c>
      <c r="G15" s="5">
        <f>SUMIF(Append1[rstcat (eng) raw],E15,Append1[Count])</f>
        <v>11</v>
      </c>
      <c r="I15" t="str">
        <v>Hawaiian Cuisine</v>
      </c>
      <c r="J15" s="5">
        <f t="shared" si="0"/>
        <v>7</v>
      </c>
    </row>
    <row r="16" spans="1:11" x14ac:dyDescent="0.25">
      <c r="A16" t="s">
        <v>250</v>
      </c>
      <c r="B16" t="s">
        <v>585</v>
      </c>
      <c r="C16">
        <v>16</v>
      </c>
      <c r="E16" t="str">
        <v>barbecue</v>
      </c>
      <c r="F16" s="8" t="s">
        <v>365</v>
      </c>
      <c r="G16" s="5">
        <f>SUMIF(Append1[rstcat (eng) raw],E16,Append1[Count])</f>
        <v>2</v>
      </c>
      <c r="I16" t="str">
        <v>Healthy</v>
      </c>
      <c r="J16" s="5">
        <f t="shared" si="0"/>
        <v>194</v>
      </c>
    </row>
    <row r="17" spans="1:10" x14ac:dyDescent="0.25">
      <c r="A17" t="s">
        <v>257</v>
      </c>
      <c r="B17" t="s">
        <v>592</v>
      </c>
      <c r="C17">
        <v>11</v>
      </c>
      <c r="E17" t="str">
        <v>BBQ</v>
      </c>
      <c r="F17" s="8" t="s">
        <v>365</v>
      </c>
      <c r="G17" s="5">
        <f>SUMIF(Append1[rstcat (eng) raw],E17,Append1[Count])</f>
        <v>49</v>
      </c>
      <c r="I17" t="str">
        <v>Indian Cuisine</v>
      </c>
      <c r="J17" s="5">
        <f t="shared" si="0"/>
        <v>179</v>
      </c>
    </row>
    <row r="18" spans="1:10" x14ac:dyDescent="0.25">
      <c r="A18" t="s">
        <v>251</v>
      </c>
      <c r="B18" t="s">
        <v>586</v>
      </c>
      <c r="C18">
        <v>2</v>
      </c>
      <c r="E18" t="str">
        <v>beef bowl</v>
      </c>
      <c r="F18" s="8" t="s">
        <v>730</v>
      </c>
      <c r="G18" s="5">
        <f>SUMIF(Append1[rstcat (eng) raw],E18,Append1[Count])</f>
        <v>8</v>
      </c>
      <c r="I18" t="str">
        <v>Izakaya</v>
      </c>
      <c r="J18" s="5">
        <f t="shared" si="0"/>
        <v>66</v>
      </c>
    </row>
    <row r="19" spans="1:10" x14ac:dyDescent="0.25">
      <c r="B19" t="s">
        <v>365</v>
      </c>
      <c r="C19">
        <v>49</v>
      </c>
      <c r="E19" t="str">
        <v>Beef dish</v>
      </c>
      <c r="F19" s="8" t="s">
        <v>730</v>
      </c>
      <c r="G19" s="5">
        <f>SUMIF(Append1[rstcat (eng) raw],E19,Append1[Count])</f>
        <v>4</v>
      </c>
      <c r="I19" t="str">
        <v>Japanese Cuisine</v>
      </c>
      <c r="J19" s="5">
        <f t="shared" si="0"/>
        <v>1201</v>
      </c>
    </row>
    <row r="20" spans="1:10" x14ac:dyDescent="0.25">
      <c r="A20" t="s">
        <v>330</v>
      </c>
      <c r="B20" t="s">
        <v>665</v>
      </c>
      <c r="C20">
        <v>8</v>
      </c>
      <c r="E20" t="str">
        <v>Beer</v>
      </c>
      <c r="F20" s="8" t="s">
        <v>763</v>
      </c>
      <c r="G20" s="5">
        <f>SUMIF(Append1[rstcat (eng) raw],E20,Append1[Count])</f>
        <v>2</v>
      </c>
      <c r="I20" t="str">
        <v>Korean Cuisine</v>
      </c>
      <c r="J20" s="5">
        <f t="shared" si="0"/>
        <v>104</v>
      </c>
    </row>
    <row r="21" spans="1:10" x14ac:dyDescent="0.25">
      <c r="A21" t="s">
        <v>331</v>
      </c>
      <c r="B21" t="s">
        <v>666</v>
      </c>
      <c r="C21">
        <v>4</v>
      </c>
      <c r="E21" t="str">
        <v>Beer bar</v>
      </c>
      <c r="F21" s="8" t="s">
        <v>763</v>
      </c>
      <c r="G21" s="5">
        <f>SUMIF(Append1[rstcat (eng) raw],E21,Append1[Count])</f>
        <v>6</v>
      </c>
      <c r="I21" t="str">
        <v>Latin America Cuisine</v>
      </c>
      <c r="J21" s="5">
        <f t="shared" si="0"/>
        <v>30</v>
      </c>
    </row>
    <row r="22" spans="1:10" x14ac:dyDescent="0.25">
      <c r="A22" t="s">
        <v>502</v>
      </c>
      <c r="B22" t="s">
        <v>718</v>
      </c>
      <c r="C22">
        <v>2</v>
      </c>
      <c r="E22" t="str">
        <v>beer garden</v>
      </c>
      <c r="F22" s="8" t="s">
        <v>763</v>
      </c>
      <c r="G22" s="5">
        <f>SUMIF(Append1[rstcat (eng) raw],E22,Append1[Count])</f>
        <v>2</v>
      </c>
      <c r="I22" t="str">
        <v>Meat</v>
      </c>
      <c r="J22" s="5">
        <f t="shared" si="0"/>
        <v>402</v>
      </c>
    </row>
    <row r="23" spans="1:10" x14ac:dyDescent="0.25">
      <c r="A23" t="s">
        <v>264</v>
      </c>
      <c r="B23" t="s">
        <v>598</v>
      </c>
      <c r="C23">
        <v>6</v>
      </c>
      <c r="E23" t="str">
        <v>Beer Hall Bear Restaurant</v>
      </c>
      <c r="F23" s="8" t="s">
        <v>763</v>
      </c>
      <c r="G23" s="5">
        <f>SUMIF(Append1[rstcat (eng) raw],E23,Append1[Count])</f>
        <v>3</v>
      </c>
      <c r="I23" t="str">
        <v>Mediterranean Cuisine</v>
      </c>
      <c r="J23" s="5">
        <f t="shared" si="0"/>
        <v>334</v>
      </c>
    </row>
    <row r="24" spans="1:10" x14ac:dyDescent="0.25">
      <c r="A24" t="s">
        <v>263</v>
      </c>
      <c r="B24" t="s">
        <v>597</v>
      </c>
      <c r="C24">
        <v>2</v>
      </c>
      <c r="E24" t="str">
        <v>Bento</v>
      </c>
      <c r="F24" s="8" t="s">
        <v>366</v>
      </c>
      <c r="G24" s="5">
        <f>SUMIF(Append1[rstcat (eng) raw],E24,Append1[Count])</f>
        <v>48</v>
      </c>
      <c r="I24" t="str">
        <v>Noodles</v>
      </c>
      <c r="J24" s="5">
        <f t="shared" si="0"/>
        <v>558</v>
      </c>
    </row>
    <row r="25" spans="1:10" x14ac:dyDescent="0.25">
      <c r="A25" t="s">
        <v>265</v>
      </c>
      <c r="B25" t="s">
        <v>599</v>
      </c>
      <c r="C25">
        <v>3</v>
      </c>
      <c r="E25" t="str">
        <v>Bird food</v>
      </c>
      <c r="F25" s="8" t="s">
        <v>730</v>
      </c>
      <c r="G25" s="5">
        <f>SUMIF(Append1[rstcat (eng) raw],E25,Append1[Count])</f>
        <v>15</v>
      </c>
      <c r="I25" t="str">
        <v>Other</v>
      </c>
      <c r="J25" s="5">
        <f t="shared" si="0"/>
        <v>14</v>
      </c>
    </row>
    <row r="26" spans="1:10" x14ac:dyDescent="0.25">
      <c r="B26" t="s">
        <v>366</v>
      </c>
      <c r="C26">
        <v>48</v>
      </c>
      <c r="E26" t="str">
        <v>Birdfood</v>
      </c>
      <c r="F26" s="8" t="s">
        <v>730</v>
      </c>
      <c r="G26" s="5">
        <f>SUMIF(Append1[rstcat (eng) raw],E26,Append1[Count])</f>
        <v>49</v>
      </c>
      <c r="I26" t="str">
        <v>Others</v>
      </c>
      <c r="J26" s="5">
        <f t="shared" si="0"/>
        <v>273</v>
      </c>
    </row>
    <row r="27" spans="1:10" x14ac:dyDescent="0.25">
      <c r="A27" t="s">
        <v>355</v>
      </c>
      <c r="B27" t="s">
        <v>689</v>
      </c>
      <c r="C27">
        <v>15</v>
      </c>
      <c r="E27" t="str">
        <v>Biryani</v>
      </c>
      <c r="F27" s="8" t="s">
        <v>723</v>
      </c>
      <c r="G27" s="5">
        <f>SUMIF(Append1[rstcat (eng) raw],E27,Append1[Count])</f>
        <v>1</v>
      </c>
      <c r="I27" t="str">
        <v>Rice</v>
      </c>
      <c r="J27" s="5">
        <f t="shared" si="0"/>
        <v>267</v>
      </c>
    </row>
    <row r="28" spans="1:10" x14ac:dyDescent="0.25">
      <c r="A28" t="s">
        <v>355</v>
      </c>
      <c r="B28" t="s">
        <v>734</v>
      </c>
      <c r="C28">
        <v>49</v>
      </c>
      <c r="E28" t="str">
        <v>bistro</v>
      </c>
      <c r="F28" s="8" t="s">
        <v>717</v>
      </c>
      <c r="G28" s="5">
        <f>SUMIF(Append1[rstcat (eng) raw],E28,Append1[Count])</f>
        <v>24</v>
      </c>
      <c r="I28" t="str">
        <v>Seafood</v>
      </c>
      <c r="J28" s="5">
        <f t="shared" si="0"/>
        <v>213</v>
      </c>
    </row>
    <row r="29" spans="1:10" x14ac:dyDescent="0.25">
      <c r="B29" t="s">
        <v>367</v>
      </c>
      <c r="C29">
        <v>1</v>
      </c>
      <c r="E29" t="str">
        <v>Bowl food (other)</v>
      </c>
      <c r="F29" s="8" t="s">
        <v>724</v>
      </c>
      <c r="G29" s="5">
        <f>SUMIF(Append1[rstcat (eng) raw],E29,Append1[Count])</f>
        <v>10</v>
      </c>
      <c r="I29" t="str">
        <v>Snacks</v>
      </c>
      <c r="J29" s="5">
        <f t="shared" si="0"/>
        <v>504</v>
      </c>
    </row>
    <row r="30" spans="1:10" x14ac:dyDescent="0.25">
      <c r="A30" t="s">
        <v>22</v>
      </c>
      <c r="B30" t="s">
        <v>480</v>
      </c>
      <c r="C30">
        <v>21</v>
      </c>
      <c r="E30" t="str">
        <v>Bowls</v>
      </c>
      <c r="F30" s="8" t="s">
        <v>724</v>
      </c>
      <c r="G30" s="5">
        <f>SUMIF(Append1[rstcat (eng) raw],E30,Append1[Count])</f>
        <v>202</v>
      </c>
      <c r="I30" t="str">
        <v>Sushi</v>
      </c>
      <c r="J30" s="5">
        <f t="shared" si="0"/>
        <v>135</v>
      </c>
    </row>
    <row r="31" spans="1:10" x14ac:dyDescent="0.25">
      <c r="B31" t="s">
        <v>368</v>
      </c>
      <c r="C31">
        <v>1</v>
      </c>
      <c r="E31" t="str">
        <v>Brazilian</v>
      </c>
      <c r="F31" s="8" t="s">
        <v>780</v>
      </c>
      <c r="G31" s="5">
        <f>SUMIF(Append1[rstcat (eng) raw],E31,Append1[Count])</f>
        <v>2</v>
      </c>
      <c r="I31" t="str">
        <v>Tempura</v>
      </c>
      <c r="J31" s="5">
        <f t="shared" si="0"/>
        <v>85</v>
      </c>
    </row>
    <row r="32" spans="1:10" x14ac:dyDescent="0.25">
      <c r="A32" t="s">
        <v>480</v>
      </c>
      <c r="B32" t="s">
        <v>480</v>
      </c>
      <c r="C32">
        <v>1</v>
      </c>
      <c r="E32" t="str">
        <v>Brazilian cuisine</v>
      </c>
      <c r="F32" s="8" t="s">
        <v>780</v>
      </c>
      <c r="G32" s="5">
        <f>SUMIF(Append1[rstcat (eng) raw],E32,Append1[Count])</f>
        <v>1</v>
      </c>
      <c r="I32" t="str">
        <v>Western Cuisine</v>
      </c>
      <c r="J32" s="5">
        <f t="shared" si="0"/>
        <v>351</v>
      </c>
    </row>
    <row r="33" spans="1:12" x14ac:dyDescent="0.25">
      <c r="A33" t="s">
        <v>22</v>
      </c>
      <c r="B33" t="s">
        <v>480</v>
      </c>
      <c r="C33">
        <v>1</v>
      </c>
      <c r="E33" t="str">
        <v>bread</v>
      </c>
      <c r="F33" s="8" t="s">
        <v>717</v>
      </c>
      <c r="G33" s="5">
        <f>SUMIF(Append1[rstcat (eng) raw],E33,Append1[Count])</f>
        <v>28</v>
      </c>
      <c r="J33" s="5">
        <f t="shared" si="0"/>
        <v>0</v>
      </c>
    </row>
    <row r="34" spans="1:12" x14ac:dyDescent="0.25">
      <c r="A34" t="s">
        <v>291</v>
      </c>
      <c r="B34" t="s">
        <v>626</v>
      </c>
      <c r="C34">
        <v>10</v>
      </c>
      <c r="E34" t="str">
        <v>Bread sandwich (other)</v>
      </c>
      <c r="F34" s="8" t="s">
        <v>717</v>
      </c>
      <c r="G34" s="5">
        <f>SUMIF(Append1[rstcat (eng) raw],E34,Append1[Count])</f>
        <v>6</v>
      </c>
      <c r="L34" s="7">
        <f>COUNTA(I:I)-1</f>
        <v>31</v>
      </c>
    </row>
    <row r="35" spans="1:12" x14ac:dyDescent="0.25">
      <c r="B35" t="s">
        <v>369</v>
      </c>
      <c r="C35">
        <v>202</v>
      </c>
      <c r="E35" t="str">
        <v>Breakfast and Brunch</v>
      </c>
      <c r="F35" s="8" t="s">
        <v>717</v>
      </c>
      <c r="G35" s="5">
        <f>SUMIF(Append1[rstcat (eng) raw],E35,Append1[Count])</f>
        <v>10</v>
      </c>
    </row>
    <row r="36" spans="1:12" x14ac:dyDescent="0.25">
      <c r="B36" t="s">
        <v>370</v>
      </c>
      <c r="C36">
        <v>2</v>
      </c>
      <c r="E36" t="str">
        <v>Brito</v>
      </c>
      <c r="F36" s="8" t="s">
        <v>780</v>
      </c>
      <c r="G36" s="5">
        <f>SUMIF(Append1[rstcat (eng) raw],E36,Append1[Count])</f>
        <v>1</v>
      </c>
    </row>
    <row r="37" spans="1:12" x14ac:dyDescent="0.25">
      <c r="A37" t="s">
        <v>269</v>
      </c>
      <c r="B37" t="s">
        <v>603</v>
      </c>
      <c r="C37">
        <v>1</v>
      </c>
      <c r="E37" t="str">
        <v>Bubble Tea</v>
      </c>
      <c r="F37" s="8" t="s">
        <v>391</v>
      </c>
      <c r="G37" s="5">
        <f>SUMIF(Append1[rstcat (eng) raw],E37,Append1[Count])</f>
        <v>16</v>
      </c>
    </row>
    <row r="38" spans="1:12" x14ac:dyDescent="0.25">
      <c r="A38" t="s">
        <v>258</v>
      </c>
      <c r="B38" t="s">
        <v>593</v>
      </c>
      <c r="C38">
        <v>28</v>
      </c>
      <c r="E38" t="str">
        <v>Burgers</v>
      </c>
      <c r="F38" s="8" t="s">
        <v>721</v>
      </c>
      <c r="G38" s="5">
        <f>SUMIF(Append1[rstcat (eng) raw],E38,Append1[Count])</f>
        <v>44</v>
      </c>
    </row>
    <row r="39" spans="1:12" x14ac:dyDescent="0.25">
      <c r="A39" t="s">
        <v>259</v>
      </c>
      <c r="B39" t="s">
        <v>594</v>
      </c>
      <c r="C39">
        <v>6</v>
      </c>
      <c r="E39" t="str">
        <v>Cafe</v>
      </c>
      <c r="F39" s="8" t="s">
        <v>717</v>
      </c>
      <c r="G39" s="5">
        <f>SUMIF(Append1[rstcat (eng) raw],E39,Append1[Count])</f>
        <v>206</v>
      </c>
    </row>
    <row r="40" spans="1:12" x14ac:dyDescent="0.25">
      <c r="B40" t="s">
        <v>371</v>
      </c>
      <c r="C40">
        <v>10</v>
      </c>
      <c r="E40" t="str">
        <v>Cafe / cafe (other)</v>
      </c>
      <c r="F40" s="8" t="s">
        <v>717</v>
      </c>
      <c r="G40" s="5">
        <f>SUMIF(Append1[rstcat (eng) raw],E40,Append1[Count])</f>
        <v>9</v>
      </c>
    </row>
    <row r="41" spans="1:12" x14ac:dyDescent="0.25">
      <c r="A41" t="s">
        <v>503</v>
      </c>
      <c r="B41" t="s">
        <v>707</v>
      </c>
      <c r="C41">
        <v>1</v>
      </c>
      <c r="E41" t="str">
        <v>cake</v>
      </c>
      <c r="F41" s="8" t="s">
        <v>717</v>
      </c>
      <c r="G41" s="5">
        <f>SUMIF(Append1[rstcat (eng) raw],E41,Append1[Count])</f>
        <v>37</v>
      </c>
    </row>
    <row r="42" spans="1:12" x14ac:dyDescent="0.25">
      <c r="B42" t="s">
        <v>372</v>
      </c>
      <c r="C42">
        <v>16</v>
      </c>
      <c r="E42" t="str">
        <v>Candy</v>
      </c>
      <c r="F42" s="8" t="s">
        <v>720</v>
      </c>
      <c r="G42" s="5">
        <f>SUMIF(Append1[rstcat (eng) raw],E42,Append1[Count])</f>
        <v>2</v>
      </c>
    </row>
    <row r="43" spans="1:12" x14ac:dyDescent="0.25">
      <c r="B43" t="s">
        <v>373</v>
      </c>
      <c r="C43">
        <v>44</v>
      </c>
      <c r="E43" t="str">
        <v>Cantonese</v>
      </c>
      <c r="F43" s="8" t="s">
        <v>727</v>
      </c>
      <c r="G43" s="5">
        <f>SUMIF(Append1[rstcat (eng) raw],E43,Append1[Count])</f>
        <v>1</v>
      </c>
    </row>
    <row r="44" spans="1:12" x14ac:dyDescent="0.25">
      <c r="A44" t="s">
        <v>205</v>
      </c>
      <c r="B44" t="s">
        <v>374</v>
      </c>
      <c r="C44">
        <v>82</v>
      </c>
      <c r="E44" t="str">
        <v>Cantonese cuisine</v>
      </c>
      <c r="F44" s="8" t="s">
        <v>727</v>
      </c>
      <c r="G44" s="5">
        <f>SUMIF(Append1[rstcat (eng) raw],E44,Append1[Count])</f>
        <v>2</v>
      </c>
    </row>
    <row r="45" spans="1:12" x14ac:dyDescent="0.25">
      <c r="B45" t="s">
        <v>374</v>
      </c>
      <c r="C45">
        <v>52</v>
      </c>
      <c r="E45" t="str">
        <v>Champon</v>
      </c>
      <c r="F45" s="8" t="s">
        <v>724</v>
      </c>
      <c r="G45" s="5">
        <f>SUMIF(Append1[rstcat (eng) raw],E45,Append1[Count])</f>
        <v>1</v>
      </c>
    </row>
    <row r="46" spans="1:12" x14ac:dyDescent="0.25">
      <c r="A46" t="s">
        <v>205</v>
      </c>
      <c r="B46" t="s">
        <v>374</v>
      </c>
      <c r="C46">
        <v>72</v>
      </c>
      <c r="E46" t="str">
        <v>Charcoal grilled</v>
      </c>
      <c r="F46" s="8" t="s">
        <v>660</v>
      </c>
      <c r="G46" s="5">
        <f>SUMIF(Append1[rstcat (eng) raw],E46,Append1[Count])</f>
        <v>1</v>
      </c>
    </row>
    <row r="47" spans="1:12" x14ac:dyDescent="0.25">
      <c r="A47" t="s">
        <v>206</v>
      </c>
      <c r="B47" t="s">
        <v>542</v>
      </c>
      <c r="C47">
        <v>9</v>
      </c>
      <c r="E47" t="str">
        <v>Cheese</v>
      </c>
      <c r="F47" s="8" t="s">
        <v>763</v>
      </c>
      <c r="G47" s="5">
        <f>SUMIF(Append1[rstcat (eng) raw],E47,Append1[Count])</f>
        <v>6</v>
      </c>
    </row>
    <row r="48" spans="1:12" x14ac:dyDescent="0.25">
      <c r="A48" t="s">
        <v>213</v>
      </c>
      <c r="B48" t="s">
        <v>548</v>
      </c>
      <c r="C48">
        <v>27</v>
      </c>
      <c r="E48" t="str">
        <v>Chicken</v>
      </c>
      <c r="F48" s="8" t="s">
        <v>730</v>
      </c>
      <c r="G48" s="5">
        <f>SUMIF(Append1[rstcat (eng) raw],E48,Append1[Count])</f>
        <v>129</v>
      </c>
    </row>
    <row r="49" spans="1:7" x14ac:dyDescent="0.25">
      <c r="A49" t="s">
        <v>213</v>
      </c>
      <c r="B49" t="s">
        <v>548</v>
      </c>
      <c r="C49">
        <v>10</v>
      </c>
      <c r="E49" t="str">
        <v>Chicken wing</v>
      </c>
      <c r="F49" s="8" t="s">
        <v>730</v>
      </c>
      <c r="G49" s="5">
        <f>SUMIF(Append1[rstcat (eng) raw],E49,Append1[Count])</f>
        <v>1</v>
      </c>
    </row>
    <row r="50" spans="1:7" x14ac:dyDescent="0.25">
      <c r="B50" t="s">
        <v>375</v>
      </c>
      <c r="C50">
        <v>2</v>
      </c>
      <c r="E50" t="str">
        <v>Chickenwings</v>
      </c>
      <c r="F50" s="8" t="s">
        <v>730</v>
      </c>
      <c r="G50" s="5">
        <f>SUMIF(Append1[rstcat (eng) raw],E50,Append1[Count])</f>
        <v>2</v>
      </c>
    </row>
    <row r="51" spans="1:7" x14ac:dyDescent="0.25">
      <c r="B51" t="s">
        <v>376</v>
      </c>
      <c r="C51">
        <v>1</v>
      </c>
      <c r="E51" t="str">
        <v>Chilean</v>
      </c>
      <c r="F51" s="8" t="s">
        <v>780</v>
      </c>
      <c r="G51" s="5">
        <f>SUMIF(Append1[rstcat (eng) raw],E51,Append1[Count])</f>
        <v>1</v>
      </c>
    </row>
    <row r="52" spans="1:7" x14ac:dyDescent="0.25">
      <c r="A52" t="s">
        <v>308</v>
      </c>
      <c r="B52" t="s">
        <v>643</v>
      </c>
      <c r="C52">
        <v>2</v>
      </c>
      <c r="E52" t="str">
        <v>China</v>
      </c>
      <c r="F52" s="8" t="s">
        <v>722</v>
      </c>
      <c r="G52" s="5">
        <f>SUMIF(Append1[rstcat (eng) raw],E52,Append1[Count])</f>
        <v>67</v>
      </c>
    </row>
    <row r="53" spans="1:7" x14ac:dyDescent="0.25">
      <c r="A53" t="s">
        <v>239</v>
      </c>
      <c r="B53" t="s">
        <v>574</v>
      </c>
      <c r="C53">
        <v>1</v>
      </c>
      <c r="E53" t="str">
        <v>Chinese</v>
      </c>
      <c r="F53" s="8" t="s">
        <v>722</v>
      </c>
      <c r="G53" s="5">
        <f>SUMIF(Append1[rstcat (eng) raw],E53,Append1[Count])</f>
        <v>86</v>
      </c>
    </row>
    <row r="54" spans="1:7" x14ac:dyDescent="0.25">
      <c r="A54" t="s">
        <v>322</v>
      </c>
      <c r="B54" t="s">
        <v>657</v>
      </c>
      <c r="C54">
        <v>1</v>
      </c>
      <c r="E54" t="str">
        <v>Chinese confectionery</v>
      </c>
      <c r="F54" s="8" t="s">
        <v>722</v>
      </c>
      <c r="G54" s="5">
        <f>SUMIF(Append1[rstcat (eng) raw],E54,Append1[Count])</f>
        <v>1</v>
      </c>
    </row>
    <row r="55" spans="1:7" x14ac:dyDescent="0.25">
      <c r="B55" t="s">
        <v>377</v>
      </c>
      <c r="C55">
        <v>6</v>
      </c>
      <c r="E55" t="str">
        <v>Chinese cuisine</v>
      </c>
      <c r="F55" s="8" t="s">
        <v>722</v>
      </c>
      <c r="G55" s="5">
        <f>SUMIF(Append1[rstcat (eng) raw],E55,Append1[Count])</f>
        <v>38</v>
      </c>
    </row>
    <row r="56" spans="1:7" x14ac:dyDescent="0.25">
      <c r="B56" t="s">
        <v>378</v>
      </c>
      <c r="C56">
        <v>129</v>
      </c>
      <c r="E56" t="str">
        <v>Chinese noodles (other)</v>
      </c>
      <c r="F56" s="8" t="s">
        <v>722</v>
      </c>
      <c r="G56" s="5">
        <f>SUMIF(Append1[rstcat (eng) raw],E56,Append1[Count])</f>
        <v>3</v>
      </c>
    </row>
    <row r="57" spans="1:7" x14ac:dyDescent="0.25">
      <c r="A57" t="s">
        <v>311</v>
      </c>
      <c r="B57" t="s">
        <v>646</v>
      </c>
      <c r="C57">
        <v>1</v>
      </c>
      <c r="E57" t="str">
        <v>Chinese pot ・ hot pot</v>
      </c>
      <c r="F57" s="8" t="s">
        <v>722</v>
      </c>
      <c r="G57" s="5">
        <f>SUMIF(Append1[rstcat (eng) raw],E57,Append1[Count])</f>
        <v>2</v>
      </c>
    </row>
    <row r="58" spans="1:7" x14ac:dyDescent="0.25">
      <c r="A58" t="s">
        <v>776</v>
      </c>
      <c r="B58" t="s">
        <v>735</v>
      </c>
      <c r="C58">
        <v>2</v>
      </c>
      <c r="E58" t="str">
        <v>Chinese tea specialty store</v>
      </c>
      <c r="F58" s="8" t="s">
        <v>722</v>
      </c>
      <c r="G58" s="5">
        <f>SUMIF(Append1[rstcat (eng) raw],E58,Append1[Count])</f>
        <v>1</v>
      </c>
    </row>
    <row r="59" spans="1:7" x14ac:dyDescent="0.25">
      <c r="B59" t="s">
        <v>379</v>
      </c>
      <c r="C59">
        <v>1</v>
      </c>
      <c r="E59" t="str">
        <v>Chinesecuisine</v>
      </c>
      <c r="F59" s="8" t="s">
        <v>722</v>
      </c>
      <c r="G59" s="5">
        <f>SUMIF(Append1[rstcat (eng) raw],E59,Append1[Count])</f>
        <v>3</v>
      </c>
    </row>
    <row r="60" spans="1:7" x14ac:dyDescent="0.25">
      <c r="A60" t="s">
        <v>510</v>
      </c>
      <c r="B60" t="s">
        <v>711</v>
      </c>
      <c r="C60">
        <v>67</v>
      </c>
      <c r="E60" t="str">
        <v>chocolate</v>
      </c>
      <c r="F60" s="8" t="s">
        <v>720</v>
      </c>
      <c r="G60" s="5">
        <f>SUMIF(Append1[rstcat (eng) raw],E60,Append1[Count])</f>
        <v>3</v>
      </c>
    </row>
    <row r="61" spans="1:7" x14ac:dyDescent="0.25">
      <c r="B61" t="s">
        <v>380</v>
      </c>
      <c r="C61">
        <v>86</v>
      </c>
      <c r="E61" t="str">
        <v>Cock hot pot</v>
      </c>
      <c r="F61" s="8" t="s">
        <v>722</v>
      </c>
      <c r="G61" s="5">
        <f>SUMIF(Append1[rstcat (eng) raw],E61,Append1[Count])</f>
        <v>1</v>
      </c>
    </row>
    <row r="62" spans="1:7" x14ac:dyDescent="0.25">
      <c r="A62" t="s">
        <v>287</v>
      </c>
      <c r="B62" t="s">
        <v>622</v>
      </c>
      <c r="C62">
        <v>1</v>
      </c>
      <c r="E62" t="str">
        <v>coffee</v>
      </c>
      <c r="F62" s="8" t="s">
        <v>717</v>
      </c>
      <c r="G62" s="5">
        <f>SUMIF(Append1[rstcat (eng) raw],E62,Append1[Count])</f>
        <v>46</v>
      </c>
    </row>
    <row r="63" spans="1:7" x14ac:dyDescent="0.25">
      <c r="A63" t="s">
        <v>37</v>
      </c>
      <c r="B63" t="s">
        <v>621</v>
      </c>
      <c r="C63">
        <v>38</v>
      </c>
      <c r="E63" t="str">
        <v>Coffee and Tea</v>
      </c>
      <c r="F63" s="8" t="s">
        <v>717</v>
      </c>
      <c r="G63" s="5">
        <f>SUMIF(Append1[rstcat (eng) raw],E63,Append1[Count])</f>
        <v>23</v>
      </c>
    </row>
    <row r="64" spans="1:7" x14ac:dyDescent="0.25">
      <c r="A64" t="s">
        <v>288</v>
      </c>
      <c r="B64" t="s">
        <v>623</v>
      </c>
      <c r="C64">
        <v>3</v>
      </c>
      <c r="E64" t="str">
        <v>Coffee shop</v>
      </c>
      <c r="F64" s="8" t="s">
        <v>717</v>
      </c>
      <c r="G64" s="5">
        <f>SUMIF(Append1[rstcat (eng) raw],E64,Append1[Count])</f>
        <v>37</v>
      </c>
    </row>
    <row r="65" spans="1:7" x14ac:dyDescent="0.25">
      <c r="A65" t="s">
        <v>286</v>
      </c>
      <c r="B65" t="s">
        <v>620</v>
      </c>
      <c r="C65">
        <v>2</v>
      </c>
      <c r="E65" t="str">
        <v>Coffee specialty store</v>
      </c>
      <c r="F65" s="8" t="s">
        <v>717</v>
      </c>
      <c r="G65" s="5">
        <f>SUMIF(Append1[rstcat (eng) raw],E65,Append1[Count])</f>
        <v>18</v>
      </c>
    </row>
    <row r="66" spans="1:7" x14ac:dyDescent="0.25">
      <c r="A66" t="s">
        <v>285</v>
      </c>
      <c r="B66" t="s">
        <v>619</v>
      </c>
      <c r="C66">
        <v>1</v>
      </c>
      <c r="E66" t="str">
        <v>Cold noodle</v>
      </c>
      <c r="F66" s="8" t="s">
        <v>724</v>
      </c>
      <c r="G66" s="5">
        <f>SUMIF(Append1[rstcat (eng) raw],E66,Append1[Count])</f>
        <v>2</v>
      </c>
    </row>
    <row r="67" spans="1:7" x14ac:dyDescent="0.25">
      <c r="A67" t="s">
        <v>37</v>
      </c>
      <c r="B67" t="s">
        <v>736</v>
      </c>
      <c r="C67">
        <v>3</v>
      </c>
      <c r="E67" t="str">
        <v>Comfort Food</v>
      </c>
      <c r="F67" s="8" t="s">
        <v>450</v>
      </c>
      <c r="G67" s="5">
        <f>SUMIF(Append1[rstcat (eng) raw],E67,Append1[Count])</f>
        <v>15</v>
      </c>
    </row>
    <row r="68" spans="1:7" x14ac:dyDescent="0.25">
      <c r="A68" t="s">
        <v>240</v>
      </c>
      <c r="B68" t="s">
        <v>575</v>
      </c>
      <c r="C68">
        <v>3</v>
      </c>
      <c r="E68" t="str">
        <v>company cafeteria</v>
      </c>
      <c r="F68" s="8" t="s">
        <v>717</v>
      </c>
      <c r="G68" s="5">
        <f>SUMIF(Append1[rstcat (eng) raw],E68,Append1[Count])</f>
        <v>1</v>
      </c>
    </row>
    <row r="69" spans="1:7" x14ac:dyDescent="0.25">
      <c r="A69" t="s">
        <v>238</v>
      </c>
      <c r="B69" t="s">
        <v>573</v>
      </c>
      <c r="C69">
        <v>1</v>
      </c>
      <c r="E69" t="str">
        <v>Congee</v>
      </c>
      <c r="F69" s="8" t="s">
        <v>722</v>
      </c>
      <c r="G69" s="5">
        <f>SUMIF(Append1[rstcat (eng) raw],E69,Append1[Count])</f>
        <v>1</v>
      </c>
    </row>
    <row r="70" spans="1:7" x14ac:dyDescent="0.25">
      <c r="A70" t="s">
        <v>492</v>
      </c>
      <c r="B70" t="s">
        <v>698</v>
      </c>
      <c r="C70">
        <v>46</v>
      </c>
      <c r="E70" t="str">
        <v>Conveyor belt sushi</v>
      </c>
      <c r="F70" s="8" t="s">
        <v>459</v>
      </c>
      <c r="G70" s="5">
        <f>SUMIF(Append1[rstcat (eng) raw],E70,Append1[Count])</f>
        <v>6</v>
      </c>
    </row>
    <row r="71" spans="1:7" x14ac:dyDescent="0.25">
      <c r="B71" t="s">
        <v>381</v>
      </c>
      <c r="C71">
        <v>23</v>
      </c>
      <c r="E71" t="str">
        <v>Cooking / small dishes</v>
      </c>
      <c r="F71" s="8" t="s">
        <v>450</v>
      </c>
      <c r="G71" s="5">
        <f>SUMIF(Append1[rstcat (eng) raw],E71,Append1[Count])</f>
        <v>37</v>
      </c>
    </row>
    <row r="72" spans="1:7" x14ac:dyDescent="0.25">
      <c r="A72" t="s">
        <v>297</v>
      </c>
      <c r="B72" t="s">
        <v>633</v>
      </c>
      <c r="C72">
        <v>37</v>
      </c>
      <c r="E72" t="str">
        <v>Crab</v>
      </c>
      <c r="F72" s="8" t="s">
        <v>448</v>
      </c>
      <c r="G72" s="5">
        <f>SUMIF(Append1[rstcat (eng) raw],E72,Append1[Count])</f>
        <v>2</v>
      </c>
    </row>
    <row r="73" spans="1:7" x14ac:dyDescent="0.25">
      <c r="A73" t="s">
        <v>214</v>
      </c>
      <c r="B73" t="s">
        <v>549</v>
      </c>
      <c r="C73">
        <v>18</v>
      </c>
      <c r="E73" t="str">
        <v>Creative cuisine</v>
      </c>
      <c r="F73" s="8" t="s">
        <v>450</v>
      </c>
      <c r="G73" s="5">
        <f>SUMIF(Append1[rstcat (eng) raw],E73,Append1[Count])</f>
        <v>12</v>
      </c>
    </row>
    <row r="74" spans="1:7" x14ac:dyDescent="0.25">
      <c r="A74" t="s">
        <v>292</v>
      </c>
      <c r="B74" t="s">
        <v>627</v>
      </c>
      <c r="C74">
        <v>2</v>
      </c>
      <c r="E74" t="str">
        <v>Crepe</v>
      </c>
      <c r="F74" s="8" t="s">
        <v>717</v>
      </c>
      <c r="G74" s="5">
        <f>SUMIF(Append1[rstcat (eng) raw],E74,Append1[Count])</f>
        <v>16</v>
      </c>
    </row>
    <row r="75" spans="1:7" x14ac:dyDescent="0.25">
      <c r="B75" t="s">
        <v>382</v>
      </c>
      <c r="C75">
        <v>15</v>
      </c>
      <c r="E75" t="str">
        <v>Croquette fly</v>
      </c>
      <c r="F75" s="8" t="s">
        <v>450</v>
      </c>
      <c r="G75" s="5">
        <f>SUMIF(Append1[rstcat (eng) raw],E75,Append1[Count])</f>
        <v>4</v>
      </c>
    </row>
    <row r="76" spans="1:7" x14ac:dyDescent="0.25">
      <c r="A76" t="s">
        <v>333</v>
      </c>
      <c r="B76" t="s">
        <v>668</v>
      </c>
      <c r="C76">
        <v>1</v>
      </c>
      <c r="E76" t="str">
        <v>Cuisine</v>
      </c>
      <c r="F76" s="8" t="s">
        <v>782</v>
      </c>
      <c r="G76" s="5">
        <f>SUMIF(Append1[rstcat (eng) raw],E76,Append1[Count])</f>
        <v>6</v>
      </c>
    </row>
    <row r="77" spans="1:7" x14ac:dyDescent="0.25">
      <c r="B77" t="s">
        <v>383</v>
      </c>
      <c r="C77">
        <v>1</v>
      </c>
      <c r="E77" t="str">
        <v>cupcake</v>
      </c>
      <c r="F77" s="8" t="s">
        <v>717</v>
      </c>
      <c r="G77" s="5">
        <f>SUMIF(Append1[rstcat (eng) raw],E77,Append1[Count])</f>
        <v>1</v>
      </c>
    </row>
    <row r="78" spans="1:7" x14ac:dyDescent="0.25">
      <c r="A78" t="s">
        <v>298</v>
      </c>
      <c r="B78" t="s">
        <v>635</v>
      </c>
      <c r="C78">
        <v>6</v>
      </c>
      <c r="E78" t="str">
        <v>Cupcakes</v>
      </c>
      <c r="F78" s="8" t="s">
        <v>717</v>
      </c>
      <c r="G78" s="5">
        <f>SUMIF(Append1[rstcat (eng) raw],E78,Append1[Count])</f>
        <v>1</v>
      </c>
    </row>
    <row r="79" spans="1:7" x14ac:dyDescent="0.25">
      <c r="A79" t="s">
        <v>293</v>
      </c>
      <c r="B79" t="s">
        <v>628</v>
      </c>
      <c r="C79">
        <v>37</v>
      </c>
      <c r="E79" t="str">
        <v>curry</v>
      </c>
      <c r="F79" s="8" t="s">
        <v>765</v>
      </c>
      <c r="G79" s="5">
        <f>SUMIF(Append1[rstcat (eng) raw],E79,Append1[Count])</f>
        <v>163</v>
      </c>
    </row>
    <row r="80" spans="1:7" x14ac:dyDescent="0.25">
      <c r="A80" t="s">
        <v>204</v>
      </c>
      <c r="B80" t="s">
        <v>541</v>
      </c>
      <c r="C80">
        <v>2</v>
      </c>
      <c r="E80" t="str">
        <v>Curry (other)</v>
      </c>
      <c r="F80" s="8" t="s">
        <v>765</v>
      </c>
      <c r="G80" s="5">
        <f>SUMIF(Append1[rstcat (eng) raw],E80,Append1[Count])</f>
        <v>3</v>
      </c>
    </row>
    <row r="81" spans="1:7" x14ac:dyDescent="0.25">
      <c r="A81" t="s">
        <v>294</v>
      </c>
      <c r="B81" t="s">
        <v>629</v>
      </c>
      <c r="C81">
        <v>12</v>
      </c>
      <c r="E81" t="str">
        <v>Curry Rice</v>
      </c>
      <c r="F81" s="8" t="s">
        <v>765</v>
      </c>
      <c r="G81" s="5">
        <f>SUMIF(Append1[rstcat (eng) raw],E81,Append1[Count])</f>
        <v>28</v>
      </c>
    </row>
    <row r="82" spans="1:7" x14ac:dyDescent="0.25">
      <c r="A82" t="s">
        <v>212</v>
      </c>
      <c r="B82" t="s">
        <v>384</v>
      </c>
      <c r="C82">
        <v>3</v>
      </c>
      <c r="E82" t="str">
        <v>Curry udon</v>
      </c>
      <c r="F82" s="8" t="s">
        <v>765</v>
      </c>
      <c r="G82" s="5">
        <f>SUMIF(Append1[rstcat (eng) raw],E82,Append1[Count])</f>
        <v>1</v>
      </c>
    </row>
    <row r="83" spans="1:7" x14ac:dyDescent="0.25">
      <c r="B83" t="s">
        <v>384</v>
      </c>
      <c r="C83">
        <v>3</v>
      </c>
      <c r="E83" t="str">
        <v>Dandan noodles</v>
      </c>
      <c r="F83" s="8" t="s">
        <v>722</v>
      </c>
      <c r="G83" s="5">
        <f>SUMIF(Append1[rstcat (eng) raw],E83,Append1[Count])</f>
        <v>3</v>
      </c>
    </row>
    <row r="84" spans="1:7" x14ac:dyDescent="0.25">
      <c r="A84" t="s">
        <v>212</v>
      </c>
      <c r="B84" t="s">
        <v>384</v>
      </c>
      <c r="C84">
        <v>10</v>
      </c>
      <c r="E84" t="str">
        <v>Deli</v>
      </c>
      <c r="F84" s="8" t="s">
        <v>717</v>
      </c>
      <c r="G84" s="5">
        <f>SUMIF(Append1[rstcat (eng) raw],E84,Append1[Count])</f>
        <v>5</v>
      </c>
    </row>
    <row r="85" spans="1:7" x14ac:dyDescent="0.25">
      <c r="A85" t="s">
        <v>215</v>
      </c>
      <c r="B85" t="s">
        <v>550</v>
      </c>
      <c r="C85">
        <v>4</v>
      </c>
      <c r="E85" t="str">
        <v>delicatessen</v>
      </c>
      <c r="F85" s="8" t="s">
        <v>717</v>
      </c>
      <c r="G85" s="5">
        <f>SUMIF(Append1[rstcat (eng) raw],E85,Append1[Count])</f>
        <v>13</v>
      </c>
    </row>
    <row r="86" spans="1:7" x14ac:dyDescent="0.25">
      <c r="A86" t="s">
        <v>775</v>
      </c>
      <c r="B86" t="s">
        <v>737</v>
      </c>
      <c r="C86">
        <v>6</v>
      </c>
      <c r="E86" t="str">
        <v>dessert</v>
      </c>
      <c r="F86" s="8" t="s">
        <v>720</v>
      </c>
      <c r="G86" s="5">
        <f>SUMIF(Append1[rstcat (eng) raw],E86,Append1[Count])</f>
        <v>68</v>
      </c>
    </row>
    <row r="87" spans="1:7" x14ac:dyDescent="0.25">
      <c r="A87" t="s">
        <v>769</v>
      </c>
      <c r="B87" t="s">
        <v>738</v>
      </c>
      <c r="C87">
        <v>1</v>
      </c>
      <c r="E87" t="str">
        <v>Desserts</v>
      </c>
      <c r="F87" s="8" t="s">
        <v>720</v>
      </c>
      <c r="G87" s="5">
        <f>SUMIF(Append1[rstcat (eng) raw],E87,Append1[Count])</f>
        <v>41</v>
      </c>
    </row>
    <row r="88" spans="1:7" x14ac:dyDescent="0.25">
      <c r="B88" t="s">
        <v>385</v>
      </c>
      <c r="C88">
        <v>1</v>
      </c>
      <c r="E88" t="str">
        <v>Dim Sum</v>
      </c>
      <c r="F88" s="8" t="s">
        <v>722</v>
      </c>
      <c r="G88" s="5">
        <f>SUMIF(Append1[rstcat (eng) raw],E88,Append1[Count])</f>
        <v>7</v>
      </c>
    </row>
    <row r="89" spans="1:7" x14ac:dyDescent="0.25">
      <c r="A89" t="s">
        <v>489</v>
      </c>
      <c r="B89" t="s">
        <v>695</v>
      </c>
      <c r="C89">
        <v>163</v>
      </c>
      <c r="E89" t="str">
        <v>Dining bar</v>
      </c>
      <c r="F89" s="8" t="s">
        <v>763</v>
      </c>
      <c r="G89" s="5">
        <f>SUMIF(Append1[rstcat (eng) raw],E89,Append1[Count])</f>
        <v>50</v>
      </c>
    </row>
    <row r="90" spans="1:7" x14ac:dyDescent="0.25">
      <c r="A90" t="s">
        <v>208</v>
      </c>
      <c r="B90" t="s">
        <v>544</v>
      </c>
      <c r="C90">
        <v>3</v>
      </c>
      <c r="E90" t="str">
        <v>Dog</v>
      </c>
      <c r="F90" s="8" t="s">
        <v>450</v>
      </c>
      <c r="G90" s="5">
        <f>SUMIF(Append1[rstcat (eng) raw],E90,Append1[Count])</f>
        <v>1</v>
      </c>
    </row>
    <row r="91" spans="1:7" x14ac:dyDescent="0.25">
      <c r="A91" t="s">
        <v>210</v>
      </c>
      <c r="B91" t="s">
        <v>546</v>
      </c>
      <c r="C91">
        <v>28</v>
      </c>
      <c r="E91" t="str">
        <v>donmono</v>
      </c>
      <c r="F91" s="8" t="s">
        <v>432</v>
      </c>
      <c r="G91" s="5">
        <f>SUMIF(Append1[rstcat (eng) raw],E91,Append1[Count])</f>
        <v>1</v>
      </c>
    </row>
    <row r="92" spans="1:7" x14ac:dyDescent="0.25">
      <c r="A92" t="s">
        <v>209</v>
      </c>
      <c r="B92" t="s">
        <v>545</v>
      </c>
      <c r="C92">
        <v>1</v>
      </c>
      <c r="E92" t="str">
        <v>donut</v>
      </c>
      <c r="F92" s="8" t="s">
        <v>450</v>
      </c>
      <c r="G92" s="5">
        <f>SUMIF(Append1[rstcat (eng) raw],E92,Append1[Count])</f>
        <v>5</v>
      </c>
    </row>
    <row r="93" spans="1:7" x14ac:dyDescent="0.25">
      <c r="A93" t="s">
        <v>312</v>
      </c>
      <c r="B93" t="s">
        <v>647</v>
      </c>
      <c r="C93">
        <v>3</v>
      </c>
      <c r="E93" t="str">
        <v>Donuts</v>
      </c>
      <c r="F93" s="8" t="s">
        <v>450</v>
      </c>
      <c r="G93" s="5">
        <f>SUMIF(Append1[rstcat (eng) raw],E93,Append1[Count])</f>
        <v>1</v>
      </c>
    </row>
    <row r="94" spans="1:7" x14ac:dyDescent="0.25">
      <c r="B94" t="s">
        <v>386</v>
      </c>
      <c r="C94">
        <v>5</v>
      </c>
      <c r="E94" t="str">
        <v>Dorayaki</v>
      </c>
      <c r="F94" s="8" t="s">
        <v>720</v>
      </c>
      <c r="G94" s="5">
        <f>SUMIF(Append1[rstcat (eng) raw],E94,Append1[Count])</f>
        <v>1</v>
      </c>
    </row>
    <row r="95" spans="1:7" x14ac:dyDescent="0.25">
      <c r="A95" t="s">
        <v>242</v>
      </c>
      <c r="B95" t="s">
        <v>577</v>
      </c>
      <c r="C95">
        <v>13</v>
      </c>
      <c r="E95" t="str">
        <v>Drink</v>
      </c>
      <c r="F95" s="8" t="s">
        <v>391</v>
      </c>
      <c r="G95" s="5">
        <f>SUMIF(Append1[rstcat (eng) raw],E95,Append1[Count])</f>
        <v>35</v>
      </c>
    </row>
    <row r="96" spans="1:7" x14ac:dyDescent="0.25">
      <c r="A96" t="s">
        <v>499</v>
      </c>
      <c r="B96" t="s">
        <v>704</v>
      </c>
      <c r="C96">
        <v>63</v>
      </c>
      <c r="E96" t="str">
        <v>Drinks</v>
      </c>
      <c r="F96" s="8" t="s">
        <v>391</v>
      </c>
      <c r="G96" s="5">
        <f>SUMIF(Append1[rstcat (eng) raw],E96,Append1[Count])</f>
        <v>11</v>
      </c>
    </row>
    <row r="97" spans="1:7" x14ac:dyDescent="0.25">
      <c r="A97" t="s">
        <v>777</v>
      </c>
      <c r="B97" t="s">
        <v>704</v>
      </c>
      <c r="C97">
        <v>5</v>
      </c>
      <c r="E97" t="str">
        <v>duck</v>
      </c>
      <c r="F97" s="8" t="s">
        <v>722</v>
      </c>
      <c r="G97" s="5">
        <f>SUMIF(Append1[rstcat (eng) raw],E97,Append1[Count])</f>
        <v>1</v>
      </c>
    </row>
    <row r="98" spans="1:7" x14ac:dyDescent="0.25">
      <c r="B98" t="s">
        <v>387</v>
      </c>
      <c r="C98">
        <v>41</v>
      </c>
      <c r="E98" t="str">
        <v>dumpling</v>
      </c>
      <c r="F98" s="8" t="s">
        <v>722</v>
      </c>
      <c r="G98" s="5">
        <f>SUMIF(Append1[rstcat (eng) raw],E98,Append1[Count])</f>
        <v>14</v>
      </c>
    </row>
    <row r="99" spans="1:7" x14ac:dyDescent="0.25">
      <c r="B99" t="s">
        <v>388</v>
      </c>
      <c r="C99">
        <v>7</v>
      </c>
      <c r="E99" t="str">
        <v>eel</v>
      </c>
      <c r="F99" s="8" t="s">
        <v>448</v>
      </c>
      <c r="G99" s="5">
        <f>SUMIF(Append1[rstcat (eng) raw],E99,Append1[Count])</f>
        <v>16</v>
      </c>
    </row>
    <row r="100" spans="1:7" x14ac:dyDescent="0.25">
      <c r="A100" t="s">
        <v>235</v>
      </c>
      <c r="B100" t="s">
        <v>569</v>
      </c>
      <c r="C100">
        <v>50</v>
      </c>
      <c r="E100" t="str">
        <v>ethnic</v>
      </c>
      <c r="F100" s="8" t="s">
        <v>764</v>
      </c>
      <c r="G100" s="5">
        <f>SUMIF(Append1[rstcat (eng) raw],E100,Append1[Count])</f>
        <v>17</v>
      </c>
    </row>
    <row r="101" spans="1:7" x14ac:dyDescent="0.25">
      <c r="A101" t="s">
        <v>245</v>
      </c>
      <c r="B101" t="s">
        <v>580</v>
      </c>
      <c r="C101">
        <v>1</v>
      </c>
      <c r="E101" t="str">
        <v>European</v>
      </c>
      <c r="F101" s="8" t="s">
        <v>729</v>
      </c>
      <c r="G101" s="5">
        <f>SUMIF(Append1[rstcat (eng) raw],E101,Append1[Count])</f>
        <v>1</v>
      </c>
    </row>
    <row r="102" spans="1:7" x14ac:dyDescent="0.25">
      <c r="B102" t="s">
        <v>389</v>
      </c>
      <c r="C102">
        <v>1</v>
      </c>
      <c r="E102" t="str">
        <v>Family Friendly</v>
      </c>
      <c r="F102" s="8" t="s">
        <v>766</v>
      </c>
      <c r="G102" s="5">
        <f>SUMIF(Append1[rstcat (eng) raw],E102,Append1[Count])</f>
        <v>35</v>
      </c>
    </row>
    <row r="103" spans="1:7" x14ac:dyDescent="0.25">
      <c r="A103" s="3" t="s">
        <v>244</v>
      </c>
      <c r="B103" s="3" t="s">
        <v>579</v>
      </c>
      <c r="C103">
        <v>2</v>
      </c>
      <c r="E103" t="str">
        <v>Family Meals</v>
      </c>
      <c r="F103" s="8" t="s">
        <v>766</v>
      </c>
      <c r="G103" s="5">
        <f>SUMIF(Append1[rstcat (eng) raw],E103,Append1[Count])</f>
        <v>10</v>
      </c>
    </row>
    <row r="104" spans="1:7" x14ac:dyDescent="0.25">
      <c r="A104" s="3" t="s">
        <v>244</v>
      </c>
      <c r="B104" s="3" t="s">
        <v>579</v>
      </c>
      <c r="C104">
        <v>3</v>
      </c>
      <c r="E104" t="str">
        <v>Family restaurant</v>
      </c>
      <c r="F104" s="8" t="s">
        <v>766</v>
      </c>
      <c r="G104" s="5">
        <f>SUMIF(Append1[rstcat (eng) raw],E104,Append1[Count])</f>
        <v>6</v>
      </c>
    </row>
    <row r="105" spans="1:7" x14ac:dyDescent="0.25">
      <c r="B105" t="s">
        <v>390</v>
      </c>
      <c r="C105">
        <v>1</v>
      </c>
      <c r="E105" t="str">
        <v>Fast Food</v>
      </c>
      <c r="F105" s="8" t="s">
        <v>395</v>
      </c>
      <c r="G105" s="5">
        <f>SUMIF(Append1[rstcat (eng) raw],E105,Append1[Count])</f>
        <v>99</v>
      </c>
    </row>
    <row r="106" spans="1:7" x14ac:dyDescent="0.25">
      <c r="A106" t="s">
        <v>246</v>
      </c>
      <c r="B106" t="s">
        <v>581</v>
      </c>
      <c r="C106">
        <v>1</v>
      </c>
      <c r="E106" t="str">
        <v>Filipino</v>
      </c>
      <c r="F106" s="8" t="s">
        <v>727</v>
      </c>
      <c r="G106" s="5">
        <f>SUMIF(Append1[rstcat (eng) raw],E106,Append1[Count])</f>
        <v>1</v>
      </c>
    </row>
    <row r="107" spans="1:7" x14ac:dyDescent="0.25">
      <c r="A107" t="s">
        <v>500</v>
      </c>
      <c r="B107" t="s">
        <v>705</v>
      </c>
      <c r="C107">
        <v>35</v>
      </c>
      <c r="E107" t="str">
        <v>Fish &amp; Seafood</v>
      </c>
      <c r="F107" s="8" t="s">
        <v>448</v>
      </c>
      <c r="G107" s="5">
        <f>SUMIF(Append1[rstcat (eng) raw],E107,Append1[Count])</f>
        <v>1</v>
      </c>
    </row>
    <row r="108" spans="1:7" x14ac:dyDescent="0.25">
      <c r="B108" t="s">
        <v>391</v>
      </c>
      <c r="C108">
        <v>11</v>
      </c>
      <c r="E108" t="str">
        <v>Fish and Chips</v>
      </c>
      <c r="F108" s="8" t="s">
        <v>721</v>
      </c>
      <c r="G108" s="5">
        <f>SUMIF(Append1[rstcat (eng) raw],E108,Append1[Count])</f>
        <v>1</v>
      </c>
    </row>
    <row r="109" spans="1:7" x14ac:dyDescent="0.25">
      <c r="A109" t="s">
        <v>739</v>
      </c>
      <c r="B109" t="s">
        <v>739</v>
      </c>
      <c r="C109">
        <v>1</v>
      </c>
      <c r="E109" t="str">
        <v>Flour based food</v>
      </c>
      <c r="F109" s="8" t="s">
        <v>731</v>
      </c>
      <c r="G109" s="5">
        <f>SUMIF(Append1[rstcat (eng) raw],E109,Append1[Count])</f>
        <v>14</v>
      </c>
    </row>
    <row r="110" spans="1:7" x14ac:dyDescent="0.25">
      <c r="A110" t="s">
        <v>351</v>
      </c>
      <c r="B110" t="s">
        <v>685</v>
      </c>
      <c r="C110">
        <v>8</v>
      </c>
      <c r="E110" t="str">
        <v>French</v>
      </c>
      <c r="F110" s="8" t="s">
        <v>729</v>
      </c>
      <c r="G110" s="5">
        <f>SUMIF(Append1[rstcat (eng) raw],E110,Append1[Count])</f>
        <v>19</v>
      </c>
    </row>
    <row r="111" spans="1:7" x14ac:dyDescent="0.25">
      <c r="A111" t="s">
        <v>351</v>
      </c>
      <c r="B111" t="s">
        <v>685</v>
      </c>
      <c r="C111">
        <v>6</v>
      </c>
      <c r="E111" t="str">
        <v>Fried Chicken</v>
      </c>
      <c r="F111" s="8" t="s">
        <v>730</v>
      </c>
      <c r="G111" s="5">
        <f>SUMIF(Append1[rstcat (eng) raw],E111,Append1[Count])</f>
        <v>24</v>
      </c>
    </row>
    <row r="112" spans="1:7" x14ac:dyDescent="0.25">
      <c r="A112" t="s">
        <v>151</v>
      </c>
      <c r="B112" t="s">
        <v>533</v>
      </c>
      <c r="C112">
        <v>12</v>
      </c>
      <c r="E112" t="str">
        <v>Fried Foods</v>
      </c>
      <c r="F112" s="8" t="s">
        <v>464</v>
      </c>
      <c r="G112" s="5">
        <f>SUMIF(Append1[rstcat (eng) raw],E112,Append1[Count])</f>
        <v>58</v>
      </c>
    </row>
    <row r="113" spans="1:7" x14ac:dyDescent="0.25">
      <c r="A113" t="s">
        <v>151</v>
      </c>
      <c r="B113" t="s">
        <v>533</v>
      </c>
      <c r="C113">
        <v>4</v>
      </c>
      <c r="E113" t="str">
        <v>Fried noodles</v>
      </c>
      <c r="F113" s="8" t="s">
        <v>432</v>
      </c>
      <c r="G113" s="5">
        <f>SUMIF(Append1[rstcat (eng) raw],E113,Append1[Count])</f>
        <v>4</v>
      </c>
    </row>
    <row r="114" spans="1:7" x14ac:dyDescent="0.25">
      <c r="A114" t="s">
        <v>485</v>
      </c>
      <c r="B114" t="s">
        <v>692</v>
      </c>
      <c r="C114">
        <v>17</v>
      </c>
      <c r="E114" t="str">
        <v>Friedchicken</v>
      </c>
      <c r="F114" s="8" t="s">
        <v>730</v>
      </c>
      <c r="G114" s="5">
        <f>SUMIF(Append1[rstcat (eng) raw],E114,Append1[Count])</f>
        <v>53</v>
      </c>
    </row>
    <row r="115" spans="1:7" x14ac:dyDescent="0.25">
      <c r="B115" t="s">
        <v>392</v>
      </c>
      <c r="C115">
        <v>1</v>
      </c>
      <c r="E115" t="str">
        <v>Friednoodles</v>
      </c>
      <c r="F115" s="8" t="s">
        <v>432</v>
      </c>
      <c r="G115" s="5">
        <f>SUMIF(Append1[rstcat (eng) raw],E115,Append1[Count])</f>
        <v>14</v>
      </c>
    </row>
    <row r="116" spans="1:7" x14ac:dyDescent="0.25">
      <c r="B116" t="s">
        <v>393</v>
      </c>
      <c r="C116">
        <v>35</v>
      </c>
      <c r="E116" t="str">
        <v>FriedRice</v>
      </c>
      <c r="F116" s="8" t="s">
        <v>722</v>
      </c>
      <c r="G116" s="5">
        <f>SUMIF(Append1[rstcat (eng) raw],E116,Append1[Count])</f>
        <v>12</v>
      </c>
    </row>
    <row r="117" spans="1:7" x14ac:dyDescent="0.25">
      <c r="B117" t="s">
        <v>394</v>
      </c>
      <c r="C117">
        <v>10</v>
      </c>
      <c r="E117" t="str">
        <v>Fruit</v>
      </c>
      <c r="F117" s="8" t="s">
        <v>450</v>
      </c>
      <c r="G117" s="5">
        <f>SUMIF(Append1[rstcat (eng) raw],E117,Append1[Count])</f>
        <v>2</v>
      </c>
    </row>
    <row r="118" spans="1:7" x14ac:dyDescent="0.25">
      <c r="A118" t="s">
        <v>267</v>
      </c>
      <c r="B118" t="s">
        <v>601</v>
      </c>
      <c r="C118">
        <v>6</v>
      </c>
      <c r="E118" t="str">
        <v>Fruit parlor</v>
      </c>
      <c r="F118" s="8" t="s">
        <v>450</v>
      </c>
      <c r="G118" s="5">
        <f>SUMIF(Append1[rstcat (eng) raw],E118,Append1[Count])</f>
        <v>1</v>
      </c>
    </row>
    <row r="119" spans="1:7" x14ac:dyDescent="0.25">
      <c r="B119" t="s">
        <v>395</v>
      </c>
      <c r="C119">
        <v>99</v>
      </c>
      <c r="E119" t="str">
        <v>fruits</v>
      </c>
      <c r="F119" s="8" t="s">
        <v>450</v>
      </c>
      <c r="G119" s="5">
        <f>SUMIF(Append1[rstcat (eng) raw],E119,Append1[Count])</f>
        <v>2</v>
      </c>
    </row>
    <row r="120" spans="1:7" x14ac:dyDescent="0.25">
      <c r="B120" t="s">
        <v>396</v>
      </c>
      <c r="C120">
        <v>1</v>
      </c>
      <c r="E120" t="str">
        <v>Fugu</v>
      </c>
      <c r="F120" s="8" t="s">
        <v>448</v>
      </c>
      <c r="G120" s="5">
        <f>SUMIF(Append1[rstcat (eng) raw],E120,Append1[Count])</f>
        <v>3</v>
      </c>
    </row>
    <row r="121" spans="1:7" x14ac:dyDescent="0.25">
      <c r="B121" t="s">
        <v>397</v>
      </c>
      <c r="C121">
        <v>1</v>
      </c>
      <c r="E121" t="str">
        <v>Genghis Khan</v>
      </c>
      <c r="F121" s="8" t="s">
        <v>729</v>
      </c>
      <c r="G121" s="5">
        <f>SUMIF(Append1[rstcat (eng) raw],E121,Append1[Count])</f>
        <v>3</v>
      </c>
    </row>
    <row r="122" spans="1:7" x14ac:dyDescent="0.25">
      <c r="B122" t="s">
        <v>398</v>
      </c>
      <c r="C122">
        <v>1</v>
      </c>
      <c r="E122" t="str">
        <v>German</v>
      </c>
      <c r="F122" s="8" t="s">
        <v>729</v>
      </c>
      <c r="G122" s="5">
        <f>SUMIF(Append1[rstcat (eng) raw],E122,Append1[Count])</f>
        <v>3</v>
      </c>
    </row>
    <row r="123" spans="1:7" x14ac:dyDescent="0.25">
      <c r="B123" t="s">
        <v>399</v>
      </c>
      <c r="C123">
        <v>14</v>
      </c>
      <c r="E123" t="str">
        <v>German food</v>
      </c>
      <c r="F123" s="8" t="s">
        <v>729</v>
      </c>
      <c r="G123" s="5">
        <f>SUMIF(Append1[rstcat (eng) raw],E123,Append1[Count])</f>
        <v>1</v>
      </c>
    </row>
    <row r="124" spans="1:7" x14ac:dyDescent="0.25">
      <c r="A124" t="s">
        <v>271</v>
      </c>
      <c r="B124" t="s">
        <v>605</v>
      </c>
      <c r="C124">
        <v>14</v>
      </c>
      <c r="E124" t="str">
        <v>Gourmet</v>
      </c>
      <c r="F124" s="8" t="s">
        <v>729</v>
      </c>
      <c r="G124" s="5">
        <f>SUMIF(Append1[rstcat (eng) raw],E124,Append1[Count])</f>
        <v>31</v>
      </c>
    </row>
    <row r="125" spans="1:7" x14ac:dyDescent="0.25">
      <c r="A125" t="s">
        <v>271</v>
      </c>
      <c r="B125" t="s">
        <v>605</v>
      </c>
      <c r="C125">
        <v>5</v>
      </c>
      <c r="E125" t="str">
        <v>grill</v>
      </c>
      <c r="F125" s="8" t="s">
        <v>660</v>
      </c>
      <c r="G125" s="5">
        <f>SUMIF(Append1[rstcat (eng) raw],E125,Append1[Count])</f>
        <v>6</v>
      </c>
    </row>
    <row r="126" spans="1:7" x14ac:dyDescent="0.25">
      <c r="B126" t="s">
        <v>400</v>
      </c>
      <c r="C126">
        <v>24</v>
      </c>
      <c r="E126" t="str">
        <v>Grilled</v>
      </c>
      <c r="F126" s="8" t="s">
        <v>660</v>
      </c>
      <c r="G126" s="5">
        <f>SUMIF(Append1[rstcat (eng) raw],E126,Append1[Count])</f>
        <v>9</v>
      </c>
    </row>
    <row r="127" spans="1:7" x14ac:dyDescent="0.25">
      <c r="B127" t="s">
        <v>401</v>
      </c>
      <c r="C127">
        <v>58</v>
      </c>
      <c r="E127" t="str">
        <v>Grilled bird</v>
      </c>
      <c r="F127" s="8" t="s">
        <v>660</v>
      </c>
      <c r="G127" s="5">
        <f>SUMIF(Append1[rstcat (eng) raw],E127,Append1[Count])</f>
        <v>57</v>
      </c>
    </row>
    <row r="128" spans="1:7" x14ac:dyDescent="0.25">
      <c r="A128" t="s">
        <v>324</v>
      </c>
      <c r="B128" t="s">
        <v>659</v>
      </c>
      <c r="C128">
        <v>4</v>
      </c>
      <c r="E128" t="str">
        <v>Grilled grilled</v>
      </c>
      <c r="F128" s="8" t="s">
        <v>660</v>
      </c>
      <c r="G128" s="5">
        <f>SUMIF(Append1[rstcat (eng) raw],E128,Append1[Count])</f>
        <v>5</v>
      </c>
    </row>
    <row r="129" spans="1:7" x14ac:dyDescent="0.25">
      <c r="A129" t="s">
        <v>515</v>
      </c>
      <c r="B129" t="s">
        <v>740</v>
      </c>
      <c r="C129">
        <v>53</v>
      </c>
      <c r="E129" t="str">
        <v>Grilled meat</v>
      </c>
      <c r="F129" s="8" t="s">
        <v>660</v>
      </c>
      <c r="G129" s="5">
        <f>SUMIF(Append1[rstcat (eng) raw],E129,Append1[Count])</f>
        <v>34</v>
      </c>
    </row>
    <row r="130" spans="1:7" x14ac:dyDescent="0.25">
      <c r="A130" t="s">
        <v>324</v>
      </c>
      <c r="B130" t="s">
        <v>741</v>
      </c>
      <c r="C130">
        <v>14</v>
      </c>
      <c r="E130" t="str">
        <v>Grilledmeat</v>
      </c>
      <c r="F130" s="8" t="s">
        <v>660</v>
      </c>
      <c r="G130" s="5">
        <f>SUMIF(Append1[rstcat (eng) raw],E130,Append1[Count])</f>
        <v>7</v>
      </c>
    </row>
    <row r="131" spans="1:7" x14ac:dyDescent="0.25">
      <c r="A131" t="s">
        <v>518</v>
      </c>
      <c r="B131" t="s">
        <v>742</v>
      </c>
      <c r="C131">
        <v>12</v>
      </c>
      <c r="E131" t="str">
        <v>Gyudon</v>
      </c>
      <c r="F131" s="8" t="s">
        <v>730</v>
      </c>
      <c r="G131" s="5">
        <f>SUMIF(Append1[rstcat (eng) raw],E131,Append1[Count])</f>
        <v>5</v>
      </c>
    </row>
    <row r="132" spans="1:7" x14ac:dyDescent="0.25">
      <c r="B132" t="s">
        <v>402</v>
      </c>
      <c r="C132">
        <v>2</v>
      </c>
      <c r="E132" t="str">
        <v>Halal</v>
      </c>
      <c r="F132" s="8" t="s">
        <v>706</v>
      </c>
      <c r="G132" s="5">
        <f>SUMIF(Append1[rstcat (eng) raw],E132,Append1[Count])</f>
        <v>3</v>
      </c>
    </row>
    <row r="133" spans="1:7" x14ac:dyDescent="0.25">
      <c r="A133" t="s">
        <v>270</v>
      </c>
      <c r="B133" t="s">
        <v>604</v>
      </c>
      <c r="C133">
        <v>1</v>
      </c>
      <c r="E133" t="str">
        <v>hamburger</v>
      </c>
      <c r="F133" s="8" t="s">
        <v>721</v>
      </c>
      <c r="G133" s="5">
        <f>SUMIF(Append1[rstcat (eng) raw],E133,Append1[Count])</f>
        <v>42</v>
      </c>
    </row>
    <row r="134" spans="1:7" x14ac:dyDescent="0.25">
      <c r="A134" t="s">
        <v>504</v>
      </c>
      <c r="B134" t="s">
        <v>708</v>
      </c>
      <c r="C134">
        <v>2</v>
      </c>
      <c r="E134" t="str">
        <v>Hawaiian</v>
      </c>
      <c r="F134" s="8" t="s">
        <v>728</v>
      </c>
      <c r="G134" s="5">
        <f>SUMIF(Append1[rstcat (eng) raw],E134,Append1[Count])</f>
        <v>7</v>
      </c>
    </row>
    <row r="135" spans="1:7" x14ac:dyDescent="0.25">
      <c r="A135" t="s">
        <v>268</v>
      </c>
      <c r="B135" t="s">
        <v>602</v>
      </c>
      <c r="C135">
        <v>3</v>
      </c>
      <c r="E135" t="str">
        <v>Hayashi rice</v>
      </c>
      <c r="F135" s="8" t="s">
        <v>724</v>
      </c>
      <c r="G135" s="5">
        <f>SUMIF(Append1[rstcat (eng) raw],E135,Append1[Count])</f>
        <v>1</v>
      </c>
    </row>
    <row r="136" spans="1:7" x14ac:dyDescent="0.25">
      <c r="A136" t="s">
        <v>221</v>
      </c>
      <c r="B136" t="s">
        <v>556</v>
      </c>
      <c r="C136">
        <v>3</v>
      </c>
      <c r="E136" t="str">
        <v>Healthy</v>
      </c>
      <c r="F136" s="8" t="s">
        <v>407</v>
      </c>
      <c r="G136" s="5">
        <f>SUMIF(Append1[rstcat (eng) raw],E136,Append1[Count])</f>
        <v>67</v>
      </c>
    </row>
    <row r="137" spans="1:7" x14ac:dyDescent="0.25">
      <c r="B137" t="s">
        <v>403</v>
      </c>
      <c r="C137">
        <v>3</v>
      </c>
      <c r="E137" t="str">
        <v>hormone</v>
      </c>
      <c r="F137" s="8" t="s">
        <v>407</v>
      </c>
      <c r="G137" s="5">
        <f>SUMIF(Append1[rstcat (eng) raw],E137,Append1[Count])</f>
        <v>11</v>
      </c>
    </row>
    <row r="138" spans="1:7" x14ac:dyDescent="0.25">
      <c r="A138" t="s">
        <v>243</v>
      </c>
      <c r="B138" t="s">
        <v>578</v>
      </c>
      <c r="C138">
        <v>1</v>
      </c>
      <c r="E138" t="str">
        <v>Horse meat dish</v>
      </c>
      <c r="F138" s="8" t="s">
        <v>730</v>
      </c>
      <c r="G138" s="5">
        <f>SUMIF(Append1[rstcat (eng) raw],E138,Append1[Count])</f>
        <v>1</v>
      </c>
    </row>
    <row r="139" spans="1:7" x14ac:dyDescent="0.25">
      <c r="B139" t="s">
        <v>404</v>
      </c>
      <c r="C139">
        <v>31</v>
      </c>
      <c r="E139" t="str">
        <v>Horse sashimi</v>
      </c>
      <c r="F139" s="8" t="s">
        <v>730</v>
      </c>
      <c r="G139" s="5">
        <f>SUMIF(Append1[rstcat (eng) raw],E139,Append1[Count])</f>
        <v>2</v>
      </c>
    </row>
    <row r="140" spans="1:7" x14ac:dyDescent="0.25">
      <c r="A140" t="s">
        <v>490</v>
      </c>
      <c r="B140" t="s">
        <v>696</v>
      </c>
      <c r="C140">
        <v>6</v>
      </c>
      <c r="E140" t="str">
        <v>Hot Pot</v>
      </c>
      <c r="F140" s="8" t="s">
        <v>724</v>
      </c>
      <c r="G140" s="5">
        <f>SUMIF(Append1[rstcat (eng) raw],E140,Append1[Count])</f>
        <v>4</v>
      </c>
    </row>
    <row r="141" spans="1:7" x14ac:dyDescent="0.25">
      <c r="A141" t="s">
        <v>325</v>
      </c>
      <c r="B141" t="s">
        <v>660</v>
      </c>
      <c r="C141">
        <v>9</v>
      </c>
      <c r="E141" t="str">
        <v>ice</v>
      </c>
      <c r="F141" s="8" t="s">
        <v>720</v>
      </c>
      <c r="G141" s="5">
        <f>SUMIF(Append1[rstcat (eng) raw],E141,Append1[Count])</f>
        <v>9</v>
      </c>
    </row>
    <row r="142" spans="1:7" x14ac:dyDescent="0.25">
      <c r="A142" t="s">
        <v>328</v>
      </c>
      <c r="B142" t="s">
        <v>663</v>
      </c>
      <c r="C142">
        <v>57</v>
      </c>
      <c r="E142" t="str">
        <v>ice cream</v>
      </c>
      <c r="F142" s="8" t="s">
        <v>720</v>
      </c>
      <c r="G142" s="5">
        <f>SUMIF(Append1[rstcat (eng) raw],E142,Append1[Count])</f>
        <v>6</v>
      </c>
    </row>
    <row r="143" spans="1:7" x14ac:dyDescent="0.25">
      <c r="A143" t="s">
        <v>276</v>
      </c>
      <c r="B143" t="s">
        <v>610</v>
      </c>
      <c r="C143">
        <v>5</v>
      </c>
      <c r="E143" t="str">
        <v>Ice Cream + Frozen Yogurt</v>
      </c>
      <c r="F143" s="8" t="s">
        <v>720</v>
      </c>
      <c r="G143" s="5">
        <f>SUMIF(Append1[rstcat (eng) raw],E143,Append1[Count])</f>
        <v>3</v>
      </c>
    </row>
    <row r="144" spans="1:7" x14ac:dyDescent="0.25">
      <c r="A144" t="s">
        <v>326</v>
      </c>
      <c r="B144" t="s">
        <v>661</v>
      </c>
      <c r="C144">
        <v>34</v>
      </c>
      <c r="E144" t="str">
        <v>indian</v>
      </c>
      <c r="F144" s="8" t="s">
        <v>723</v>
      </c>
      <c r="G144" s="5">
        <f>SUMIF(Append1[rstcat (eng) raw],E144,Append1[Count])</f>
        <v>80</v>
      </c>
    </row>
    <row r="145" spans="1:7" x14ac:dyDescent="0.25">
      <c r="A145" t="s">
        <v>326</v>
      </c>
      <c r="B145" t="s">
        <v>743</v>
      </c>
      <c r="C145">
        <v>7</v>
      </c>
      <c r="E145" t="str">
        <v>Indian cuisine</v>
      </c>
      <c r="F145" s="8" t="s">
        <v>723</v>
      </c>
      <c r="G145" s="5">
        <f>SUMIF(Append1[rstcat (eng) raw],E145,Append1[Count])</f>
        <v>13</v>
      </c>
    </row>
    <row r="146" spans="1:7" x14ac:dyDescent="0.25">
      <c r="B146" t="s">
        <v>405</v>
      </c>
      <c r="C146">
        <v>5</v>
      </c>
      <c r="E146" t="str">
        <v>Indian curry</v>
      </c>
      <c r="F146" s="8" t="s">
        <v>723</v>
      </c>
      <c r="G146" s="5">
        <f>SUMIF(Append1[rstcat (eng) raw],E146,Append1[Count])</f>
        <v>47</v>
      </c>
    </row>
    <row r="147" spans="1:7" x14ac:dyDescent="0.25">
      <c r="A147" t="s">
        <v>501</v>
      </c>
      <c r="B147" t="s">
        <v>706</v>
      </c>
      <c r="C147">
        <v>3</v>
      </c>
      <c r="E147" t="str">
        <v>Indiancuisine</v>
      </c>
      <c r="F147" s="8" t="s">
        <v>723</v>
      </c>
      <c r="G147" s="5">
        <f>SUMIF(Append1[rstcat (eng) raw],E147,Append1[Count])</f>
        <v>38</v>
      </c>
    </row>
    <row r="148" spans="1:7" x14ac:dyDescent="0.25">
      <c r="A148" t="s">
        <v>261</v>
      </c>
      <c r="B148" t="s">
        <v>596</v>
      </c>
      <c r="C148">
        <v>10</v>
      </c>
      <c r="E148" t="str">
        <v>Indonesian</v>
      </c>
      <c r="F148" s="8" t="s">
        <v>727</v>
      </c>
      <c r="G148" s="5">
        <f>SUMIF(Append1[rstcat (eng) raw],E148,Append1[Count])</f>
        <v>1</v>
      </c>
    </row>
    <row r="149" spans="1:7" x14ac:dyDescent="0.25">
      <c r="A149" t="s">
        <v>262</v>
      </c>
      <c r="B149" t="s">
        <v>596</v>
      </c>
      <c r="C149">
        <v>6</v>
      </c>
      <c r="E149" t="str">
        <v>Innovative Fusion</v>
      </c>
      <c r="F149" s="8" t="s">
        <v>764</v>
      </c>
      <c r="G149" s="5">
        <f>SUMIF(Append1[rstcat (eng) raw],E149,Append1[Count])</f>
        <v>2</v>
      </c>
    </row>
    <row r="150" spans="1:7" x14ac:dyDescent="0.25">
      <c r="A150" t="s">
        <v>261</v>
      </c>
      <c r="B150" t="s">
        <v>596</v>
      </c>
      <c r="C150">
        <v>26</v>
      </c>
      <c r="E150" t="str">
        <v>Iranian</v>
      </c>
      <c r="F150" s="8" t="s">
        <v>729</v>
      </c>
      <c r="G150" s="5">
        <f>SUMIF(Append1[rstcat (eng) raw],E150,Append1[Count])</f>
        <v>2</v>
      </c>
    </row>
    <row r="151" spans="1:7" x14ac:dyDescent="0.25">
      <c r="B151" t="s">
        <v>406</v>
      </c>
      <c r="C151">
        <v>7</v>
      </c>
      <c r="E151" t="str">
        <v>Italian</v>
      </c>
      <c r="F151" s="8" t="s">
        <v>729</v>
      </c>
      <c r="G151" s="5">
        <f>SUMIF(Append1[rstcat (eng) raw],E151,Append1[Count])</f>
        <v>132</v>
      </c>
    </row>
    <row r="152" spans="1:7" x14ac:dyDescent="0.25">
      <c r="A152" t="s">
        <v>256</v>
      </c>
      <c r="B152" t="s">
        <v>591</v>
      </c>
      <c r="C152">
        <v>1</v>
      </c>
      <c r="E152" t="str">
        <v>Izakaya</v>
      </c>
      <c r="F152" s="8" t="s">
        <v>415</v>
      </c>
      <c r="G152" s="5">
        <f>SUMIF(Append1[rstcat (eng) raw],E152,Append1[Count])</f>
        <v>15</v>
      </c>
    </row>
    <row r="153" spans="1:7" x14ac:dyDescent="0.25">
      <c r="B153" t="s">
        <v>407</v>
      </c>
      <c r="C153">
        <v>50</v>
      </c>
      <c r="E153" t="str">
        <v>Izakaya / Dining Bar (Other)</v>
      </c>
      <c r="F153" s="8" t="s">
        <v>415</v>
      </c>
      <c r="G153" s="5">
        <f>SUMIF(Append1[rstcat (eng) raw],E153,Append1[Count])</f>
        <v>8</v>
      </c>
    </row>
    <row r="154" spans="1:7" x14ac:dyDescent="0.25">
      <c r="A154" t="s">
        <v>507</v>
      </c>
      <c r="B154" t="s">
        <v>407</v>
      </c>
      <c r="C154">
        <v>17</v>
      </c>
      <c r="E154" t="str">
        <v>Japanese</v>
      </c>
      <c r="F154" s="8" t="s">
        <v>724</v>
      </c>
      <c r="G154" s="5">
        <f>SUMIF(Append1[rstcat (eng) raw],E154,Append1[Count])</f>
        <v>541</v>
      </c>
    </row>
    <row r="155" spans="1:7" x14ac:dyDescent="0.25">
      <c r="A155" t="s">
        <v>273</v>
      </c>
      <c r="B155" t="s">
        <v>607</v>
      </c>
      <c r="C155">
        <v>11</v>
      </c>
      <c r="E155" t="str">
        <v>Japanese BBQ</v>
      </c>
      <c r="F155" s="8" t="s">
        <v>365</v>
      </c>
      <c r="G155" s="5">
        <f>SUMIF(Append1[rstcat (eng) raw],E155,Append1[Count])</f>
        <v>48</v>
      </c>
    </row>
    <row r="156" spans="1:7" x14ac:dyDescent="0.25">
      <c r="A156" t="s">
        <v>353</v>
      </c>
      <c r="B156" t="s">
        <v>687</v>
      </c>
      <c r="C156">
        <v>1</v>
      </c>
      <c r="E156" t="str">
        <v>Japanese confectionery</v>
      </c>
      <c r="F156" s="8" t="s">
        <v>720</v>
      </c>
      <c r="G156" s="5">
        <f>SUMIF(Append1[rstcat (eng) raw],E156,Append1[Count])</f>
        <v>17</v>
      </c>
    </row>
    <row r="157" spans="1:7" x14ac:dyDescent="0.25">
      <c r="A157" t="s">
        <v>352</v>
      </c>
      <c r="B157" t="s">
        <v>686</v>
      </c>
      <c r="C157">
        <v>2</v>
      </c>
      <c r="E157" t="str">
        <v>Japanese food (other)</v>
      </c>
      <c r="F157" s="8" t="s">
        <v>724</v>
      </c>
      <c r="G157" s="5">
        <f>SUMIF(Append1[rstcat (eng) raw],E157,Append1[Count])</f>
        <v>22</v>
      </c>
    </row>
    <row r="158" spans="1:7" x14ac:dyDescent="0.25">
      <c r="B158" t="s">
        <v>408</v>
      </c>
      <c r="C158">
        <v>4</v>
      </c>
      <c r="E158" t="str">
        <v>Japanese set items</v>
      </c>
      <c r="F158" s="8" t="s">
        <v>724</v>
      </c>
      <c r="G158" s="5">
        <f>SUMIF(Append1[rstcat (eng) raw],E158,Append1[Count])</f>
        <v>63</v>
      </c>
    </row>
    <row r="159" spans="1:7" x14ac:dyDescent="0.25">
      <c r="A159" t="s">
        <v>482</v>
      </c>
      <c r="B159" t="s">
        <v>691</v>
      </c>
      <c r="C159">
        <v>9</v>
      </c>
      <c r="E159" t="str">
        <v>Japanese Skewer food</v>
      </c>
      <c r="F159" s="8" t="s">
        <v>724</v>
      </c>
      <c r="G159" s="5">
        <f>SUMIF(Append1[rstcat (eng) raw],E159,Append1[Count])</f>
        <v>13</v>
      </c>
    </row>
    <row r="160" spans="1:7" x14ac:dyDescent="0.25">
      <c r="A160" t="s">
        <v>189</v>
      </c>
      <c r="B160" t="s">
        <v>525</v>
      </c>
      <c r="C160">
        <v>6</v>
      </c>
      <c r="E160" t="str">
        <v>Japanese Style curry</v>
      </c>
      <c r="F160" s="8" t="s">
        <v>765</v>
      </c>
      <c r="G160" s="5">
        <f>SUMIF(Append1[rstcat (eng) raw],E160,Append1[Count])</f>
        <v>72</v>
      </c>
    </row>
    <row r="161" spans="1:7" x14ac:dyDescent="0.25">
      <c r="B161" t="s">
        <v>409</v>
      </c>
      <c r="C161">
        <v>3</v>
      </c>
      <c r="E161" t="str">
        <v>Japanese sweets</v>
      </c>
      <c r="F161" s="8" t="s">
        <v>720</v>
      </c>
      <c r="G161" s="5">
        <f>SUMIF(Append1[rstcat (eng) raw],E161,Append1[Count])</f>
        <v>3</v>
      </c>
    </row>
    <row r="162" spans="1:7" x14ac:dyDescent="0.25">
      <c r="B162" t="s">
        <v>410</v>
      </c>
      <c r="C162">
        <v>80</v>
      </c>
      <c r="E162" t="str">
        <v>Japanese tea specialty store</v>
      </c>
      <c r="F162" s="8" t="s">
        <v>717</v>
      </c>
      <c r="G162" s="5">
        <f>SUMIF(Append1[rstcat (eng) raw],E162,Append1[Count])</f>
        <v>2</v>
      </c>
    </row>
    <row r="163" spans="1:7" x14ac:dyDescent="0.25">
      <c r="A163" t="s">
        <v>195</v>
      </c>
      <c r="B163" t="s">
        <v>531</v>
      </c>
      <c r="C163">
        <v>13</v>
      </c>
      <c r="E163" t="str">
        <v>Japanesefood</v>
      </c>
      <c r="F163" s="8" t="s">
        <v>724</v>
      </c>
      <c r="G163" s="5">
        <f>SUMIF(Append1[rstcat (eng) raw],E163,Append1[Count])</f>
        <v>172</v>
      </c>
    </row>
    <row r="164" spans="1:7" x14ac:dyDescent="0.25">
      <c r="A164" t="s">
        <v>114</v>
      </c>
      <c r="B164" t="s">
        <v>530</v>
      </c>
      <c r="C164">
        <v>12</v>
      </c>
      <c r="E164" t="str">
        <v>Ju without juice</v>
      </c>
      <c r="F164" s="8" t="s">
        <v>391</v>
      </c>
      <c r="G164" s="5">
        <f>SUMIF(Append1[rstcat (eng) raw],E164,Append1[Count])</f>
        <v>1</v>
      </c>
    </row>
    <row r="165" spans="1:7" x14ac:dyDescent="0.25">
      <c r="B165" t="s">
        <v>411</v>
      </c>
      <c r="C165">
        <v>35</v>
      </c>
      <c r="E165" t="str">
        <v>juice</v>
      </c>
      <c r="F165" s="8" t="s">
        <v>391</v>
      </c>
      <c r="G165" s="5">
        <f>SUMIF(Append1[rstcat (eng) raw],E165,Append1[Count])</f>
        <v>1</v>
      </c>
    </row>
    <row r="166" spans="1:7" x14ac:dyDescent="0.25">
      <c r="A166" t="s">
        <v>195</v>
      </c>
      <c r="B166" t="s">
        <v>744</v>
      </c>
      <c r="C166">
        <v>38</v>
      </c>
      <c r="E166" t="str">
        <v>Juice and Smoothies</v>
      </c>
      <c r="F166" s="8" t="s">
        <v>391</v>
      </c>
      <c r="G166" s="5">
        <f>SUMIF(Append1[rstcat (eng) raw],E166,Append1[Count])</f>
        <v>18</v>
      </c>
    </row>
    <row r="167" spans="1:7" x14ac:dyDescent="0.25">
      <c r="B167" t="s">
        <v>412</v>
      </c>
      <c r="C167">
        <v>1</v>
      </c>
      <c r="E167" t="str">
        <v>Juice bar</v>
      </c>
      <c r="F167" s="8" t="s">
        <v>391</v>
      </c>
      <c r="G167" s="5">
        <f>SUMIF(Append1[rstcat (eng) raw],E167,Append1[Count])</f>
        <v>2</v>
      </c>
    </row>
    <row r="168" spans="1:7" x14ac:dyDescent="0.25">
      <c r="A168" t="s">
        <v>194</v>
      </c>
      <c r="B168" t="s">
        <v>529</v>
      </c>
      <c r="C168">
        <v>2</v>
      </c>
      <c r="E168" t="str">
        <v>Kaiseki / Kaiseki cuisine</v>
      </c>
      <c r="F168" s="8" t="s">
        <v>724</v>
      </c>
      <c r="G168" s="5">
        <f>SUMIF(Append1[rstcat (eng) raw],E168,Append1[Count])</f>
        <v>15</v>
      </c>
    </row>
    <row r="169" spans="1:7" x14ac:dyDescent="0.25">
      <c r="B169" t="s">
        <v>413</v>
      </c>
      <c r="C169">
        <v>2</v>
      </c>
      <c r="E169" t="str">
        <v>Katsudon / Katsuga</v>
      </c>
      <c r="F169" s="8" t="s">
        <v>724</v>
      </c>
      <c r="G169" s="5">
        <f>SUMIF(Append1[rstcat (eng) raw],E169,Append1[Count])</f>
        <v>4</v>
      </c>
    </row>
    <row r="170" spans="1:7" x14ac:dyDescent="0.25">
      <c r="A170" t="s">
        <v>193</v>
      </c>
      <c r="B170" t="s">
        <v>414</v>
      </c>
      <c r="C170">
        <v>44</v>
      </c>
      <c r="E170" t="str">
        <v>Kebab</v>
      </c>
      <c r="F170" s="8" t="s">
        <v>729</v>
      </c>
      <c r="G170" s="5">
        <f>SUMIF(Append1[rstcat (eng) raw],E170,Append1[Count])</f>
        <v>6</v>
      </c>
    </row>
    <row r="171" spans="1:7" x14ac:dyDescent="0.25">
      <c r="B171" t="s">
        <v>414</v>
      </c>
      <c r="C171">
        <v>43</v>
      </c>
      <c r="E171" t="str">
        <v>Kerage</v>
      </c>
      <c r="F171" s="8" t="s">
        <v>724</v>
      </c>
      <c r="G171" s="5">
        <f>SUMIF(Append1[rstcat (eng) raw],E171,Append1[Count])</f>
        <v>7</v>
      </c>
    </row>
    <row r="172" spans="1:7" x14ac:dyDescent="0.25">
      <c r="A172" t="s">
        <v>193</v>
      </c>
      <c r="B172" t="s">
        <v>414</v>
      </c>
      <c r="C172">
        <v>45</v>
      </c>
      <c r="E172" t="str">
        <v>Kids Friendly</v>
      </c>
      <c r="F172" s="8" t="s">
        <v>766</v>
      </c>
      <c r="G172" s="5">
        <f>SUMIF(Append1[rstcat (eng) raw],E172,Append1[Count])</f>
        <v>4</v>
      </c>
    </row>
    <row r="173" spans="1:7" x14ac:dyDescent="0.25">
      <c r="B173" t="s">
        <v>415</v>
      </c>
      <c r="C173">
        <v>15</v>
      </c>
      <c r="E173" t="str">
        <v>Kiritanpo</v>
      </c>
      <c r="F173" s="8" t="s">
        <v>724</v>
      </c>
      <c r="G173" s="5">
        <f>SUMIF(Append1[rstcat (eng) raw],E173,Append1[Count])</f>
        <v>1</v>
      </c>
    </row>
    <row r="174" spans="1:7" x14ac:dyDescent="0.25">
      <c r="A174" t="s">
        <v>307</v>
      </c>
      <c r="B174" t="s">
        <v>642</v>
      </c>
      <c r="C174">
        <v>8</v>
      </c>
      <c r="E174" t="str">
        <v>Korean</v>
      </c>
      <c r="F174" s="8" t="s">
        <v>725</v>
      </c>
      <c r="G174" s="5">
        <f>SUMIF(Append1[rstcat (eng) raw],E174,Append1[Count])</f>
        <v>56</v>
      </c>
    </row>
    <row r="175" spans="1:7" x14ac:dyDescent="0.25">
      <c r="B175" t="s">
        <v>416</v>
      </c>
      <c r="C175">
        <v>541</v>
      </c>
      <c r="E175" t="str">
        <v>Korean cuisine</v>
      </c>
      <c r="F175" s="8" t="s">
        <v>725</v>
      </c>
      <c r="G175" s="5">
        <f>SUMIF(Append1[rstcat (eng) raw],E175,Append1[Count])</f>
        <v>16</v>
      </c>
    </row>
    <row r="176" spans="1:7" x14ac:dyDescent="0.25">
      <c r="B176" t="s">
        <v>417</v>
      </c>
      <c r="C176">
        <v>48</v>
      </c>
      <c r="E176" t="str">
        <v>Korean pot</v>
      </c>
      <c r="F176" s="8" t="s">
        <v>725</v>
      </c>
      <c r="G176" s="5">
        <f>SUMIF(Append1[rstcat (eng) raw],E176,Append1[Count])</f>
        <v>2</v>
      </c>
    </row>
    <row r="177" spans="1:7" x14ac:dyDescent="0.25">
      <c r="A177" t="s">
        <v>295</v>
      </c>
      <c r="B177" t="s">
        <v>631</v>
      </c>
      <c r="C177">
        <v>17</v>
      </c>
      <c r="E177" t="str">
        <v>Koreancuisine</v>
      </c>
      <c r="F177" s="8" t="s">
        <v>725</v>
      </c>
      <c r="G177" s="5">
        <f>SUMIF(Append1[rstcat (eng) raw],E177,Append1[Count])</f>
        <v>30</v>
      </c>
    </row>
    <row r="178" spans="1:7" x14ac:dyDescent="0.25">
      <c r="A178" t="s">
        <v>296</v>
      </c>
      <c r="B178" t="s">
        <v>632</v>
      </c>
      <c r="C178">
        <v>22</v>
      </c>
      <c r="E178" t="str">
        <v>Kushiage / Kushikatsu</v>
      </c>
      <c r="F178" s="8" t="s">
        <v>724</v>
      </c>
      <c r="G178" s="5">
        <f>SUMIF(Append1[rstcat (eng) raw],E178,Append1[Count])</f>
        <v>4</v>
      </c>
    </row>
    <row r="179" spans="1:7" x14ac:dyDescent="0.25">
      <c r="B179" t="s">
        <v>418</v>
      </c>
      <c r="C179">
        <v>63</v>
      </c>
      <c r="E179" t="str">
        <v>Latin American cuisine (others)</v>
      </c>
      <c r="F179" s="8" t="s">
        <v>780</v>
      </c>
      <c r="G179" s="5">
        <f>SUMIF(Append1[rstcat (eng) raw],E179,Append1[Count])</f>
        <v>1</v>
      </c>
    </row>
    <row r="180" spans="1:7" x14ac:dyDescent="0.25">
      <c r="B180" t="s">
        <v>419</v>
      </c>
      <c r="C180">
        <v>13</v>
      </c>
      <c r="E180" t="str">
        <v>Liquor Stores</v>
      </c>
      <c r="F180" s="8" t="s">
        <v>763</v>
      </c>
      <c r="G180" s="5">
        <f>SUMIF(Append1[rstcat (eng) raw],E180,Append1[Count])</f>
        <v>1</v>
      </c>
    </row>
    <row r="181" spans="1:7" x14ac:dyDescent="0.25">
      <c r="B181" t="s">
        <v>420</v>
      </c>
      <c r="C181">
        <v>72</v>
      </c>
      <c r="E181" t="str">
        <v>Local cuisine (other)</v>
      </c>
      <c r="F181" s="8" t="s">
        <v>724</v>
      </c>
      <c r="G181" s="5">
        <f>SUMIF(Append1[rstcat (eng) raw],E181,Append1[Count])</f>
        <v>8</v>
      </c>
    </row>
    <row r="182" spans="1:7" x14ac:dyDescent="0.25">
      <c r="B182" t="s">
        <v>421</v>
      </c>
      <c r="C182">
        <v>3</v>
      </c>
      <c r="E182" t="str">
        <v>Lounge</v>
      </c>
      <c r="F182" s="8" t="s">
        <v>763</v>
      </c>
      <c r="G182" s="5">
        <f>SUMIF(Append1[rstcat (eng) raw],E182,Append1[Count])</f>
        <v>5</v>
      </c>
    </row>
    <row r="183" spans="1:7" x14ac:dyDescent="0.25">
      <c r="A183" t="s">
        <v>314</v>
      </c>
      <c r="B183" t="s">
        <v>649</v>
      </c>
      <c r="C183">
        <v>2</v>
      </c>
      <c r="E183" t="str">
        <v>Lunch</v>
      </c>
      <c r="F183" s="8" t="s">
        <v>450</v>
      </c>
      <c r="G183" s="5">
        <f>SUMIF(Append1[rstcat (eng) raw],E183,Append1[Count])</f>
        <v>256</v>
      </c>
    </row>
    <row r="184" spans="1:7" x14ac:dyDescent="0.25">
      <c r="A184" t="s">
        <v>512</v>
      </c>
      <c r="B184" t="s">
        <v>745</v>
      </c>
      <c r="C184">
        <v>172</v>
      </c>
      <c r="E184" t="str">
        <v>Macaroon</v>
      </c>
      <c r="F184" s="8" t="s">
        <v>720</v>
      </c>
      <c r="G184" s="5">
        <f>SUMIF(Append1[rstcat (eng) raw],E184,Append1[Count])</f>
        <v>1</v>
      </c>
    </row>
    <row r="185" spans="1:7" x14ac:dyDescent="0.25">
      <c r="A185" t="s">
        <v>317</v>
      </c>
      <c r="B185" t="s">
        <v>652</v>
      </c>
      <c r="C185">
        <v>1</v>
      </c>
      <c r="E185" t="str">
        <v>Meat Man / Chinese Man</v>
      </c>
      <c r="F185" s="8" t="s">
        <v>730</v>
      </c>
      <c r="G185" s="5">
        <f>SUMIF(Append1[rstcat (eng) raw],E185,Append1[Count])</f>
        <v>2</v>
      </c>
    </row>
    <row r="186" spans="1:7" x14ac:dyDescent="0.25">
      <c r="A186" t="s">
        <v>719</v>
      </c>
      <c r="B186" t="s">
        <v>719</v>
      </c>
      <c r="C186">
        <v>1</v>
      </c>
      <c r="E186" t="str">
        <v>Medicine table</v>
      </c>
      <c r="F186" s="8" t="s">
        <v>722</v>
      </c>
      <c r="G186" s="5">
        <f>SUMIF(Append1[rstcat (eng) raw],E186,Append1[Count])</f>
        <v>1</v>
      </c>
    </row>
    <row r="187" spans="1:7" x14ac:dyDescent="0.25">
      <c r="B187" t="s">
        <v>422</v>
      </c>
      <c r="C187">
        <v>18</v>
      </c>
      <c r="E187" t="str">
        <v>Mediterranean cuisine</v>
      </c>
      <c r="F187" s="8" t="s">
        <v>729</v>
      </c>
      <c r="G187" s="5">
        <f>SUMIF(Append1[rstcat (eng) raw],E187,Append1[Count])</f>
        <v>2</v>
      </c>
    </row>
    <row r="188" spans="1:7" x14ac:dyDescent="0.25">
      <c r="A188" t="s">
        <v>219</v>
      </c>
      <c r="B188" t="s">
        <v>554</v>
      </c>
      <c r="C188">
        <v>2</v>
      </c>
      <c r="E188" t="str">
        <v>Mexican</v>
      </c>
      <c r="F188" s="8" t="s">
        <v>780</v>
      </c>
      <c r="G188" s="5">
        <f>SUMIF(Append1[rstcat (eng) raw],E188,Append1[Count])</f>
        <v>6</v>
      </c>
    </row>
    <row r="189" spans="1:7" x14ac:dyDescent="0.25">
      <c r="A189" t="s">
        <v>310</v>
      </c>
      <c r="B189" t="s">
        <v>645</v>
      </c>
      <c r="C189">
        <v>15</v>
      </c>
      <c r="E189" t="str">
        <v>Mexicanfood</v>
      </c>
      <c r="F189" s="8" t="s">
        <v>780</v>
      </c>
      <c r="G189" s="5">
        <f>SUMIF(Append1[rstcat (eng) raw],E189,Append1[Count])</f>
        <v>6</v>
      </c>
    </row>
    <row r="190" spans="1:7" x14ac:dyDescent="0.25">
      <c r="A190" t="s">
        <v>203</v>
      </c>
      <c r="B190" t="s">
        <v>540</v>
      </c>
      <c r="C190">
        <v>4</v>
      </c>
      <c r="E190" t="str">
        <v>Middle Eastern</v>
      </c>
      <c r="F190" s="8" t="s">
        <v>729</v>
      </c>
      <c r="G190" s="5">
        <f>SUMIF(Append1[rstcat (eng) raw],E190,Append1[Count])</f>
        <v>1</v>
      </c>
    </row>
    <row r="191" spans="1:7" x14ac:dyDescent="0.25">
      <c r="B191" t="s">
        <v>423</v>
      </c>
      <c r="C191">
        <v>2</v>
      </c>
      <c r="E191" t="str">
        <v>milkshake</v>
      </c>
      <c r="F191" s="8" t="s">
        <v>391</v>
      </c>
      <c r="G191" s="5">
        <f>SUMIF(Append1[rstcat (eng) raw],E191,Append1[Count])</f>
        <v>1</v>
      </c>
    </row>
    <row r="192" spans="1:7" x14ac:dyDescent="0.25">
      <c r="A192" t="s">
        <v>491</v>
      </c>
      <c r="B192" t="s">
        <v>697</v>
      </c>
      <c r="C192">
        <v>4</v>
      </c>
      <c r="E192" t="str">
        <v>Modern French</v>
      </c>
      <c r="F192" s="8" t="s">
        <v>729</v>
      </c>
      <c r="G192" s="5">
        <f>SUMIF(Append1[rstcat (eng) raw],E192,Append1[Count])</f>
        <v>2</v>
      </c>
    </row>
    <row r="193" spans="1:7" x14ac:dyDescent="0.25">
      <c r="A193" t="s">
        <v>207</v>
      </c>
      <c r="B193" t="s">
        <v>543</v>
      </c>
      <c r="C193">
        <v>7</v>
      </c>
      <c r="E193" t="str">
        <v>Monjayaki</v>
      </c>
      <c r="F193" s="8" t="s">
        <v>724</v>
      </c>
      <c r="G193" s="5">
        <f>SUMIF(Append1[rstcat (eng) raw],E193,Append1[Count])</f>
        <v>5</v>
      </c>
    </row>
    <row r="194" spans="1:7" x14ac:dyDescent="0.25">
      <c r="B194" t="s">
        <v>424</v>
      </c>
      <c r="C194">
        <v>4</v>
      </c>
      <c r="E194" t="str">
        <v>motsunabe</v>
      </c>
      <c r="F194" s="8" t="s">
        <v>724</v>
      </c>
      <c r="G194" s="5">
        <f>SUMIF(Append1[rstcat (eng) raw],E194,Append1[Count])</f>
        <v>5</v>
      </c>
    </row>
    <row r="195" spans="1:7" x14ac:dyDescent="0.25">
      <c r="A195" t="s">
        <v>211</v>
      </c>
      <c r="B195" t="s">
        <v>547</v>
      </c>
      <c r="C195">
        <v>1</v>
      </c>
      <c r="E195" t="str">
        <v>Natural food</v>
      </c>
      <c r="F195" s="8" t="s">
        <v>407</v>
      </c>
      <c r="G195" s="5">
        <f>SUMIF(Append1[rstcat (eng) raw],E195,Append1[Count])</f>
        <v>2</v>
      </c>
    </row>
    <row r="196" spans="1:7" x14ac:dyDescent="0.25">
      <c r="B196" t="s">
        <v>425</v>
      </c>
      <c r="C196">
        <v>56</v>
      </c>
      <c r="E196" t="str">
        <v>Nepalese</v>
      </c>
      <c r="F196" s="8" t="s">
        <v>729</v>
      </c>
      <c r="G196" s="5">
        <f>SUMIF(Append1[rstcat (eng) raw],E196,Append1[Count])</f>
        <v>3</v>
      </c>
    </row>
    <row r="197" spans="1:7" x14ac:dyDescent="0.25">
      <c r="A197" t="s">
        <v>348</v>
      </c>
      <c r="B197" t="s">
        <v>682</v>
      </c>
      <c r="C197">
        <v>16</v>
      </c>
      <c r="E197" t="str">
        <v>Nepalese cuisine</v>
      </c>
      <c r="F197" s="8" t="s">
        <v>729</v>
      </c>
      <c r="G197" s="5">
        <f>SUMIF(Append1[rstcat (eng) raw],E197,Append1[Count])</f>
        <v>4</v>
      </c>
    </row>
    <row r="198" spans="1:7" x14ac:dyDescent="0.25">
      <c r="A198" t="s">
        <v>349</v>
      </c>
      <c r="B198" t="s">
        <v>683</v>
      </c>
      <c r="C198">
        <v>2</v>
      </c>
      <c r="E198" t="str">
        <v>Nepalesecuisine</v>
      </c>
      <c r="F198" s="8" t="s">
        <v>729</v>
      </c>
      <c r="G198" s="5">
        <f>SUMIF(Append1[rstcat (eng) raw],E198,Append1[Count])</f>
        <v>5</v>
      </c>
    </row>
    <row r="199" spans="1:7" x14ac:dyDescent="0.25">
      <c r="A199" t="s">
        <v>348</v>
      </c>
      <c r="B199" t="s">
        <v>746</v>
      </c>
      <c r="C199">
        <v>30</v>
      </c>
      <c r="E199" t="str">
        <v>New American</v>
      </c>
      <c r="F199" s="8" t="s">
        <v>729</v>
      </c>
      <c r="G199" s="5">
        <f>SUMIF(Append1[rstcat (eng) raw],E199,Append1[Count])</f>
        <v>1</v>
      </c>
    </row>
    <row r="200" spans="1:7" x14ac:dyDescent="0.25">
      <c r="A200" t="s">
        <v>289</v>
      </c>
      <c r="B200" t="s">
        <v>624</v>
      </c>
      <c r="C200">
        <v>4</v>
      </c>
      <c r="E200" t="str">
        <v>None</v>
      </c>
      <c r="F200" s="8" t="s">
        <v>764</v>
      </c>
      <c r="G200" s="5">
        <f>SUMIF(Append1[rstcat (eng) raw],E200,Append1[Count])</f>
        <v>1</v>
      </c>
    </row>
    <row r="201" spans="1:7" x14ac:dyDescent="0.25">
      <c r="A201" t="s">
        <v>284</v>
      </c>
      <c r="B201" t="s">
        <v>618</v>
      </c>
      <c r="C201">
        <v>1</v>
      </c>
      <c r="E201" t="str">
        <v>Noodles</v>
      </c>
      <c r="F201" s="8" t="s">
        <v>432</v>
      </c>
      <c r="G201" s="5">
        <f>SUMIF(Append1[rstcat (eng) raw],E201,Append1[Count])</f>
        <v>222</v>
      </c>
    </row>
    <row r="202" spans="1:7" x14ac:dyDescent="0.25">
      <c r="B202" t="s">
        <v>426</v>
      </c>
      <c r="C202">
        <v>1</v>
      </c>
      <c r="E202" t="str">
        <v>Obanzai</v>
      </c>
      <c r="F202" s="8" t="s">
        <v>724</v>
      </c>
      <c r="G202" s="5">
        <f>SUMIF(Append1[rstcat (eng) raw],E202,Append1[Count])</f>
        <v>1</v>
      </c>
    </row>
    <row r="203" spans="1:7" x14ac:dyDescent="0.25">
      <c r="A203" t="s">
        <v>343</v>
      </c>
      <c r="B203" t="s">
        <v>678</v>
      </c>
      <c r="C203">
        <v>8</v>
      </c>
      <c r="E203" t="str">
        <v>Octopus</v>
      </c>
      <c r="F203" s="8" t="s">
        <v>448</v>
      </c>
      <c r="G203" s="5">
        <f>SUMIF(Append1[rstcat (eng) raw],E203,Append1[Count])</f>
        <v>4</v>
      </c>
    </row>
    <row r="204" spans="1:7" x14ac:dyDescent="0.25">
      <c r="A204" t="s">
        <v>280</v>
      </c>
      <c r="B204" t="s">
        <v>614</v>
      </c>
      <c r="C204">
        <v>5</v>
      </c>
      <c r="E204" t="str">
        <v>Oden</v>
      </c>
      <c r="F204" s="8" t="s">
        <v>724</v>
      </c>
      <c r="G204" s="5">
        <f>SUMIF(Append1[rstcat (eng) raw],E204,Append1[Count])</f>
        <v>5</v>
      </c>
    </row>
    <row r="205" spans="1:7" x14ac:dyDescent="0.25">
      <c r="A205" t="s">
        <v>309</v>
      </c>
      <c r="B205" t="s">
        <v>644</v>
      </c>
      <c r="C205">
        <v>25</v>
      </c>
      <c r="E205" t="str">
        <v>Oil soba</v>
      </c>
      <c r="F205" s="8" t="s">
        <v>432</v>
      </c>
      <c r="G205" s="5">
        <f>SUMIF(Append1[rstcat (eng) raw],E205,Append1[Count])</f>
        <v>5</v>
      </c>
    </row>
    <row r="206" spans="1:7" x14ac:dyDescent="0.25">
      <c r="A206" t="s">
        <v>309</v>
      </c>
      <c r="B206" t="s">
        <v>644</v>
      </c>
      <c r="C206">
        <v>231</v>
      </c>
      <c r="E206" t="str">
        <v>Okinawan</v>
      </c>
      <c r="F206" s="8" t="s">
        <v>724</v>
      </c>
      <c r="G206" s="5">
        <f>SUMIF(Append1[rstcat (eng) raw],E206,Append1[Count])</f>
        <v>1</v>
      </c>
    </row>
    <row r="207" spans="1:7" x14ac:dyDescent="0.25">
      <c r="A207" t="s">
        <v>274</v>
      </c>
      <c r="B207" t="s">
        <v>608</v>
      </c>
      <c r="C207">
        <v>1</v>
      </c>
      <c r="E207" t="str">
        <v>Okinawan cooking</v>
      </c>
      <c r="F207" s="8" t="s">
        <v>724</v>
      </c>
      <c r="G207" s="5">
        <f>SUMIF(Append1[rstcat (eng) raw],E207,Append1[Count])</f>
        <v>2</v>
      </c>
    </row>
    <row r="208" spans="1:7" x14ac:dyDescent="0.25">
      <c r="A208" t="s">
        <v>337</v>
      </c>
      <c r="B208" t="s">
        <v>672</v>
      </c>
      <c r="C208">
        <v>2</v>
      </c>
      <c r="E208" t="str">
        <v>Okonomiyaki</v>
      </c>
      <c r="F208" s="8" t="s">
        <v>724</v>
      </c>
      <c r="G208" s="5">
        <f>SUMIF(Append1[rstcat (eng) raw],E208,Append1[Count])</f>
        <v>44</v>
      </c>
    </row>
    <row r="209" spans="1:7" x14ac:dyDescent="0.25">
      <c r="A209" t="s">
        <v>339</v>
      </c>
      <c r="B209" t="s">
        <v>674</v>
      </c>
      <c r="C209">
        <v>1</v>
      </c>
      <c r="E209" t="str">
        <v>Omelette rice</v>
      </c>
      <c r="F209" s="8" t="s">
        <v>724</v>
      </c>
      <c r="G209" s="5">
        <f>SUMIF(Append1[rstcat (eng) raw],E209,Append1[Count])</f>
        <v>2</v>
      </c>
    </row>
    <row r="210" spans="1:7" x14ac:dyDescent="0.25">
      <c r="A210" t="s">
        <v>299</v>
      </c>
      <c r="B210" t="s">
        <v>636</v>
      </c>
      <c r="C210">
        <v>2</v>
      </c>
      <c r="E210" t="str">
        <v>Other meat dishes</v>
      </c>
      <c r="F210" s="8" t="s">
        <v>730</v>
      </c>
      <c r="G210" s="5">
        <f>SUMIF(Append1[rstcat (eng) raw],E210,Append1[Count])</f>
        <v>3</v>
      </c>
    </row>
    <row r="211" spans="1:7" x14ac:dyDescent="0.25">
      <c r="B211" t="s">
        <v>427</v>
      </c>
      <c r="C211">
        <v>6</v>
      </c>
      <c r="E211" t="str">
        <v>others</v>
      </c>
      <c r="F211" s="8" t="s">
        <v>764</v>
      </c>
      <c r="G211" s="5">
        <f>SUMIF(Append1[rstcat (eng) raw],E211,Append1[Count])</f>
        <v>230</v>
      </c>
    </row>
    <row r="212" spans="1:7" x14ac:dyDescent="0.25">
      <c r="A212" t="s">
        <v>509</v>
      </c>
      <c r="B212" t="s">
        <v>747</v>
      </c>
      <c r="C212">
        <v>6</v>
      </c>
      <c r="E212" t="str">
        <v>Otsumami</v>
      </c>
      <c r="F212" s="8" t="s">
        <v>415</v>
      </c>
      <c r="G212" s="5">
        <f>SUMIF(Append1[rstcat (eng) raw],E212,Append1[Count])</f>
        <v>26</v>
      </c>
    </row>
    <row r="213" spans="1:7" x14ac:dyDescent="0.25">
      <c r="B213" t="s">
        <v>428</v>
      </c>
      <c r="C213">
        <v>1</v>
      </c>
      <c r="E213" t="str">
        <v>Ox tongue</v>
      </c>
      <c r="F213" s="8" t="s">
        <v>730</v>
      </c>
      <c r="G213" s="5">
        <f>SUMIF(Append1[rstcat (eng) raw],E213,Append1[Count])</f>
        <v>3</v>
      </c>
    </row>
    <row r="214" spans="1:7" x14ac:dyDescent="0.25">
      <c r="A214" t="s">
        <v>481</v>
      </c>
      <c r="B214" t="s">
        <v>481</v>
      </c>
      <c r="C214">
        <v>1</v>
      </c>
      <c r="E214" t="str">
        <v>Oyakodon</v>
      </c>
      <c r="F214" s="8" t="s">
        <v>724</v>
      </c>
      <c r="G214" s="5">
        <f>SUMIF(Append1[rstcat (eng) raw],E214,Append1[Count])</f>
        <v>3</v>
      </c>
    </row>
    <row r="215" spans="1:7" x14ac:dyDescent="0.25">
      <c r="A215" t="s">
        <v>275</v>
      </c>
      <c r="B215" t="s">
        <v>609</v>
      </c>
      <c r="C215">
        <v>2</v>
      </c>
      <c r="E215" t="str">
        <v>Oyster bar</v>
      </c>
      <c r="G215" s="5">
        <f>SUMIF(Append1[rstcat (eng) raw],E215,Append1[Count])</f>
        <v>2</v>
      </c>
    </row>
    <row r="216" spans="1:7" x14ac:dyDescent="0.25">
      <c r="A216" t="s">
        <v>278</v>
      </c>
      <c r="B216" t="s">
        <v>612</v>
      </c>
      <c r="C216">
        <v>5</v>
      </c>
      <c r="E216" t="str">
        <v>Pakistanian cuisine</v>
      </c>
      <c r="F216" s="8" t="s">
        <v>729</v>
      </c>
      <c r="G216" s="5">
        <f>SUMIF(Append1[rstcat (eng) raw],E216,Append1[Count])</f>
        <v>1</v>
      </c>
    </row>
    <row r="217" spans="1:7" x14ac:dyDescent="0.25">
      <c r="A217" t="s">
        <v>277</v>
      </c>
      <c r="B217" t="s">
        <v>611</v>
      </c>
      <c r="C217">
        <v>5</v>
      </c>
      <c r="E217" t="str">
        <v>pancake</v>
      </c>
      <c r="F217" s="8" t="s">
        <v>717</v>
      </c>
      <c r="G217" s="5">
        <f>SUMIF(Append1[rstcat (eng) raw],E217,Append1[Count])</f>
        <v>6</v>
      </c>
    </row>
    <row r="218" spans="1:7" x14ac:dyDescent="0.25">
      <c r="A218" t="s">
        <v>338</v>
      </c>
      <c r="B218" t="s">
        <v>673</v>
      </c>
      <c r="C218">
        <v>2</v>
      </c>
      <c r="E218" t="str">
        <v>pasta</v>
      </c>
      <c r="F218" s="8" t="s">
        <v>729</v>
      </c>
      <c r="G218" s="5">
        <f>SUMIF(Append1[rstcat (eng) raw],E218,Append1[Count])</f>
        <v>94</v>
      </c>
    </row>
    <row r="219" spans="1:7" x14ac:dyDescent="0.25">
      <c r="B219" t="s">
        <v>429</v>
      </c>
      <c r="C219">
        <v>3</v>
      </c>
      <c r="E219" t="str">
        <v>Pastry</v>
      </c>
      <c r="F219" s="8" t="s">
        <v>717</v>
      </c>
      <c r="G219" s="5">
        <f>SUMIF(Append1[rstcat (eng) raw],E219,Append1[Count])</f>
        <v>3</v>
      </c>
    </row>
    <row r="220" spans="1:7" x14ac:dyDescent="0.25">
      <c r="A220" t="s">
        <v>248</v>
      </c>
      <c r="B220" t="s">
        <v>583</v>
      </c>
      <c r="C220">
        <v>4</v>
      </c>
      <c r="E220" t="str">
        <v>pizza</v>
      </c>
      <c r="F220" s="8" t="s">
        <v>438</v>
      </c>
      <c r="G220" s="5">
        <f>SUMIF(Append1[rstcat (eng) raw],E220,Append1[Count])</f>
        <v>112</v>
      </c>
    </row>
    <row r="221" spans="1:7" x14ac:dyDescent="0.25">
      <c r="A221" t="s">
        <v>248</v>
      </c>
      <c r="B221" t="s">
        <v>748</v>
      </c>
      <c r="C221">
        <v>5</v>
      </c>
      <c r="E221" t="str">
        <v>Poke</v>
      </c>
      <c r="F221" s="8" t="s">
        <v>731</v>
      </c>
      <c r="G221" s="5">
        <f>SUMIF(Append1[rstcat (eng) raw],E221,Append1[Count])</f>
        <v>5</v>
      </c>
    </row>
    <row r="222" spans="1:7" x14ac:dyDescent="0.25">
      <c r="B222" t="s">
        <v>430</v>
      </c>
      <c r="C222">
        <v>1</v>
      </c>
      <c r="E222" t="str">
        <v>Poki</v>
      </c>
      <c r="F222" s="8" t="s">
        <v>731</v>
      </c>
      <c r="G222" s="5">
        <f>SUMIF(Append1[rstcat (eng) raw],E222,Append1[Count])</f>
        <v>1</v>
      </c>
    </row>
    <row r="223" spans="1:7" x14ac:dyDescent="0.25">
      <c r="B223" t="s">
        <v>431</v>
      </c>
      <c r="C223">
        <v>1</v>
      </c>
      <c r="E223" t="str">
        <v>Pork cutlet</v>
      </c>
      <c r="F223" s="8" t="s">
        <v>724</v>
      </c>
      <c r="G223" s="5">
        <f>SUMIF(Append1[rstcat (eng) raw],E223,Append1[Count])</f>
        <v>7</v>
      </c>
    </row>
    <row r="224" spans="1:7" x14ac:dyDescent="0.25">
      <c r="B224" t="s">
        <v>432</v>
      </c>
      <c r="C224">
        <v>97</v>
      </c>
      <c r="E224" t="str">
        <v>Pork shabu</v>
      </c>
      <c r="F224" s="8" t="s">
        <v>724</v>
      </c>
      <c r="G224" s="5">
        <f>SUMIF(Append1[rstcat (eng) raw],E224,Append1[Count])</f>
        <v>1</v>
      </c>
    </row>
    <row r="225" spans="1:7" x14ac:dyDescent="0.25">
      <c r="A225" t="s">
        <v>523</v>
      </c>
      <c r="B225" t="s">
        <v>716</v>
      </c>
      <c r="C225">
        <v>125</v>
      </c>
      <c r="E225" t="str">
        <v>Pot (other)</v>
      </c>
      <c r="F225" s="8" t="s">
        <v>724</v>
      </c>
      <c r="G225" s="5">
        <f>SUMIF(Append1[rstcat (eng) raw],E225,Append1[Count])</f>
        <v>5</v>
      </c>
    </row>
    <row r="226" spans="1:7" x14ac:dyDescent="0.25">
      <c r="A226" t="s">
        <v>199</v>
      </c>
      <c r="B226" t="s">
        <v>537</v>
      </c>
      <c r="C226">
        <v>1</v>
      </c>
      <c r="E226" t="str">
        <v>Pot rice</v>
      </c>
      <c r="F226" s="8" t="s">
        <v>731</v>
      </c>
      <c r="G226" s="5">
        <f>SUMIF(Append1[rstcat (eng) raw],E226,Append1[Count])</f>
        <v>2</v>
      </c>
    </row>
    <row r="227" spans="1:7" x14ac:dyDescent="0.25">
      <c r="A227" t="s">
        <v>162</v>
      </c>
      <c r="B227" t="s">
        <v>572</v>
      </c>
      <c r="C227">
        <v>4</v>
      </c>
      <c r="E227" t="str">
        <v>protein</v>
      </c>
      <c r="F227" s="8" t="s">
        <v>730</v>
      </c>
      <c r="G227" s="5">
        <f>SUMIF(Append1[rstcat (eng) raw],E227,Append1[Count])</f>
        <v>1</v>
      </c>
    </row>
    <row r="228" spans="1:7" x14ac:dyDescent="0.25">
      <c r="A228" t="s">
        <v>197</v>
      </c>
      <c r="B228" t="s">
        <v>535</v>
      </c>
      <c r="C228">
        <v>5</v>
      </c>
      <c r="E228" t="str">
        <v>Pub</v>
      </c>
      <c r="F228" s="8" t="s">
        <v>763</v>
      </c>
      <c r="G228" s="5">
        <f>SUMIF(Append1[rstcat (eng) raw],E228,Append1[Count])</f>
        <v>207</v>
      </c>
    </row>
    <row r="229" spans="1:7" x14ac:dyDescent="0.25">
      <c r="A229" t="s">
        <v>319</v>
      </c>
      <c r="B229" t="s">
        <v>654</v>
      </c>
      <c r="C229">
        <v>5</v>
      </c>
      <c r="E229" t="str">
        <v>ramen</v>
      </c>
      <c r="F229" s="8" t="s">
        <v>432</v>
      </c>
      <c r="G229" s="5">
        <f>SUMIF(Append1[rstcat (eng) raw],E229,Append1[Count])</f>
        <v>154</v>
      </c>
    </row>
    <row r="230" spans="1:7" x14ac:dyDescent="0.25">
      <c r="B230" t="s">
        <v>433</v>
      </c>
      <c r="C230">
        <v>1</v>
      </c>
      <c r="E230" t="str">
        <v>Regional</v>
      </c>
      <c r="F230" s="8" t="s">
        <v>724</v>
      </c>
      <c r="G230" s="5">
        <f>SUMIF(Append1[rstcat (eng) raw],E230,Append1[Count])</f>
        <v>4</v>
      </c>
    </row>
    <row r="231" spans="1:7" x14ac:dyDescent="0.25">
      <c r="A231" t="s">
        <v>318</v>
      </c>
      <c r="B231" t="s">
        <v>653</v>
      </c>
      <c r="C231">
        <v>2</v>
      </c>
      <c r="E231" t="str">
        <v>Restaurant (other)</v>
      </c>
      <c r="F231" s="8" t="s">
        <v>782</v>
      </c>
      <c r="G231" s="5">
        <f>SUMIF(Append1[rstcat (eng) raw],E231,Append1[Count])</f>
        <v>8</v>
      </c>
    </row>
    <row r="232" spans="1:7" x14ac:dyDescent="0.25">
      <c r="A232" t="s">
        <v>201</v>
      </c>
      <c r="B232" t="s">
        <v>434</v>
      </c>
      <c r="C232">
        <v>11</v>
      </c>
      <c r="E232" t="str">
        <v>rice</v>
      </c>
      <c r="F232" s="8" t="s">
        <v>731</v>
      </c>
      <c r="G232" s="5">
        <f>SUMIF(Append1[rstcat (eng) raw],E232,Append1[Count])</f>
        <v>11</v>
      </c>
    </row>
    <row r="233" spans="1:7" x14ac:dyDescent="0.25">
      <c r="B233" t="s">
        <v>434</v>
      </c>
      <c r="C233">
        <v>2</v>
      </c>
      <c r="E233" t="str">
        <v>Rice &amp; Curry</v>
      </c>
      <c r="F233" s="8" t="s">
        <v>765</v>
      </c>
      <c r="G233" s="5">
        <f>SUMIF(Append1[rstcat (eng) raw],E233,Append1[Count])</f>
        <v>2</v>
      </c>
    </row>
    <row r="234" spans="1:7" x14ac:dyDescent="0.25">
      <c r="A234" t="s">
        <v>201</v>
      </c>
      <c r="B234" t="s">
        <v>434</v>
      </c>
      <c r="C234">
        <v>31</v>
      </c>
      <c r="E234" t="str">
        <v>rice ball</v>
      </c>
      <c r="F234" s="8" t="s">
        <v>731</v>
      </c>
      <c r="G234" s="5">
        <f>SUMIF(Append1[rstcat (eng) raw],E234,Append1[Count])</f>
        <v>4</v>
      </c>
    </row>
    <row r="235" spans="1:7" x14ac:dyDescent="0.25">
      <c r="A235" t="s">
        <v>200</v>
      </c>
      <c r="B235" t="s">
        <v>538</v>
      </c>
      <c r="C235">
        <v>2</v>
      </c>
      <c r="E235" t="str">
        <v>Rice cracker</v>
      </c>
      <c r="F235" s="8" t="s">
        <v>450</v>
      </c>
      <c r="G235" s="5">
        <f>SUMIF(Append1[rstcat (eng) raw],E235,Append1[Count])</f>
        <v>2</v>
      </c>
    </row>
    <row r="236" spans="1:7" x14ac:dyDescent="0.25">
      <c r="A236" t="s">
        <v>230</v>
      </c>
      <c r="B236" t="s">
        <v>564</v>
      </c>
      <c r="C236">
        <v>3</v>
      </c>
      <c r="E236" t="str">
        <v>Rice Dishes</v>
      </c>
      <c r="F236" s="8" t="s">
        <v>731</v>
      </c>
      <c r="G236" s="5">
        <f>SUMIF(Append1[rstcat (eng) raw],E236,Append1[Count])</f>
        <v>13</v>
      </c>
    </row>
    <row r="237" spans="1:7" x14ac:dyDescent="0.25">
      <c r="A237" t="s">
        <v>229</v>
      </c>
      <c r="B237" t="s">
        <v>563</v>
      </c>
      <c r="C237">
        <v>230</v>
      </c>
      <c r="E237" t="str">
        <v>riceball</v>
      </c>
      <c r="F237" s="8" t="s">
        <v>731</v>
      </c>
      <c r="G237" s="5">
        <f>SUMIF(Append1[rstcat (eng) raw],E237,Append1[Count])</f>
        <v>5</v>
      </c>
    </row>
    <row r="238" spans="1:7" x14ac:dyDescent="0.25">
      <c r="B238" t="s">
        <v>435</v>
      </c>
      <c r="C238">
        <v>26</v>
      </c>
      <c r="E238" t="str">
        <v>Ricebowl</v>
      </c>
      <c r="F238" s="8" t="s">
        <v>731</v>
      </c>
      <c r="G238" s="5">
        <f>SUMIF(Append1[rstcat (eng) raw],E238,Append1[Count])</f>
        <v>165</v>
      </c>
    </row>
    <row r="239" spans="1:7" x14ac:dyDescent="0.25">
      <c r="A239" t="s">
        <v>329</v>
      </c>
      <c r="B239" t="s">
        <v>664</v>
      </c>
      <c r="C239">
        <v>3</v>
      </c>
      <c r="E239" t="str">
        <v>Rice-bowls</v>
      </c>
      <c r="F239" s="8" t="s">
        <v>731</v>
      </c>
      <c r="G239" s="5">
        <f>SUMIF(Append1[rstcat (eng) raw],E239,Append1[Count])</f>
        <v>46</v>
      </c>
    </row>
    <row r="240" spans="1:7" x14ac:dyDescent="0.25">
      <c r="A240" t="s">
        <v>341</v>
      </c>
      <c r="B240" t="s">
        <v>676</v>
      </c>
      <c r="C240">
        <v>3</v>
      </c>
      <c r="E240" t="str">
        <v>Ryokan / Auberge (Other)</v>
      </c>
      <c r="F240" s="8" t="s">
        <v>724</v>
      </c>
      <c r="G240" s="5">
        <f>SUMIF(Append1[rstcat (eng) raw],E240,Append1[Count])</f>
        <v>2</v>
      </c>
    </row>
    <row r="241" spans="1:7" x14ac:dyDescent="0.25">
      <c r="A241" t="s">
        <v>196</v>
      </c>
      <c r="B241" t="s">
        <v>534</v>
      </c>
      <c r="C241">
        <v>2</v>
      </c>
      <c r="E241" t="str">
        <v>sake</v>
      </c>
      <c r="F241" s="8" t="s">
        <v>763</v>
      </c>
      <c r="G241" s="5">
        <f>SUMIF(Append1[rstcat (eng) raw],E241,Append1[Count])</f>
        <v>16</v>
      </c>
    </row>
    <row r="242" spans="1:7" x14ac:dyDescent="0.25">
      <c r="A242" t="s">
        <v>253</v>
      </c>
      <c r="B242" t="s">
        <v>588</v>
      </c>
      <c r="C242">
        <v>1</v>
      </c>
      <c r="E242" t="str">
        <v>Sake bar</v>
      </c>
      <c r="F242" s="8" t="s">
        <v>763</v>
      </c>
      <c r="G242" s="5">
        <f>SUMIF(Append1[rstcat (eng) raw],E242,Append1[Count])</f>
        <v>20</v>
      </c>
    </row>
    <row r="243" spans="1:7" x14ac:dyDescent="0.25">
      <c r="A243" t="s">
        <v>260</v>
      </c>
      <c r="B243" t="s">
        <v>595</v>
      </c>
      <c r="C243">
        <v>3</v>
      </c>
      <c r="E243" t="str">
        <v>salad</v>
      </c>
      <c r="F243" s="8" t="s">
        <v>407</v>
      </c>
      <c r="G243" s="5">
        <f>SUMIF(Append1[rstcat (eng) raw],E243,Append1[Count])</f>
        <v>50</v>
      </c>
    </row>
    <row r="244" spans="1:7" x14ac:dyDescent="0.25">
      <c r="A244" t="s">
        <v>260</v>
      </c>
      <c r="B244" t="s">
        <v>595</v>
      </c>
      <c r="C244">
        <v>3</v>
      </c>
      <c r="E244" t="str">
        <v>Salads</v>
      </c>
      <c r="F244" s="8" t="s">
        <v>407</v>
      </c>
      <c r="G244" s="5">
        <f>SUMIF(Append1[rstcat (eng) raw],E244,Append1[Count])</f>
        <v>57</v>
      </c>
    </row>
    <row r="245" spans="1:7" x14ac:dyDescent="0.25">
      <c r="A245" t="s">
        <v>254</v>
      </c>
      <c r="B245" t="s">
        <v>589</v>
      </c>
      <c r="C245">
        <v>11</v>
      </c>
      <c r="E245" t="str">
        <v>sandwich</v>
      </c>
      <c r="F245" s="8" t="s">
        <v>717</v>
      </c>
      <c r="G245" s="5">
        <f>SUMIF(Append1[rstcat (eng) raw],E245,Append1[Count])</f>
        <v>73</v>
      </c>
    </row>
    <row r="246" spans="1:7" x14ac:dyDescent="0.25">
      <c r="B246" t="s">
        <v>436</v>
      </c>
      <c r="C246">
        <v>34</v>
      </c>
      <c r="E246" t="str">
        <v>Sandwiches</v>
      </c>
      <c r="F246" s="8" t="s">
        <v>717</v>
      </c>
      <c r="G246" s="5">
        <f>SUMIF(Append1[rstcat (eng) raw],E246,Append1[Count])</f>
        <v>4</v>
      </c>
    </row>
    <row r="247" spans="1:7" x14ac:dyDescent="0.25">
      <c r="A247" t="s">
        <v>254</v>
      </c>
      <c r="B247" t="s">
        <v>589</v>
      </c>
      <c r="C247">
        <v>49</v>
      </c>
      <c r="E247" t="str">
        <v>sashimi</v>
      </c>
      <c r="F247" s="8" t="s">
        <v>732</v>
      </c>
      <c r="G247" s="5">
        <f>SUMIF(Append1[rstcat (eng) raw],E247,Append1[Count])</f>
        <v>3</v>
      </c>
    </row>
    <row r="248" spans="1:7" x14ac:dyDescent="0.25">
      <c r="B248" t="s">
        <v>437</v>
      </c>
      <c r="C248">
        <v>3</v>
      </c>
      <c r="E248" t="str">
        <v>Schulasco</v>
      </c>
      <c r="F248" s="8" t="s">
        <v>729</v>
      </c>
      <c r="G248" s="5">
        <f>SUMIF(Append1[rstcat (eng) raw],E248,Append1[Count])</f>
        <v>2</v>
      </c>
    </row>
    <row r="249" spans="1:7" x14ac:dyDescent="0.25">
      <c r="A249" t="s">
        <v>266</v>
      </c>
      <c r="B249" t="s">
        <v>600</v>
      </c>
      <c r="C249">
        <v>10</v>
      </c>
      <c r="E249" t="str">
        <v>Seafood</v>
      </c>
      <c r="F249" s="8" t="s">
        <v>448</v>
      </c>
      <c r="G249" s="5">
        <f>SUMIF(Append1[rstcat (eng) raw],E249,Append1[Count])</f>
        <v>133</v>
      </c>
    </row>
    <row r="250" spans="1:7" x14ac:dyDescent="0.25">
      <c r="B250" t="s">
        <v>438</v>
      </c>
      <c r="C250">
        <v>42</v>
      </c>
      <c r="E250" t="str">
        <v>Seafood and seafood dishes</v>
      </c>
      <c r="F250" s="8" t="s">
        <v>448</v>
      </c>
      <c r="G250" s="5">
        <f>SUMIF(Append1[rstcat (eng) raw],E250,Append1[Count])</f>
        <v>54</v>
      </c>
    </row>
    <row r="251" spans="1:7" x14ac:dyDescent="0.25">
      <c r="A251" t="s">
        <v>266</v>
      </c>
      <c r="B251" t="s">
        <v>600</v>
      </c>
      <c r="C251">
        <v>60</v>
      </c>
      <c r="E251" t="str">
        <v>Set meal / dining room</v>
      </c>
      <c r="F251" s="8" t="s">
        <v>724</v>
      </c>
      <c r="G251" s="5">
        <f>SUMIF(Append1[rstcat (eng) raw],E251,Append1[Count])</f>
        <v>29</v>
      </c>
    </row>
    <row r="252" spans="1:7" x14ac:dyDescent="0.25">
      <c r="B252" t="s">
        <v>439</v>
      </c>
      <c r="C252">
        <v>5</v>
      </c>
      <c r="E252" t="str">
        <v>Shabu -shabu</v>
      </c>
      <c r="F252" s="8" t="s">
        <v>730</v>
      </c>
      <c r="G252" s="5">
        <f>SUMIF(Append1[rstcat (eng) raw],E252,Append1[Count])</f>
        <v>4</v>
      </c>
    </row>
    <row r="253" spans="1:7" x14ac:dyDescent="0.25">
      <c r="A253" t="s">
        <v>508</v>
      </c>
      <c r="B253" t="s">
        <v>710</v>
      </c>
      <c r="C253">
        <v>1</v>
      </c>
      <c r="E253" t="str">
        <v>Shanghai cuisine</v>
      </c>
      <c r="F253" s="8" t="s">
        <v>722</v>
      </c>
      <c r="G253" s="5">
        <f>SUMIF(Append1[rstcat (eng) raw],E253,Append1[Count])</f>
        <v>2</v>
      </c>
    </row>
    <row r="254" spans="1:7" x14ac:dyDescent="0.25">
      <c r="A254" t="s">
        <v>247</v>
      </c>
      <c r="B254" t="s">
        <v>582</v>
      </c>
      <c r="C254">
        <v>7</v>
      </c>
      <c r="E254" t="str">
        <v>shaved ice</v>
      </c>
      <c r="F254" s="8" t="s">
        <v>720</v>
      </c>
      <c r="G254" s="5">
        <f>SUMIF(Append1[rstcat (eng) raw],E254,Append1[Count])</f>
        <v>2</v>
      </c>
    </row>
    <row r="255" spans="1:7" x14ac:dyDescent="0.25">
      <c r="A255" t="s">
        <v>342</v>
      </c>
      <c r="B255" t="s">
        <v>677</v>
      </c>
      <c r="C255">
        <v>1</v>
      </c>
      <c r="E255" t="str">
        <v>Shochu bar</v>
      </c>
      <c r="F255" s="8" t="s">
        <v>763</v>
      </c>
      <c r="G255" s="5">
        <f>SUMIF(Append1[rstcat (eng) raw],E255,Append1[Count])</f>
        <v>3</v>
      </c>
    </row>
    <row r="256" spans="1:7" x14ac:dyDescent="0.25">
      <c r="A256" t="s">
        <v>347</v>
      </c>
      <c r="B256" t="s">
        <v>681</v>
      </c>
      <c r="C256">
        <v>5</v>
      </c>
      <c r="E256" t="str">
        <v>Sichuan cuisine</v>
      </c>
      <c r="F256" s="8" t="s">
        <v>722</v>
      </c>
      <c r="G256" s="5">
        <f>SUMIF(Append1[rstcat (eng) raw],E256,Append1[Count])</f>
        <v>8</v>
      </c>
    </row>
    <row r="257" spans="1:7" x14ac:dyDescent="0.25">
      <c r="A257" t="s">
        <v>345</v>
      </c>
      <c r="B257" t="s">
        <v>680</v>
      </c>
      <c r="C257">
        <v>2</v>
      </c>
      <c r="E257" t="str">
        <v>Sidedish</v>
      </c>
      <c r="F257" s="8" t="s">
        <v>415</v>
      </c>
      <c r="G257" s="5">
        <f>SUMIF(Append1[rstcat (eng) raw],E257,Append1[Count])</f>
        <v>6</v>
      </c>
    </row>
    <row r="258" spans="1:7" x14ac:dyDescent="0.25">
      <c r="A258" t="s">
        <v>771</v>
      </c>
      <c r="B258" t="s">
        <v>749</v>
      </c>
      <c r="C258">
        <v>1</v>
      </c>
      <c r="E258" t="str">
        <v>Singaporean</v>
      </c>
      <c r="F258" s="8" t="s">
        <v>727</v>
      </c>
      <c r="G258" s="5">
        <f>SUMIF(Append1[rstcat (eng) raw],E258,Append1[Count])</f>
        <v>1</v>
      </c>
    </row>
    <row r="259" spans="1:7" x14ac:dyDescent="0.25">
      <c r="A259" t="s">
        <v>255</v>
      </c>
      <c r="B259" t="s">
        <v>590</v>
      </c>
      <c r="C259">
        <v>3</v>
      </c>
      <c r="E259" t="str">
        <v>Skewers</v>
      </c>
      <c r="F259" s="8" t="s">
        <v>415</v>
      </c>
      <c r="G259" s="5">
        <f>SUMIF(Append1[rstcat (eng) raw],E259,Append1[Count])</f>
        <v>3</v>
      </c>
    </row>
    <row r="260" spans="1:7" x14ac:dyDescent="0.25">
      <c r="A260" t="s">
        <v>306</v>
      </c>
      <c r="B260" t="s">
        <v>590</v>
      </c>
      <c r="C260">
        <v>204</v>
      </c>
      <c r="E260" t="str">
        <v>Smoothie</v>
      </c>
      <c r="F260" s="8" t="s">
        <v>391</v>
      </c>
      <c r="G260" s="5">
        <f>SUMIF(Append1[rstcat (eng) raw],E260,Append1[Count])</f>
        <v>7</v>
      </c>
    </row>
    <row r="261" spans="1:7" x14ac:dyDescent="0.25">
      <c r="A261" t="s">
        <v>279</v>
      </c>
      <c r="B261" t="s">
        <v>613</v>
      </c>
      <c r="C261">
        <v>52</v>
      </c>
      <c r="E261" t="str">
        <v>Snacks</v>
      </c>
      <c r="F261" s="8" t="s">
        <v>450</v>
      </c>
      <c r="G261" s="5">
        <f>SUMIF(Append1[rstcat (eng) raw],E261,Append1[Count])</f>
        <v>6</v>
      </c>
    </row>
    <row r="262" spans="1:7" x14ac:dyDescent="0.25">
      <c r="B262" t="s">
        <v>440</v>
      </c>
      <c r="C262">
        <v>44</v>
      </c>
      <c r="E262" t="str">
        <v>Soba</v>
      </c>
      <c r="F262" s="8" t="s">
        <v>432</v>
      </c>
      <c r="G262" s="5">
        <f>SUMIF(Append1[rstcat (eng) raw],E262,Append1[Count])</f>
        <v>75</v>
      </c>
    </row>
    <row r="263" spans="1:7" x14ac:dyDescent="0.25">
      <c r="A263" t="s">
        <v>279</v>
      </c>
      <c r="B263" t="s">
        <v>613</v>
      </c>
      <c r="C263">
        <v>58</v>
      </c>
      <c r="E263" t="str">
        <v>Soba, udon, noodles (others)</v>
      </c>
      <c r="F263" s="8" t="s">
        <v>432</v>
      </c>
      <c r="G263" s="5">
        <f>SUMIF(Append1[rstcat (eng) raw],E263,Append1[Count])</f>
        <v>3</v>
      </c>
    </row>
    <row r="264" spans="1:7" x14ac:dyDescent="0.25">
      <c r="B264" t="s">
        <v>441</v>
      </c>
      <c r="C264">
        <v>4</v>
      </c>
      <c r="E264" t="str">
        <v>Soft cream</v>
      </c>
      <c r="F264" s="8" t="s">
        <v>720</v>
      </c>
      <c r="G264" s="5">
        <f>SUMIF(Append1[rstcat (eng) raw],E264,Append1[Count])</f>
        <v>1</v>
      </c>
    </row>
    <row r="265" spans="1:7" x14ac:dyDescent="0.25">
      <c r="A265" t="s">
        <v>281</v>
      </c>
      <c r="B265" t="s">
        <v>615</v>
      </c>
      <c r="C265">
        <v>8</v>
      </c>
      <c r="E265" t="str">
        <v>softdrinks</v>
      </c>
      <c r="F265" s="8" t="s">
        <v>391</v>
      </c>
      <c r="G265" s="5">
        <f>SUMIF(Append1[rstcat (eng) raw],E265,Append1[Count])</f>
        <v>0</v>
      </c>
    </row>
    <row r="266" spans="1:7" x14ac:dyDescent="0.25">
      <c r="A266" t="s">
        <v>519</v>
      </c>
      <c r="B266" t="s">
        <v>714</v>
      </c>
      <c r="C266">
        <v>11</v>
      </c>
      <c r="E266" t="str">
        <v>Soul Food</v>
      </c>
      <c r="F266" s="8" t="s">
        <v>450</v>
      </c>
      <c r="G266" s="5">
        <f>SUMIF(Append1[rstcat (eng) raw],E266,Append1[Count])</f>
        <v>10</v>
      </c>
    </row>
    <row r="267" spans="1:7" x14ac:dyDescent="0.25">
      <c r="B267" t="s">
        <v>442</v>
      </c>
      <c r="C267">
        <v>2</v>
      </c>
      <c r="E267" t="str">
        <v>Soup</v>
      </c>
      <c r="F267" s="8" t="s">
        <v>450</v>
      </c>
      <c r="G267" s="5">
        <f>SUMIF(Append1[rstcat (eng) raw],E267,Append1[Count])</f>
        <v>44</v>
      </c>
    </row>
    <row r="268" spans="1:7" x14ac:dyDescent="0.25">
      <c r="A268" t="s">
        <v>198</v>
      </c>
      <c r="B268" t="s">
        <v>536</v>
      </c>
      <c r="C268">
        <v>4</v>
      </c>
      <c r="E268" t="str">
        <v>Soup Curry</v>
      </c>
      <c r="F268" s="8" t="s">
        <v>765</v>
      </c>
      <c r="G268" s="5">
        <f>SUMIF(Append1[rstcat (eng) raw],E268,Append1[Count])</f>
        <v>2</v>
      </c>
    </row>
    <row r="269" spans="1:7" x14ac:dyDescent="0.25">
      <c r="A269" t="s">
        <v>228</v>
      </c>
      <c r="B269" t="s">
        <v>562</v>
      </c>
      <c r="C269">
        <v>2</v>
      </c>
      <c r="E269" t="str">
        <v>SoupCurry</v>
      </c>
      <c r="F269" s="8" t="s">
        <v>765</v>
      </c>
      <c r="G269" s="5">
        <f>SUMIF(Append1[rstcat (eng) raw],E269,Append1[Count])</f>
        <v>19</v>
      </c>
    </row>
    <row r="270" spans="1:7" x14ac:dyDescent="0.25">
      <c r="B270" t="s">
        <v>443</v>
      </c>
      <c r="C270">
        <v>13</v>
      </c>
      <c r="E270" t="str">
        <v>South American</v>
      </c>
      <c r="F270" s="8" t="s">
        <v>780</v>
      </c>
      <c r="G270" s="5">
        <f>SUMIF(Append1[rstcat (eng) raw],E270,Append1[Count])</f>
        <v>2</v>
      </c>
    </row>
    <row r="271" spans="1:7" x14ac:dyDescent="0.25">
      <c r="A271" t="s">
        <v>198</v>
      </c>
      <c r="B271" t="s">
        <v>750</v>
      </c>
      <c r="C271">
        <v>5</v>
      </c>
      <c r="E271" t="str">
        <v>Southeast Asian cuisine (other)</v>
      </c>
      <c r="F271" s="8" t="s">
        <v>727</v>
      </c>
      <c r="G271" s="5">
        <f>SUMIF(Append1[rstcat (eng) raw],E271,Append1[Count])</f>
        <v>1</v>
      </c>
    </row>
    <row r="272" spans="1:7" x14ac:dyDescent="0.25">
      <c r="A272" t="s">
        <v>511</v>
      </c>
      <c r="B272" t="s">
        <v>751</v>
      </c>
      <c r="C272">
        <v>165</v>
      </c>
      <c r="E272" t="str">
        <v>Spanish</v>
      </c>
      <c r="F272" s="8" t="s">
        <v>729</v>
      </c>
      <c r="G272" s="5">
        <f>SUMIF(Append1[rstcat (eng) raw],E272,Append1[Count])</f>
        <v>8</v>
      </c>
    </row>
    <row r="273" spans="1:7" x14ac:dyDescent="0.25">
      <c r="B273" t="s">
        <v>444</v>
      </c>
      <c r="C273">
        <v>46</v>
      </c>
      <c r="E273" t="str">
        <v>Specialty Foods</v>
      </c>
      <c r="F273" s="8" t="s">
        <v>450</v>
      </c>
      <c r="G273" s="5">
        <f>SUMIF(Append1[rstcat (eng) raw],E273,Append1[Count])</f>
        <v>1</v>
      </c>
    </row>
    <row r="274" spans="1:7" x14ac:dyDescent="0.25">
      <c r="A274" t="s">
        <v>313</v>
      </c>
      <c r="B274" t="s">
        <v>648</v>
      </c>
      <c r="C274">
        <v>2</v>
      </c>
      <c r="E274" t="str">
        <v>Sports bar</v>
      </c>
      <c r="F274" s="8" t="s">
        <v>407</v>
      </c>
      <c r="G274" s="5">
        <f>SUMIF(Append1[rstcat (eng) raw],E274,Append1[Count])</f>
        <v>1</v>
      </c>
    </row>
    <row r="275" spans="1:7" x14ac:dyDescent="0.25">
      <c r="A275" t="s">
        <v>488</v>
      </c>
      <c r="B275" t="s">
        <v>694</v>
      </c>
      <c r="C275">
        <v>16</v>
      </c>
      <c r="E275" t="str">
        <v>Stalls</v>
      </c>
      <c r="F275" s="8" t="s">
        <v>764</v>
      </c>
      <c r="G275" s="5">
        <f>SUMIF(Append1[rstcat (eng) raw],E275,Append1[Count])</f>
        <v>21</v>
      </c>
    </row>
    <row r="276" spans="1:7" x14ac:dyDescent="0.25">
      <c r="A276" t="s">
        <v>315</v>
      </c>
      <c r="B276" t="s">
        <v>650</v>
      </c>
      <c r="C276">
        <v>20</v>
      </c>
      <c r="E276" t="str">
        <v>Standing buckwheat noodles</v>
      </c>
      <c r="F276" s="8" t="s">
        <v>432</v>
      </c>
      <c r="G276" s="5">
        <f>SUMIF(Append1[rstcat (eng) raw],E276,Append1[Count])</f>
        <v>5</v>
      </c>
    </row>
    <row r="277" spans="1:7" x14ac:dyDescent="0.25">
      <c r="A277" t="s">
        <v>493</v>
      </c>
      <c r="B277" t="s">
        <v>699</v>
      </c>
      <c r="C277">
        <v>50</v>
      </c>
      <c r="E277" t="str">
        <v>Standing izakaya / bar</v>
      </c>
      <c r="F277" s="8" t="s">
        <v>415</v>
      </c>
      <c r="G277" s="5">
        <f>SUMIF(Append1[rstcat (eng) raw],E277,Append1[Count])</f>
        <v>8</v>
      </c>
    </row>
    <row r="278" spans="1:7" x14ac:dyDescent="0.25">
      <c r="B278" t="s">
        <v>445</v>
      </c>
      <c r="C278">
        <v>57</v>
      </c>
      <c r="E278" t="str">
        <v>Standing sushi</v>
      </c>
      <c r="F278" s="8" t="s">
        <v>459</v>
      </c>
      <c r="G278" s="5">
        <f>SUMIF(Append1[rstcat (eng) raw],E278,Append1[Count])</f>
        <v>2</v>
      </c>
    </row>
    <row r="279" spans="1:7" x14ac:dyDescent="0.25">
      <c r="A279" t="s">
        <v>216</v>
      </c>
      <c r="B279" t="s">
        <v>551</v>
      </c>
      <c r="C279">
        <v>10</v>
      </c>
      <c r="E279" t="str">
        <v>Stateless cuisine</v>
      </c>
      <c r="F279" s="8" t="s">
        <v>764</v>
      </c>
      <c r="G279" s="5">
        <f>SUMIF(Append1[rstcat (eng) raw],E279,Append1[Count])</f>
        <v>2</v>
      </c>
    </row>
    <row r="280" spans="1:7" x14ac:dyDescent="0.25">
      <c r="B280" t="s">
        <v>446</v>
      </c>
      <c r="C280">
        <v>28</v>
      </c>
      <c r="E280" t="str">
        <v>steak</v>
      </c>
      <c r="F280" s="8" t="s">
        <v>730</v>
      </c>
      <c r="G280" s="5">
        <f>SUMIF(Append1[rstcat (eng) raw],E280,Append1[Count])</f>
        <v>79</v>
      </c>
    </row>
    <row r="281" spans="1:7" x14ac:dyDescent="0.25">
      <c r="A281" t="s">
        <v>216</v>
      </c>
      <c r="B281" t="s">
        <v>551</v>
      </c>
      <c r="C281">
        <v>35</v>
      </c>
      <c r="E281" t="str">
        <v>Steakhouse</v>
      </c>
      <c r="F281" s="8" t="s">
        <v>730</v>
      </c>
      <c r="G281" s="5">
        <f>SUMIF(Append1[rstcat (eng) raw],E281,Append1[Count])</f>
        <v>6</v>
      </c>
    </row>
    <row r="282" spans="1:7" x14ac:dyDescent="0.25">
      <c r="B282" t="s">
        <v>447</v>
      </c>
      <c r="C282">
        <v>4</v>
      </c>
      <c r="E282" t="str">
        <v>stew</v>
      </c>
      <c r="F282" s="8" t="s">
        <v>730</v>
      </c>
      <c r="G282" s="5">
        <f>SUMIF(Append1[rstcat (eng) raw],E282,Append1[Count])</f>
        <v>4</v>
      </c>
    </row>
    <row r="283" spans="1:7" x14ac:dyDescent="0.25">
      <c r="A283" t="s">
        <v>774</v>
      </c>
      <c r="B283" t="s">
        <v>752</v>
      </c>
      <c r="C283">
        <v>3</v>
      </c>
      <c r="E283" t="str">
        <v>Stir​ Fried</v>
      </c>
      <c r="F283" s="8" t="s">
        <v>730</v>
      </c>
      <c r="G283" s="5">
        <f>SUMIF(Append1[rstcat (eng) raw],E283,Append1[Count])</f>
        <v>3</v>
      </c>
    </row>
    <row r="284" spans="1:7" x14ac:dyDescent="0.25">
      <c r="A284" t="s">
        <v>220</v>
      </c>
      <c r="B284" t="s">
        <v>555</v>
      </c>
      <c r="C284">
        <v>2</v>
      </c>
      <c r="E284" t="str">
        <v>Street Food</v>
      </c>
      <c r="F284" s="8" t="s">
        <v>450</v>
      </c>
      <c r="G284" s="5">
        <f>SUMIF(Append1[rstcat (eng) raw],E284,Append1[Count])</f>
        <v>12</v>
      </c>
    </row>
    <row r="285" spans="1:7" x14ac:dyDescent="0.25">
      <c r="A285" t="s">
        <v>152</v>
      </c>
      <c r="B285" t="s">
        <v>448</v>
      </c>
      <c r="C285">
        <v>5</v>
      </c>
      <c r="E285" t="str">
        <v>Student cafeteria</v>
      </c>
      <c r="F285" s="8" t="s">
        <v>717</v>
      </c>
      <c r="G285" s="5">
        <f>SUMIF(Append1[rstcat (eng) raw],E285,Append1[Count])</f>
        <v>2</v>
      </c>
    </row>
    <row r="286" spans="1:7" x14ac:dyDescent="0.25">
      <c r="B286" t="s">
        <v>448</v>
      </c>
      <c r="C286">
        <v>57</v>
      </c>
      <c r="E286" t="str">
        <v>Sukiyaki</v>
      </c>
      <c r="F286" s="8" t="s">
        <v>730</v>
      </c>
      <c r="G286" s="5">
        <f>SUMIF(Append1[rstcat (eng) raw],E286,Append1[Count])</f>
        <v>4</v>
      </c>
    </row>
    <row r="287" spans="1:7" x14ac:dyDescent="0.25">
      <c r="A287" t="s">
        <v>516</v>
      </c>
      <c r="B287" t="s">
        <v>713</v>
      </c>
      <c r="C287">
        <v>37</v>
      </c>
      <c r="E287" t="str">
        <v>sushi</v>
      </c>
      <c r="F287" s="8" t="s">
        <v>459</v>
      </c>
      <c r="G287" s="5">
        <f>SUMIF(Append1[rstcat (eng) raw],E287,Append1[Count])</f>
        <v>127</v>
      </c>
    </row>
    <row r="288" spans="1:7" x14ac:dyDescent="0.25">
      <c r="A288" t="s">
        <v>522</v>
      </c>
      <c r="B288" t="s">
        <v>713</v>
      </c>
      <c r="C288">
        <v>34</v>
      </c>
      <c r="E288" t="str">
        <v>Sweet place</v>
      </c>
      <c r="F288" s="8" t="s">
        <v>720</v>
      </c>
      <c r="G288" s="5">
        <f>SUMIF(Append1[rstcat (eng) raw],E288,Append1[Count])</f>
        <v>6</v>
      </c>
    </row>
    <row r="289" spans="1:7" x14ac:dyDescent="0.25">
      <c r="A289" t="s">
        <v>354</v>
      </c>
      <c r="B289" t="s">
        <v>688</v>
      </c>
      <c r="C289">
        <v>54</v>
      </c>
      <c r="E289" t="str">
        <v>sweets</v>
      </c>
      <c r="F289" s="8" t="s">
        <v>720</v>
      </c>
      <c r="G289" s="5">
        <f>SUMIF(Append1[rstcat (eng) raw],E289,Append1[Count])</f>
        <v>38</v>
      </c>
    </row>
    <row r="290" spans="1:7" x14ac:dyDescent="0.25">
      <c r="A290" t="s">
        <v>304</v>
      </c>
      <c r="B290" t="s">
        <v>640</v>
      </c>
      <c r="C290">
        <v>29</v>
      </c>
      <c r="E290" t="str">
        <v>Sweets (other)</v>
      </c>
      <c r="F290" s="8" t="s">
        <v>720</v>
      </c>
      <c r="G290" s="5">
        <f>SUMIF(Append1[rstcat (eng) raw],E290,Append1[Count])</f>
        <v>9</v>
      </c>
    </row>
    <row r="291" spans="1:7" x14ac:dyDescent="0.25">
      <c r="A291" t="s">
        <v>218</v>
      </c>
      <c r="B291" t="s">
        <v>553</v>
      </c>
      <c r="C291">
        <v>4</v>
      </c>
      <c r="E291" t="str">
        <v>Szechuan</v>
      </c>
      <c r="F291" s="8" t="s">
        <v>722</v>
      </c>
      <c r="G291" s="5">
        <f>SUMIF(Append1[rstcat (eng) raw],E291,Append1[Count])</f>
        <v>2</v>
      </c>
    </row>
    <row r="292" spans="1:7" x14ac:dyDescent="0.25">
      <c r="A292" t="s">
        <v>283</v>
      </c>
      <c r="B292" t="s">
        <v>617</v>
      </c>
      <c r="C292">
        <v>2</v>
      </c>
      <c r="E292" t="str">
        <v>Taco</v>
      </c>
      <c r="F292" s="8" t="s">
        <v>780</v>
      </c>
      <c r="G292" s="5">
        <f>SUMIF(Append1[rstcat (eng) raw],E292,Append1[Count])</f>
        <v>6</v>
      </c>
    </row>
    <row r="293" spans="1:7" x14ac:dyDescent="0.25">
      <c r="A293" t="s">
        <v>202</v>
      </c>
      <c r="B293" t="s">
        <v>539</v>
      </c>
      <c r="C293">
        <v>2</v>
      </c>
      <c r="E293" t="str">
        <v>Tacos</v>
      </c>
      <c r="F293" s="8" t="s">
        <v>780</v>
      </c>
      <c r="G293" s="5">
        <f>SUMIF(Append1[rstcat (eng) raw],E293,Append1[Count])</f>
        <v>2</v>
      </c>
    </row>
    <row r="294" spans="1:7" x14ac:dyDescent="0.25">
      <c r="A294" t="s">
        <v>327</v>
      </c>
      <c r="B294" t="s">
        <v>662</v>
      </c>
      <c r="C294">
        <v>3</v>
      </c>
      <c r="E294" t="str">
        <v>Taiwanese</v>
      </c>
      <c r="F294" s="8" t="s">
        <v>722</v>
      </c>
      <c r="G294" s="5">
        <f>SUMIF(Append1[rstcat (eng) raw],E294,Append1[Count])</f>
        <v>10</v>
      </c>
    </row>
    <row r="295" spans="1:7" x14ac:dyDescent="0.25">
      <c r="A295" t="s">
        <v>57</v>
      </c>
      <c r="B295" t="s">
        <v>634</v>
      </c>
      <c r="C295">
        <v>8</v>
      </c>
      <c r="E295" t="str">
        <v>Taiwanese cuisine</v>
      </c>
      <c r="F295" s="8" t="s">
        <v>722</v>
      </c>
      <c r="G295" s="5">
        <f>SUMIF(Append1[rstcat (eng) raw],E295,Append1[Count])</f>
        <v>1</v>
      </c>
    </row>
    <row r="296" spans="1:7" x14ac:dyDescent="0.25">
      <c r="A296" t="s">
        <v>514</v>
      </c>
      <c r="B296" t="s">
        <v>753</v>
      </c>
      <c r="C296">
        <v>6</v>
      </c>
      <c r="E296" t="str">
        <v>Taiwanesecuisine</v>
      </c>
      <c r="F296" s="8" t="s">
        <v>722</v>
      </c>
      <c r="G296" s="5">
        <f>SUMIF(Append1[rstcat (eng) raw],E296,Append1[Count])</f>
        <v>6</v>
      </c>
    </row>
    <row r="297" spans="1:7" x14ac:dyDescent="0.25">
      <c r="B297" t="s">
        <v>449</v>
      </c>
      <c r="C297">
        <v>1</v>
      </c>
      <c r="E297" t="str">
        <v>Taiyaki / large format</v>
      </c>
      <c r="F297" s="8" t="s">
        <v>450</v>
      </c>
      <c r="G297" s="5">
        <f>SUMIF(Append1[rstcat (eng) raw],E297,Append1[Count])</f>
        <v>3</v>
      </c>
    </row>
    <row r="298" spans="1:7" x14ac:dyDescent="0.25">
      <c r="A298" t="s">
        <v>290</v>
      </c>
      <c r="B298" t="s">
        <v>625</v>
      </c>
      <c r="C298">
        <v>3</v>
      </c>
      <c r="E298" t="str">
        <v>Takoyaki</v>
      </c>
      <c r="F298" s="8" t="s">
        <v>450</v>
      </c>
      <c r="G298" s="5">
        <f>SUMIF(Append1[rstcat (eng) raw],E298,Append1[Count])</f>
        <v>6</v>
      </c>
    </row>
    <row r="299" spans="1:7" x14ac:dyDescent="0.25">
      <c r="A299" t="s">
        <v>497</v>
      </c>
      <c r="B299" t="s">
        <v>702</v>
      </c>
      <c r="C299">
        <v>7</v>
      </c>
      <c r="E299" t="str">
        <v>tapioca</v>
      </c>
      <c r="F299" s="8" t="s">
        <v>450</v>
      </c>
      <c r="G299" s="5">
        <f>SUMIF(Append1[rstcat (eng) raw],E299,Append1[Count])</f>
        <v>16</v>
      </c>
    </row>
    <row r="300" spans="1:7" x14ac:dyDescent="0.25">
      <c r="B300" t="s">
        <v>450</v>
      </c>
      <c r="C300">
        <v>6</v>
      </c>
      <c r="E300" t="str">
        <v>tea</v>
      </c>
      <c r="F300" s="8" t="s">
        <v>717</v>
      </c>
      <c r="G300" s="5">
        <f>SUMIF(Append1[rstcat (eng) raw],E300,Append1[Count])</f>
        <v>5</v>
      </c>
    </row>
    <row r="301" spans="1:7" x14ac:dyDescent="0.25">
      <c r="A301" t="s">
        <v>231</v>
      </c>
      <c r="B301" t="s">
        <v>565</v>
      </c>
      <c r="C301">
        <v>56</v>
      </c>
      <c r="E301" t="str">
        <v>Tea drinking and snacks</v>
      </c>
      <c r="F301" s="8" t="s">
        <v>717</v>
      </c>
      <c r="G301" s="5">
        <f>SUMIF(Append1[rstcat (eng) raw],E301,Append1[Count])</f>
        <v>4</v>
      </c>
    </row>
    <row r="302" spans="1:7" x14ac:dyDescent="0.25">
      <c r="A302" t="s">
        <v>231</v>
      </c>
      <c r="B302" t="s">
        <v>565</v>
      </c>
      <c r="C302">
        <v>19</v>
      </c>
      <c r="E302" t="str">
        <v>Tempura</v>
      </c>
      <c r="F302" s="8" t="s">
        <v>464</v>
      </c>
      <c r="G302" s="5">
        <f>SUMIF(Append1[rstcat (eng) raw],E302,Append1[Count])</f>
        <v>23</v>
      </c>
    </row>
    <row r="303" spans="1:7" x14ac:dyDescent="0.25">
      <c r="A303" t="s">
        <v>232</v>
      </c>
      <c r="B303" t="s">
        <v>566</v>
      </c>
      <c r="C303">
        <v>3</v>
      </c>
      <c r="E303" t="str">
        <v>Tempura / fried food (others)</v>
      </c>
      <c r="F303" s="8" t="s">
        <v>464</v>
      </c>
      <c r="G303" s="5">
        <f>SUMIF(Append1[rstcat (eng) raw],E303,Append1[Count])</f>
        <v>2</v>
      </c>
    </row>
    <row r="304" spans="1:7" x14ac:dyDescent="0.25">
      <c r="A304" t="s">
        <v>233</v>
      </c>
      <c r="B304" t="s">
        <v>567</v>
      </c>
      <c r="C304">
        <v>1</v>
      </c>
      <c r="E304" t="str">
        <v>Tendon / Tenju</v>
      </c>
      <c r="F304" s="8" t="s">
        <v>464</v>
      </c>
      <c r="G304" s="5">
        <f>SUMIF(Append1[rstcat (eng) raw],E304,Append1[Count])</f>
        <v>2</v>
      </c>
    </row>
    <row r="305" spans="1:7" x14ac:dyDescent="0.25">
      <c r="A305" t="s">
        <v>754</v>
      </c>
      <c r="B305" t="s">
        <v>754</v>
      </c>
      <c r="C305">
        <v>0</v>
      </c>
      <c r="E305" t="str">
        <v>Teppanyaki</v>
      </c>
      <c r="F305" s="8" t="s">
        <v>660</v>
      </c>
      <c r="G305" s="5">
        <f>SUMIF(Append1[rstcat (eng) raw],E305,Append1[Count])</f>
        <v>22</v>
      </c>
    </row>
    <row r="306" spans="1:7" x14ac:dyDescent="0.25">
      <c r="B306" t="s">
        <v>451</v>
      </c>
      <c r="C306">
        <v>10</v>
      </c>
      <c r="E306" t="str">
        <v>Tex Mex</v>
      </c>
      <c r="F306" s="8" t="s">
        <v>780</v>
      </c>
      <c r="G306" s="5">
        <f>SUMIF(Append1[rstcat (eng) raw],E306,Append1[Count])</f>
        <v>2</v>
      </c>
    </row>
    <row r="307" spans="1:7" x14ac:dyDescent="0.25">
      <c r="B307" t="s">
        <v>452</v>
      </c>
      <c r="C307">
        <v>11</v>
      </c>
      <c r="E307" t="str">
        <v>Thai</v>
      </c>
      <c r="F307" s="8" t="s">
        <v>727</v>
      </c>
      <c r="G307" s="5">
        <f>SUMIF(Append1[rstcat (eng) raw],E307,Append1[Count])</f>
        <v>19</v>
      </c>
    </row>
    <row r="308" spans="1:7" x14ac:dyDescent="0.25">
      <c r="A308" t="s">
        <v>495</v>
      </c>
      <c r="B308" t="s">
        <v>701</v>
      </c>
      <c r="C308">
        <v>33</v>
      </c>
      <c r="E308" t="str">
        <v>Thai curry</v>
      </c>
      <c r="F308" s="8" t="s">
        <v>727</v>
      </c>
      <c r="G308" s="5">
        <f>SUMIF(Append1[rstcat (eng) raw],E308,Append1[Count])</f>
        <v>3</v>
      </c>
    </row>
    <row r="309" spans="1:7" x14ac:dyDescent="0.25">
      <c r="A309" t="s">
        <v>223</v>
      </c>
      <c r="B309" t="s">
        <v>558</v>
      </c>
      <c r="C309">
        <v>2</v>
      </c>
      <c r="E309" t="str">
        <v>Thai food</v>
      </c>
      <c r="F309" s="8" t="s">
        <v>727</v>
      </c>
      <c r="G309" s="5">
        <f>SUMIF(Append1[rstcat (eng) raw],E309,Append1[Count])</f>
        <v>7</v>
      </c>
    </row>
    <row r="310" spans="1:7" x14ac:dyDescent="0.25">
      <c r="A310" t="s">
        <v>223</v>
      </c>
      <c r="B310" t="s">
        <v>755</v>
      </c>
      <c r="C310">
        <v>19</v>
      </c>
      <c r="E310" t="str">
        <v>Thaifood</v>
      </c>
      <c r="F310" s="8" t="s">
        <v>727</v>
      </c>
      <c r="G310" s="5">
        <f>SUMIF(Append1[rstcat (eng) raw],E310,Append1[Count])</f>
        <v>5</v>
      </c>
    </row>
    <row r="311" spans="1:7" x14ac:dyDescent="0.25">
      <c r="B311" t="s">
        <v>453</v>
      </c>
      <c r="C311">
        <v>2</v>
      </c>
      <c r="E311" t="str">
        <v>To Share</v>
      </c>
      <c r="F311" s="8" t="s">
        <v>450</v>
      </c>
      <c r="G311" s="5">
        <f>SUMIF(Append1[rstcat (eng) raw],E311,Append1[Count])</f>
        <v>3</v>
      </c>
    </row>
    <row r="312" spans="1:7" x14ac:dyDescent="0.25">
      <c r="A312" t="s">
        <v>316</v>
      </c>
      <c r="B312" t="s">
        <v>651</v>
      </c>
      <c r="C312">
        <v>1</v>
      </c>
      <c r="E312" t="str">
        <v>Tom Yum</v>
      </c>
      <c r="F312" s="8" t="s">
        <v>727</v>
      </c>
      <c r="G312" s="5">
        <f>SUMIF(Append1[rstcat (eng) raw],E312,Append1[Count])</f>
        <v>1</v>
      </c>
    </row>
    <row r="313" spans="1:7" x14ac:dyDescent="0.25">
      <c r="A313" t="s">
        <v>226</v>
      </c>
      <c r="B313" t="s">
        <v>454</v>
      </c>
      <c r="C313">
        <v>5</v>
      </c>
      <c r="E313" t="str">
        <v>Tonkatsu</v>
      </c>
      <c r="F313" s="8" t="s">
        <v>724</v>
      </c>
      <c r="G313" s="5">
        <f>SUMIF(Append1[rstcat (eng) raw],E313,Append1[Count])</f>
        <v>15</v>
      </c>
    </row>
    <row r="314" spans="1:7" x14ac:dyDescent="0.25">
      <c r="B314" t="s">
        <v>454</v>
      </c>
      <c r="C314">
        <v>2</v>
      </c>
      <c r="E314" t="str">
        <v>Traditional American</v>
      </c>
      <c r="F314" s="8" t="s">
        <v>721</v>
      </c>
      <c r="G314" s="5">
        <f>SUMIF(Append1[rstcat (eng) raw],E314,Append1[Count])</f>
        <v>1</v>
      </c>
    </row>
    <row r="315" spans="1:7" x14ac:dyDescent="0.25">
      <c r="A315" t="s">
        <v>226</v>
      </c>
      <c r="B315" t="s">
        <v>454</v>
      </c>
      <c r="C315">
        <v>1</v>
      </c>
      <c r="E315" t="str">
        <v>tsukemen</v>
      </c>
      <c r="F315" s="8" t="s">
        <v>432</v>
      </c>
      <c r="G315" s="5">
        <f>SUMIF(Append1[rstcat (eng) raw],E315,Append1[Count])</f>
        <v>26</v>
      </c>
    </row>
    <row r="316" spans="1:7" x14ac:dyDescent="0.25">
      <c r="B316" t="s">
        <v>455</v>
      </c>
      <c r="C316">
        <v>1</v>
      </c>
      <c r="E316" t="str">
        <v>Turkish</v>
      </c>
      <c r="F316" s="8" t="s">
        <v>729</v>
      </c>
      <c r="G316" s="5">
        <f>SUMIF(Append1[rstcat (eng) raw],E316,Append1[Count])</f>
        <v>5</v>
      </c>
    </row>
    <row r="317" spans="1:7" x14ac:dyDescent="0.25">
      <c r="A317" t="s">
        <v>227</v>
      </c>
      <c r="B317" t="s">
        <v>561</v>
      </c>
      <c r="C317">
        <v>1</v>
      </c>
      <c r="E317" t="str">
        <v>Turkishcuisine</v>
      </c>
      <c r="F317" s="8" t="s">
        <v>729</v>
      </c>
      <c r="G317" s="5">
        <f>SUMIF(Append1[rstcat (eng) raw],E317,Append1[Count])</f>
        <v>1</v>
      </c>
    </row>
    <row r="318" spans="1:7" x14ac:dyDescent="0.25">
      <c r="A318" t="s">
        <v>513</v>
      </c>
      <c r="B318" t="s">
        <v>712</v>
      </c>
      <c r="C318">
        <v>21</v>
      </c>
      <c r="E318" t="str">
        <v>Udon</v>
      </c>
      <c r="F318" s="8" t="s">
        <v>432</v>
      </c>
      <c r="G318" s="5">
        <f>SUMIF(Append1[rstcat (eng) raw],E318,Append1[Count])</f>
        <v>49</v>
      </c>
    </row>
    <row r="319" spans="1:7" x14ac:dyDescent="0.25">
      <c r="A319" t="s">
        <v>334</v>
      </c>
      <c r="B319" t="s">
        <v>669</v>
      </c>
      <c r="C319">
        <v>5</v>
      </c>
      <c r="E319" t="str">
        <v>Vegan</v>
      </c>
      <c r="F319" s="8" t="s">
        <v>473</v>
      </c>
      <c r="G319" s="5">
        <f>SUMIF(Append1[rstcat (eng) raw],E319,Append1[Count])</f>
        <v>5</v>
      </c>
    </row>
    <row r="320" spans="1:7" x14ac:dyDescent="0.25">
      <c r="A320" t="s">
        <v>336</v>
      </c>
      <c r="B320" t="s">
        <v>671</v>
      </c>
      <c r="C320">
        <v>8</v>
      </c>
      <c r="E320" t="str">
        <v>Vegetable dish</v>
      </c>
      <c r="F320" s="8" t="s">
        <v>473</v>
      </c>
      <c r="G320" s="5">
        <f>SUMIF(Append1[rstcat (eng) raw],E320,Append1[Count])</f>
        <v>2</v>
      </c>
    </row>
    <row r="321" spans="1:7" x14ac:dyDescent="0.25">
      <c r="A321" t="s">
        <v>335</v>
      </c>
      <c r="B321" t="s">
        <v>670</v>
      </c>
      <c r="C321">
        <v>2</v>
      </c>
      <c r="E321" t="str">
        <v>vegetables</v>
      </c>
      <c r="F321" s="8" t="s">
        <v>473</v>
      </c>
      <c r="G321" s="5">
        <f>SUMIF(Append1[rstcat (eng) raw],E321,Append1[Count])</f>
        <v>4</v>
      </c>
    </row>
    <row r="322" spans="1:7" x14ac:dyDescent="0.25">
      <c r="A322" t="s">
        <v>323</v>
      </c>
      <c r="B322" t="s">
        <v>658</v>
      </c>
      <c r="C322">
        <v>2</v>
      </c>
      <c r="E322" t="str">
        <v>Vegetarian</v>
      </c>
      <c r="F322" s="8" t="s">
        <v>473</v>
      </c>
      <c r="G322" s="5">
        <f>SUMIF(Append1[rstcat (eng) raw],E322,Append1[Count])</f>
        <v>13</v>
      </c>
    </row>
    <row r="323" spans="1:7" x14ac:dyDescent="0.25">
      <c r="A323" t="s">
        <v>225</v>
      </c>
      <c r="B323" t="s">
        <v>560</v>
      </c>
      <c r="C323">
        <v>11</v>
      </c>
      <c r="E323" t="str">
        <v>Vegetarian Friendly</v>
      </c>
      <c r="F323" s="8" t="s">
        <v>473</v>
      </c>
      <c r="G323" s="5">
        <f>SUMIF(Append1[rstcat (eng) raw],E323,Append1[Count])</f>
        <v>1</v>
      </c>
    </row>
    <row r="324" spans="1:7" x14ac:dyDescent="0.25">
      <c r="B324" t="s">
        <v>456</v>
      </c>
      <c r="C324">
        <v>29</v>
      </c>
      <c r="E324" t="str">
        <v>Vietnamese</v>
      </c>
      <c r="F324" s="8" t="s">
        <v>727</v>
      </c>
      <c r="G324" s="5">
        <f>SUMIF(Append1[rstcat (eng) raw],E324,Append1[Count])</f>
        <v>2</v>
      </c>
    </row>
    <row r="325" spans="1:7" x14ac:dyDescent="0.25">
      <c r="A325" t="s">
        <v>225</v>
      </c>
      <c r="B325" t="s">
        <v>560</v>
      </c>
      <c r="C325">
        <v>39</v>
      </c>
      <c r="E325" t="str">
        <v>Vietnamese food</v>
      </c>
      <c r="F325" s="8" t="s">
        <v>727</v>
      </c>
      <c r="G325" s="5">
        <f>SUMIF(Append1[rstcat (eng) raw],E325,Append1[Count])</f>
        <v>5</v>
      </c>
    </row>
    <row r="326" spans="1:7" x14ac:dyDescent="0.25">
      <c r="A326" t="s">
        <v>496</v>
      </c>
      <c r="B326" t="s">
        <v>756</v>
      </c>
      <c r="C326">
        <v>6</v>
      </c>
      <c r="E326" t="str">
        <v>Vietnamesefood</v>
      </c>
      <c r="F326" s="8" t="s">
        <v>727</v>
      </c>
      <c r="G326" s="5">
        <f>SUMIF(Append1[rstcat (eng) raw],E326,Append1[Count])</f>
        <v>4</v>
      </c>
    </row>
    <row r="327" spans="1:7" x14ac:dyDescent="0.25">
      <c r="A327" t="s">
        <v>217</v>
      </c>
      <c r="B327" t="s">
        <v>552</v>
      </c>
      <c r="C327">
        <v>3</v>
      </c>
      <c r="E327" t="str">
        <v>Viking</v>
      </c>
      <c r="F327" s="8" t="s">
        <v>729</v>
      </c>
      <c r="G327" s="5">
        <f>SUMIF(Append1[rstcat (eng) raw],E327,Append1[Count])</f>
        <v>6</v>
      </c>
    </row>
    <row r="328" spans="1:7" x14ac:dyDescent="0.25">
      <c r="A328" t="s">
        <v>217</v>
      </c>
      <c r="B328" t="s">
        <v>552</v>
      </c>
      <c r="C328">
        <v>1</v>
      </c>
      <c r="E328" t="str">
        <v>Western</v>
      </c>
      <c r="F328" s="8" t="s">
        <v>721</v>
      </c>
      <c r="G328" s="5">
        <f>SUMIF(Append1[rstcat (eng) raw],E328,Append1[Count])</f>
        <v>52</v>
      </c>
    </row>
    <row r="329" spans="1:7" x14ac:dyDescent="0.25">
      <c r="B329" t="s">
        <v>457</v>
      </c>
      <c r="C329">
        <v>3</v>
      </c>
      <c r="E329" t="str">
        <v>Western confectionery (other)</v>
      </c>
      <c r="F329" s="8" t="s">
        <v>717</v>
      </c>
      <c r="G329" s="5">
        <f>SUMIF(Append1[rstcat (eng) raw],E329,Append1[Count])</f>
        <v>11</v>
      </c>
    </row>
    <row r="330" spans="1:7" x14ac:dyDescent="0.25">
      <c r="B330" t="s">
        <v>458</v>
      </c>
      <c r="C330">
        <v>12</v>
      </c>
      <c r="E330" t="str">
        <v>Western countries (others)</v>
      </c>
      <c r="F330" s="8" t="s">
        <v>721</v>
      </c>
      <c r="G330" s="5">
        <f>SUMIF(Append1[rstcat (eng) raw],E330,Append1[Count])</f>
        <v>4</v>
      </c>
    </row>
    <row r="331" spans="1:7" x14ac:dyDescent="0.25">
      <c r="A331" t="s">
        <v>303</v>
      </c>
      <c r="B331" t="s">
        <v>639</v>
      </c>
      <c r="C331">
        <v>2</v>
      </c>
      <c r="E331" t="str">
        <v>Western food</v>
      </c>
      <c r="F331" s="8" t="s">
        <v>721</v>
      </c>
      <c r="G331" s="5">
        <f>SUMIF(Append1[rstcat (eng) raw],E331,Append1[Count])</f>
        <v>24</v>
      </c>
    </row>
    <row r="332" spans="1:7" x14ac:dyDescent="0.25">
      <c r="A332" t="s">
        <v>224</v>
      </c>
      <c r="B332" t="s">
        <v>559</v>
      </c>
      <c r="C332">
        <v>4</v>
      </c>
      <c r="E332" t="str">
        <v>Westernfood</v>
      </c>
      <c r="F332" s="8" t="s">
        <v>721</v>
      </c>
      <c r="G332" s="5">
        <f>SUMIF(Append1[rstcat (eng) raw],E332,Append1[Count])</f>
        <v>43</v>
      </c>
    </row>
    <row r="333" spans="1:7" x14ac:dyDescent="0.25">
      <c r="A333" t="s">
        <v>305</v>
      </c>
      <c r="B333" t="s">
        <v>641</v>
      </c>
      <c r="C333">
        <v>51</v>
      </c>
      <c r="E333" t="str">
        <v>Western-style Japanese Food</v>
      </c>
      <c r="F333" s="8" t="s">
        <v>721</v>
      </c>
      <c r="G333" s="5">
        <f>SUMIF(Append1[rstcat (eng) raw],E333,Append1[Count])</f>
        <v>40</v>
      </c>
    </row>
    <row r="334" spans="1:7" x14ac:dyDescent="0.25">
      <c r="B334" t="s">
        <v>459</v>
      </c>
      <c r="C334">
        <v>31</v>
      </c>
      <c r="E334" t="str">
        <v>Wheat</v>
      </c>
      <c r="F334" s="8" t="s">
        <v>731</v>
      </c>
      <c r="G334" s="5">
        <f>SUMIF(Append1[rstcat (eng) raw],E334,Append1[Count])</f>
        <v>1</v>
      </c>
    </row>
    <row r="335" spans="1:7" x14ac:dyDescent="0.25">
      <c r="A335" t="s">
        <v>486</v>
      </c>
      <c r="B335" t="s">
        <v>459</v>
      </c>
      <c r="C335">
        <v>45</v>
      </c>
      <c r="E335" t="str">
        <v>wine</v>
      </c>
      <c r="F335" s="8" t="s">
        <v>763</v>
      </c>
      <c r="G335" s="5">
        <f>SUMIF(Append1[rstcat (eng) raw],E335,Append1[Count])</f>
        <v>1</v>
      </c>
    </row>
    <row r="336" spans="1:7" x14ac:dyDescent="0.25">
      <c r="A336" t="s">
        <v>332</v>
      </c>
      <c r="B336" t="s">
        <v>667</v>
      </c>
      <c r="C336">
        <v>6</v>
      </c>
      <c r="E336" t="str">
        <v>Wine bar</v>
      </c>
      <c r="F336" s="8" t="s">
        <v>763</v>
      </c>
      <c r="G336" s="5">
        <f>SUMIF(Append1[rstcat (eng) raw],E336,Append1[Count])</f>
        <v>20</v>
      </c>
    </row>
    <row r="337" spans="1:7" x14ac:dyDescent="0.25">
      <c r="A337" t="s">
        <v>494</v>
      </c>
      <c r="B337" t="s">
        <v>700</v>
      </c>
      <c r="C337">
        <v>38</v>
      </c>
      <c r="E337" t="str">
        <v>Wings</v>
      </c>
      <c r="F337" s="8" t="s">
        <v>450</v>
      </c>
      <c r="G337" s="5">
        <f>SUMIF(Append1[rstcat (eng) raw],E337,Append1[Count])</f>
        <v>5</v>
      </c>
    </row>
    <row r="338" spans="1:7" x14ac:dyDescent="0.25">
      <c r="A338" t="s">
        <v>222</v>
      </c>
      <c r="B338" t="s">
        <v>557</v>
      </c>
      <c r="C338">
        <v>9</v>
      </c>
      <c r="E338" t="str">
        <v>Yakitori</v>
      </c>
      <c r="F338" s="8" t="s">
        <v>450</v>
      </c>
      <c r="G338" s="5">
        <f>SUMIF(Append1[rstcat (eng) raw],E338,Append1[Count])</f>
        <v>48</v>
      </c>
    </row>
    <row r="339" spans="1:7" x14ac:dyDescent="0.25">
      <c r="B339" t="s">
        <v>460</v>
      </c>
      <c r="C339">
        <v>2</v>
      </c>
    </row>
    <row r="340" spans="1:7" x14ac:dyDescent="0.25">
      <c r="A340" t="s">
        <v>770</v>
      </c>
      <c r="B340" t="s">
        <v>733</v>
      </c>
      <c r="C340">
        <v>6</v>
      </c>
    </row>
    <row r="341" spans="1:7" x14ac:dyDescent="0.25">
      <c r="B341" t="s">
        <v>461</v>
      </c>
      <c r="C341">
        <v>2</v>
      </c>
    </row>
    <row r="342" spans="1:7" x14ac:dyDescent="0.25">
      <c r="B342" t="s">
        <v>462</v>
      </c>
      <c r="C342">
        <v>10</v>
      </c>
    </row>
    <row r="343" spans="1:7" x14ac:dyDescent="0.25">
      <c r="A343" t="s">
        <v>179</v>
      </c>
      <c r="B343" t="s">
        <v>630</v>
      </c>
      <c r="C343">
        <v>1</v>
      </c>
    </row>
    <row r="344" spans="1:7" x14ac:dyDescent="0.25">
      <c r="A344" t="s">
        <v>179</v>
      </c>
      <c r="B344" t="s">
        <v>757</v>
      </c>
      <c r="C344">
        <v>6</v>
      </c>
    </row>
    <row r="345" spans="1:7" x14ac:dyDescent="0.25">
      <c r="A345" t="s">
        <v>237</v>
      </c>
      <c r="B345" t="s">
        <v>571</v>
      </c>
      <c r="C345">
        <v>3</v>
      </c>
    </row>
    <row r="346" spans="1:7" x14ac:dyDescent="0.25">
      <c r="B346" t="s">
        <v>463</v>
      </c>
      <c r="C346">
        <v>6</v>
      </c>
    </row>
    <row r="347" spans="1:7" x14ac:dyDescent="0.25">
      <c r="A347" t="s">
        <v>498</v>
      </c>
      <c r="B347" t="s">
        <v>703</v>
      </c>
      <c r="C347">
        <v>16</v>
      </c>
    </row>
    <row r="348" spans="1:7" x14ac:dyDescent="0.25">
      <c r="A348" t="s">
        <v>487</v>
      </c>
      <c r="B348" t="s">
        <v>693</v>
      </c>
      <c r="C348">
        <v>5</v>
      </c>
    </row>
    <row r="349" spans="1:7" x14ac:dyDescent="0.25">
      <c r="A349" t="s">
        <v>350</v>
      </c>
      <c r="B349" t="s">
        <v>684</v>
      </c>
      <c r="C349">
        <v>4</v>
      </c>
    </row>
    <row r="350" spans="1:7" x14ac:dyDescent="0.25">
      <c r="A350" t="s">
        <v>300</v>
      </c>
      <c r="B350" t="s">
        <v>464</v>
      </c>
      <c r="C350">
        <v>15</v>
      </c>
    </row>
    <row r="351" spans="1:7" x14ac:dyDescent="0.25">
      <c r="B351" t="s">
        <v>464</v>
      </c>
      <c r="C351">
        <v>3</v>
      </c>
    </row>
    <row r="352" spans="1:7" x14ac:dyDescent="0.25">
      <c r="A352" t="s">
        <v>300</v>
      </c>
      <c r="B352" t="s">
        <v>464</v>
      </c>
      <c r="C352">
        <v>5</v>
      </c>
    </row>
    <row r="353" spans="1:3" x14ac:dyDescent="0.25">
      <c r="A353" t="s">
        <v>301</v>
      </c>
      <c r="B353" t="s">
        <v>637</v>
      </c>
      <c r="C353">
        <v>2</v>
      </c>
    </row>
    <row r="354" spans="1:3" x14ac:dyDescent="0.25">
      <c r="A354" t="s">
        <v>302</v>
      </c>
      <c r="B354" t="s">
        <v>638</v>
      </c>
      <c r="C354">
        <v>2</v>
      </c>
    </row>
    <row r="355" spans="1:3" x14ac:dyDescent="0.25">
      <c r="A355" t="s">
        <v>346</v>
      </c>
      <c r="B355" t="s">
        <v>465</v>
      </c>
      <c r="C355">
        <v>8</v>
      </c>
    </row>
    <row r="356" spans="1:3" x14ac:dyDescent="0.25">
      <c r="B356" t="s">
        <v>465</v>
      </c>
      <c r="C356">
        <v>3</v>
      </c>
    </row>
    <row r="357" spans="1:3" x14ac:dyDescent="0.25">
      <c r="A357" t="s">
        <v>521</v>
      </c>
      <c r="B357" t="s">
        <v>465</v>
      </c>
      <c r="C357">
        <v>11</v>
      </c>
    </row>
    <row r="358" spans="1:3" x14ac:dyDescent="0.25">
      <c r="B358" t="s">
        <v>466</v>
      </c>
      <c r="C358">
        <v>2</v>
      </c>
    </row>
    <row r="359" spans="1:3" x14ac:dyDescent="0.25">
      <c r="B359" t="s">
        <v>87</v>
      </c>
      <c r="C359">
        <v>19</v>
      </c>
    </row>
    <row r="360" spans="1:3" x14ac:dyDescent="0.25">
      <c r="A360" t="s">
        <v>234</v>
      </c>
      <c r="B360" t="s">
        <v>568</v>
      </c>
      <c r="C360">
        <v>3</v>
      </c>
    </row>
    <row r="361" spans="1:3" x14ac:dyDescent="0.25">
      <c r="A361" t="s">
        <v>236</v>
      </c>
      <c r="B361" t="s">
        <v>570</v>
      </c>
      <c r="C361">
        <v>7</v>
      </c>
    </row>
    <row r="362" spans="1:3" x14ac:dyDescent="0.25">
      <c r="A362" t="s">
        <v>236</v>
      </c>
      <c r="B362" t="s">
        <v>758</v>
      </c>
      <c r="C362">
        <v>5</v>
      </c>
    </row>
    <row r="363" spans="1:3" x14ac:dyDescent="0.25">
      <c r="B363" t="s">
        <v>467</v>
      </c>
      <c r="C363">
        <v>3</v>
      </c>
    </row>
    <row r="364" spans="1:3" x14ac:dyDescent="0.25">
      <c r="B364" t="s">
        <v>468</v>
      </c>
      <c r="C364">
        <v>1</v>
      </c>
    </row>
    <row r="365" spans="1:3" x14ac:dyDescent="0.25">
      <c r="B365" t="s">
        <v>469</v>
      </c>
      <c r="C365">
        <v>15</v>
      </c>
    </row>
    <row r="366" spans="1:3" x14ac:dyDescent="0.25">
      <c r="B366" t="s">
        <v>470</v>
      </c>
      <c r="C366">
        <v>1</v>
      </c>
    </row>
    <row r="367" spans="1:3" x14ac:dyDescent="0.25">
      <c r="A367" t="s">
        <v>241</v>
      </c>
      <c r="B367" t="s">
        <v>576</v>
      </c>
      <c r="C367">
        <v>14</v>
      </c>
    </row>
    <row r="368" spans="1:3" x14ac:dyDescent="0.25">
      <c r="A368" t="s">
        <v>241</v>
      </c>
      <c r="B368" t="s">
        <v>576</v>
      </c>
      <c r="C368">
        <v>12</v>
      </c>
    </row>
    <row r="369" spans="1:3" x14ac:dyDescent="0.25">
      <c r="B369" t="s">
        <v>471</v>
      </c>
      <c r="C369">
        <v>5</v>
      </c>
    </row>
    <row r="370" spans="1:3" x14ac:dyDescent="0.25">
      <c r="A370" t="s">
        <v>772</v>
      </c>
      <c r="B370" t="s">
        <v>759</v>
      </c>
      <c r="C370">
        <v>1</v>
      </c>
    </row>
    <row r="371" spans="1:3" x14ac:dyDescent="0.25">
      <c r="A371" t="s">
        <v>146</v>
      </c>
      <c r="B371" t="s">
        <v>532</v>
      </c>
      <c r="C371">
        <v>39</v>
      </c>
    </row>
    <row r="372" spans="1:3" x14ac:dyDescent="0.25">
      <c r="A372" t="s">
        <v>146</v>
      </c>
      <c r="B372" t="s">
        <v>532</v>
      </c>
      <c r="C372">
        <v>10</v>
      </c>
    </row>
    <row r="373" spans="1:3" x14ac:dyDescent="0.25">
      <c r="B373" t="s">
        <v>472</v>
      </c>
      <c r="C373">
        <v>1</v>
      </c>
    </row>
    <row r="374" spans="1:3" x14ac:dyDescent="0.25">
      <c r="A374" t="s">
        <v>484</v>
      </c>
      <c r="B374" t="s">
        <v>472</v>
      </c>
      <c r="C374">
        <v>4</v>
      </c>
    </row>
    <row r="375" spans="1:3" x14ac:dyDescent="0.25">
      <c r="A375" t="s">
        <v>344</v>
      </c>
      <c r="B375" t="s">
        <v>679</v>
      </c>
      <c r="C375">
        <v>2</v>
      </c>
    </row>
    <row r="376" spans="1:3" x14ac:dyDescent="0.25">
      <c r="A376" t="s">
        <v>520</v>
      </c>
      <c r="B376" t="s">
        <v>715</v>
      </c>
      <c r="C376">
        <v>4</v>
      </c>
    </row>
    <row r="377" spans="1:3" x14ac:dyDescent="0.25">
      <c r="B377" t="s">
        <v>473</v>
      </c>
      <c r="C377">
        <v>11</v>
      </c>
    </row>
    <row r="378" spans="1:3" x14ac:dyDescent="0.25">
      <c r="A378" t="s">
        <v>506</v>
      </c>
      <c r="B378" t="s">
        <v>709</v>
      </c>
      <c r="C378">
        <v>2</v>
      </c>
    </row>
    <row r="379" spans="1:3" x14ac:dyDescent="0.25">
      <c r="B379" t="s">
        <v>474</v>
      </c>
      <c r="C379">
        <v>1</v>
      </c>
    </row>
    <row r="380" spans="1:3" x14ac:dyDescent="0.25">
      <c r="B380" t="s">
        <v>475</v>
      </c>
      <c r="C380">
        <v>2</v>
      </c>
    </row>
    <row r="381" spans="1:3" x14ac:dyDescent="0.25">
      <c r="A381" t="s">
        <v>272</v>
      </c>
      <c r="B381" t="s">
        <v>606</v>
      </c>
      <c r="C381">
        <v>5</v>
      </c>
    </row>
    <row r="382" spans="1:3" x14ac:dyDescent="0.25">
      <c r="A382" t="s">
        <v>272</v>
      </c>
      <c r="B382" t="s">
        <v>760</v>
      </c>
      <c r="C382">
        <v>4</v>
      </c>
    </row>
    <row r="383" spans="1:3" x14ac:dyDescent="0.25">
      <c r="A383" t="s">
        <v>252</v>
      </c>
      <c r="B383" t="s">
        <v>587</v>
      </c>
      <c r="C383">
        <v>6</v>
      </c>
    </row>
    <row r="384" spans="1:3" x14ac:dyDescent="0.25">
      <c r="B384" t="s">
        <v>476</v>
      </c>
      <c r="C384">
        <v>52</v>
      </c>
    </row>
    <row r="385" spans="1:3" x14ac:dyDescent="0.25">
      <c r="A385" t="s">
        <v>320</v>
      </c>
      <c r="B385" t="s">
        <v>655</v>
      </c>
      <c r="C385">
        <v>11</v>
      </c>
    </row>
    <row r="386" spans="1:3" x14ac:dyDescent="0.25">
      <c r="A386" t="s">
        <v>340</v>
      </c>
      <c r="B386" t="s">
        <v>675</v>
      </c>
      <c r="C386">
        <v>4</v>
      </c>
    </row>
    <row r="387" spans="1:3" x14ac:dyDescent="0.25">
      <c r="A387" t="s">
        <v>321</v>
      </c>
      <c r="B387" t="s">
        <v>656</v>
      </c>
      <c r="C387">
        <v>24</v>
      </c>
    </row>
    <row r="388" spans="1:3" x14ac:dyDescent="0.25">
      <c r="A388" t="s">
        <v>321</v>
      </c>
      <c r="B388" t="s">
        <v>761</v>
      </c>
      <c r="C388">
        <v>43</v>
      </c>
    </row>
    <row r="389" spans="1:3" x14ac:dyDescent="0.25">
      <c r="B389" t="s">
        <v>477</v>
      </c>
      <c r="C389">
        <v>40</v>
      </c>
    </row>
    <row r="390" spans="1:3" x14ac:dyDescent="0.25">
      <c r="A390" t="s">
        <v>356</v>
      </c>
      <c r="B390" t="s">
        <v>690</v>
      </c>
      <c r="C390">
        <v>1</v>
      </c>
    </row>
    <row r="391" spans="1:3" x14ac:dyDescent="0.25">
      <c r="A391" t="s">
        <v>773</v>
      </c>
      <c r="B391" t="s">
        <v>762</v>
      </c>
      <c r="C391">
        <v>1</v>
      </c>
    </row>
    <row r="392" spans="1:3" x14ac:dyDescent="0.25">
      <c r="A392" t="s">
        <v>282</v>
      </c>
      <c r="B392" t="s">
        <v>616</v>
      </c>
      <c r="C392">
        <v>20</v>
      </c>
    </row>
    <row r="393" spans="1:3" x14ac:dyDescent="0.25">
      <c r="B393" t="s">
        <v>478</v>
      </c>
      <c r="C393">
        <v>5</v>
      </c>
    </row>
    <row r="394" spans="1:3" x14ac:dyDescent="0.25">
      <c r="B394" t="s">
        <v>479</v>
      </c>
      <c r="C394">
        <v>21</v>
      </c>
    </row>
    <row r="395" spans="1:3" x14ac:dyDescent="0.25">
      <c r="A395" t="s">
        <v>517</v>
      </c>
      <c r="B395" t="s">
        <v>479</v>
      </c>
      <c r="C395">
        <v>27</v>
      </c>
    </row>
  </sheetData>
  <conditionalFormatting sqref="J2:J3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238B-88C2-4DEC-975E-B1559179D479}">
  <dimension ref="A1:E51"/>
  <sheetViews>
    <sheetView workbookViewId="0">
      <selection activeCell="N30" sqref="N30"/>
    </sheetView>
  </sheetViews>
  <sheetFormatPr defaultRowHeight="15" x14ac:dyDescent="0.25"/>
  <cols>
    <col min="1" max="1" width="19" customWidth="1"/>
    <col min="2" max="2" width="12.140625" customWidth="1"/>
  </cols>
  <sheetData>
    <row r="1" spans="1:5" x14ac:dyDescent="0.25">
      <c r="A1" s="10" t="s">
        <v>834</v>
      </c>
      <c r="B1" s="10" t="s">
        <v>835</v>
      </c>
    </row>
    <row r="2" spans="1:5" x14ac:dyDescent="0.25">
      <c r="A2" t="s">
        <v>784</v>
      </c>
      <c r="B2" t="str">
        <f>RIGHT(A2,1)</f>
        <v>区</v>
      </c>
      <c r="D2" s="10"/>
      <c r="E2" s="10"/>
    </row>
    <row r="3" spans="1:5" x14ac:dyDescent="0.25">
      <c r="A3" t="s">
        <v>785</v>
      </c>
      <c r="B3" t="str">
        <f t="shared" ref="B3:B51" si="0">RIGHT(A3,1)</f>
        <v>区</v>
      </c>
    </row>
    <row r="4" spans="1:5" x14ac:dyDescent="0.25">
      <c r="A4" t="s">
        <v>786</v>
      </c>
      <c r="B4" t="str">
        <f t="shared" si="0"/>
        <v>市</v>
      </c>
    </row>
    <row r="5" spans="1:5" x14ac:dyDescent="0.25">
      <c r="A5" t="s">
        <v>787</v>
      </c>
      <c r="B5" t="str">
        <f t="shared" si="0"/>
        <v>区</v>
      </c>
    </row>
    <row r="6" spans="1:5" x14ac:dyDescent="0.25">
      <c r="A6" t="s">
        <v>788</v>
      </c>
      <c r="B6" t="str">
        <f t="shared" si="0"/>
        <v>市</v>
      </c>
    </row>
    <row r="7" spans="1:5" x14ac:dyDescent="0.25">
      <c r="A7" t="s">
        <v>789</v>
      </c>
      <c r="B7" t="str">
        <f t="shared" si="0"/>
        <v>市</v>
      </c>
    </row>
    <row r="8" spans="1:5" x14ac:dyDescent="0.25">
      <c r="A8" t="s">
        <v>790</v>
      </c>
      <c r="B8" t="str">
        <f t="shared" si="0"/>
        <v>市</v>
      </c>
    </row>
    <row r="9" spans="1:5" x14ac:dyDescent="0.25">
      <c r="A9" t="s">
        <v>791</v>
      </c>
      <c r="B9" t="str">
        <f t="shared" si="0"/>
        <v>区</v>
      </c>
    </row>
    <row r="10" spans="1:5" x14ac:dyDescent="0.25">
      <c r="A10" t="s">
        <v>792</v>
      </c>
      <c r="B10" t="str">
        <f t="shared" si="0"/>
        <v>区</v>
      </c>
    </row>
    <row r="11" spans="1:5" x14ac:dyDescent="0.25">
      <c r="A11" t="s">
        <v>793</v>
      </c>
      <c r="B11" t="str">
        <f t="shared" si="0"/>
        <v>区</v>
      </c>
    </row>
    <row r="12" spans="1:5" x14ac:dyDescent="0.25">
      <c r="A12" t="s">
        <v>794</v>
      </c>
      <c r="B12" t="str">
        <f t="shared" si="0"/>
        <v>区</v>
      </c>
    </row>
    <row r="13" spans="1:5" x14ac:dyDescent="0.25">
      <c r="A13" t="s">
        <v>795</v>
      </c>
      <c r="B13" t="str">
        <f t="shared" si="0"/>
        <v>市</v>
      </c>
    </row>
    <row r="14" spans="1:5" x14ac:dyDescent="0.25">
      <c r="A14" t="s">
        <v>796</v>
      </c>
      <c r="B14" t="str">
        <f t="shared" si="0"/>
        <v>市</v>
      </c>
    </row>
    <row r="15" spans="1:5" x14ac:dyDescent="0.25">
      <c r="A15" t="s">
        <v>797</v>
      </c>
      <c r="B15" t="str">
        <f t="shared" si="0"/>
        <v>区</v>
      </c>
    </row>
    <row r="16" spans="1:5" x14ac:dyDescent="0.25">
      <c r="A16" t="s">
        <v>798</v>
      </c>
      <c r="B16" t="str">
        <f t="shared" si="0"/>
        <v>市</v>
      </c>
    </row>
    <row r="17" spans="1:2" x14ac:dyDescent="0.25">
      <c r="A17" t="s">
        <v>799</v>
      </c>
      <c r="B17" t="str">
        <f t="shared" si="0"/>
        <v>市</v>
      </c>
    </row>
    <row r="18" spans="1:2" x14ac:dyDescent="0.25">
      <c r="A18" t="s">
        <v>800</v>
      </c>
      <c r="B18" t="str">
        <f t="shared" si="0"/>
        <v>区</v>
      </c>
    </row>
    <row r="19" spans="1:2" x14ac:dyDescent="0.25">
      <c r="A19" t="s">
        <v>801</v>
      </c>
      <c r="B19" t="str">
        <f t="shared" si="0"/>
        <v>市</v>
      </c>
    </row>
    <row r="20" spans="1:2" x14ac:dyDescent="0.25">
      <c r="A20" t="s">
        <v>802</v>
      </c>
      <c r="B20" t="str">
        <f t="shared" si="0"/>
        <v>市</v>
      </c>
    </row>
    <row r="21" spans="1:2" x14ac:dyDescent="0.25">
      <c r="A21" t="s">
        <v>803</v>
      </c>
      <c r="B21" t="str">
        <f t="shared" si="0"/>
        <v>区</v>
      </c>
    </row>
    <row r="22" spans="1:2" x14ac:dyDescent="0.25">
      <c r="A22" t="s">
        <v>804</v>
      </c>
      <c r="B22" t="str">
        <f t="shared" si="0"/>
        <v>区</v>
      </c>
    </row>
    <row r="23" spans="1:2" x14ac:dyDescent="0.25">
      <c r="A23" t="s">
        <v>805</v>
      </c>
      <c r="B23" t="str">
        <f t="shared" si="0"/>
        <v>区</v>
      </c>
    </row>
    <row r="24" spans="1:2" x14ac:dyDescent="0.25">
      <c r="A24" t="s">
        <v>806</v>
      </c>
      <c r="B24" t="str">
        <f t="shared" si="0"/>
        <v>区</v>
      </c>
    </row>
    <row r="25" spans="1:2" x14ac:dyDescent="0.25">
      <c r="A25" t="s">
        <v>807</v>
      </c>
      <c r="B25" t="str">
        <f t="shared" si="0"/>
        <v>区</v>
      </c>
    </row>
    <row r="26" spans="1:2" x14ac:dyDescent="0.25">
      <c r="A26" t="s">
        <v>808</v>
      </c>
      <c r="B26" t="str">
        <f t="shared" si="0"/>
        <v>区</v>
      </c>
    </row>
    <row r="27" spans="1:2" x14ac:dyDescent="0.25">
      <c r="A27" t="s">
        <v>809</v>
      </c>
      <c r="B27" t="str">
        <f t="shared" si="0"/>
        <v>市</v>
      </c>
    </row>
    <row r="28" spans="1:2" x14ac:dyDescent="0.25">
      <c r="A28" t="s">
        <v>810</v>
      </c>
      <c r="B28" t="str">
        <f t="shared" si="0"/>
        <v>区</v>
      </c>
    </row>
    <row r="29" spans="1:2" x14ac:dyDescent="0.25">
      <c r="A29" t="s">
        <v>811</v>
      </c>
      <c r="B29" t="str">
        <f t="shared" si="0"/>
        <v>区</v>
      </c>
    </row>
    <row r="30" spans="1:2" x14ac:dyDescent="0.25">
      <c r="A30" t="s">
        <v>812</v>
      </c>
      <c r="B30" t="str">
        <f t="shared" si="0"/>
        <v>区</v>
      </c>
    </row>
    <row r="31" spans="1:2" x14ac:dyDescent="0.25">
      <c r="A31" t="s">
        <v>813</v>
      </c>
      <c r="B31" t="str">
        <f t="shared" si="0"/>
        <v>市</v>
      </c>
    </row>
    <row r="32" spans="1:2" x14ac:dyDescent="0.25">
      <c r="A32" t="s">
        <v>814</v>
      </c>
      <c r="B32" t="str">
        <f t="shared" si="0"/>
        <v>区</v>
      </c>
    </row>
    <row r="33" spans="1:2" x14ac:dyDescent="0.25">
      <c r="A33" t="s">
        <v>815</v>
      </c>
      <c r="B33" t="str">
        <f t="shared" si="0"/>
        <v>市</v>
      </c>
    </row>
    <row r="34" spans="1:2" x14ac:dyDescent="0.25">
      <c r="A34" t="s">
        <v>816</v>
      </c>
      <c r="B34" t="str">
        <f t="shared" si="0"/>
        <v>区</v>
      </c>
    </row>
    <row r="35" spans="1:2" x14ac:dyDescent="0.25">
      <c r="A35" t="s">
        <v>817</v>
      </c>
      <c r="B35" t="str">
        <f t="shared" si="0"/>
        <v>区</v>
      </c>
    </row>
    <row r="36" spans="1:2" x14ac:dyDescent="0.25">
      <c r="A36" t="s">
        <v>818</v>
      </c>
      <c r="B36" t="str">
        <f t="shared" si="0"/>
        <v>市</v>
      </c>
    </row>
    <row r="37" spans="1:2" x14ac:dyDescent="0.25">
      <c r="A37" t="s">
        <v>819</v>
      </c>
      <c r="B37" t="str">
        <f t="shared" si="0"/>
        <v>市</v>
      </c>
    </row>
    <row r="38" spans="1:2" x14ac:dyDescent="0.25">
      <c r="A38" t="s">
        <v>820</v>
      </c>
      <c r="B38" t="str">
        <f t="shared" si="0"/>
        <v>市</v>
      </c>
    </row>
    <row r="39" spans="1:2" x14ac:dyDescent="0.25">
      <c r="A39" t="s">
        <v>821</v>
      </c>
      <c r="B39" t="str">
        <f t="shared" si="0"/>
        <v>市</v>
      </c>
    </row>
    <row r="40" spans="1:2" x14ac:dyDescent="0.25">
      <c r="A40" t="s">
        <v>822</v>
      </c>
      <c r="B40" t="str">
        <f t="shared" si="0"/>
        <v>市</v>
      </c>
    </row>
    <row r="41" spans="1:2" x14ac:dyDescent="0.25">
      <c r="A41" t="s">
        <v>823</v>
      </c>
      <c r="B41" t="str">
        <f t="shared" si="0"/>
        <v>市</v>
      </c>
    </row>
    <row r="42" spans="1:2" x14ac:dyDescent="0.25">
      <c r="A42" t="s">
        <v>824</v>
      </c>
      <c r="B42" t="str">
        <f t="shared" si="0"/>
        <v>町</v>
      </c>
    </row>
    <row r="43" spans="1:2" x14ac:dyDescent="0.25">
      <c r="A43" t="s">
        <v>825</v>
      </c>
      <c r="B43" t="str">
        <f t="shared" si="0"/>
        <v>市</v>
      </c>
    </row>
    <row r="44" spans="1:2" x14ac:dyDescent="0.25">
      <c r="A44" t="s">
        <v>826</v>
      </c>
      <c r="B44" t="str">
        <f t="shared" si="0"/>
        <v>市</v>
      </c>
    </row>
    <row r="45" spans="1:2" x14ac:dyDescent="0.25">
      <c r="A45" t="s">
        <v>827</v>
      </c>
      <c r="B45" t="str">
        <f t="shared" si="0"/>
        <v>市</v>
      </c>
    </row>
    <row r="46" spans="1:2" x14ac:dyDescent="0.25">
      <c r="A46" t="s">
        <v>828</v>
      </c>
      <c r="B46" t="str">
        <f t="shared" si="0"/>
        <v>市</v>
      </c>
    </row>
    <row r="47" spans="1:2" x14ac:dyDescent="0.25">
      <c r="A47" t="s">
        <v>829</v>
      </c>
      <c r="B47" t="str">
        <f t="shared" si="0"/>
        <v>区</v>
      </c>
    </row>
    <row r="48" spans="1:2" x14ac:dyDescent="0.25">
      <c r="A48" t="s">
        <v>830</v>
      </c>
      <c r="B48" t="str">
        <f t="shared" si="0"/>
        <v>市</v>
      </c>
    </row>
    <row r="49" spans="1:2" x14ac:dyDescent="0.25">
      <c r="A49" t="s">
        <v>831</v>
      </c>
      <c r="B49" t="str">
        <f t="shared" si="0"/>
        <v>区</v>
      </c>
    </row>
    <row r="50" spans="1:2" x14ac:dyDescent="0.25">
      <c r="A50" t="s">
        <v>832</v>
      </c>
      <c r="B50" t="str">
        <f t="shared" si="0"/>
        <v>市</v>
      </c>
    </row>
    <row r="51" spans="1:2" x14ac:dyDescent="0.25">
      <c r="A51" t="s">
        <v>833</v>
      </c>
      <c r="B51" t="str">
        <f t="shared" si="0"/>
        <v>市</v>
      </c>
    </row>
  </sheetData>
  <autoFilter ref="A1:B51" xr:uid="{80F6238B-88C2-4DEC-975E-B1559179D479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FD97BE-153F-406E-ABE7-6BD79FD6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Restaurant Categories1</vt:lpstr>
      <vt:lpstr>Restaurant Categories2</vt:lpstr>
      <vt:lpstr>Restaurant Categories3</vt:lpstr>
      <vt:lpstr>Restaurant Categories4</vt:lpstr>
      <vt:lpstr>Append1</vt:lpstr>
      <vt:lpstr>Ward-District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 lew</cp:lastModifiedBy>
  <dcterms:created xsi:type="dcterms:W3CDTF">2015-06-05T18:17:20Z</dcterms:created>
  <dcterms:modified xsi:type="dcterms:W3CDTF">2023-08-28T11:33:47Z</dcterms:modified>
</cp:coreProperties>
</file>