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-1050" yWindow="-15" windowWidth="24240" windowHeight="13740"/>
  </bookViews>
  <sheets>
    <sheet name="Comparison CEA" sheetId="10" r:id="rId1"/>
    <sheet name="MGH" sheetId="11" r:id="rId2"/>
    <sheet name="FHCRC" sheetId="12" r:id="rId3"/>
    <sheet name="ErasmusUW" sheetId="13" r:id="rId4"/>
    <sheet name="Sheet4" sheetId="14" r:id="rId5"/>
  </sheets>
  <externalReferences>
    <externalReference r:id="rId6"/>
    <externalReference r:id="rId7"/>
    <externalReference r:id="rId8"/>
  </externalReferenc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4" i="10" l="1"/>
  <c r="F53" i="10"/>
  <c r="E53" i="10"/>
  <c r="E54" i="10"/>
  <c r="E52" i="10"/>
  <c r="D52" i="10"/>
  <c r="D53" i="10"/>
  <c r="D54" i="10"/>
  <c r="D51" i="10"/>
  <c r="G52" i="10"/>
  <c r="D61" i="10"/>
  <c r="F60" i="10"/>
  <c r="E60" i="10"/>
  <c r="D60" i="10"/>
  <c r="D59" i="10"/>
  <c r="D58" i="10"/>
  <c r="G58" i="10" s="1"/>
  <c r="G54" i="10"/>
  <c r="G51" i="10" l="1"/>
  <c r="E59" i="10"/>
  <c r="G59" i="10" s="1"/>
  <c r="E61" i="10"/>
  <c r="F61" i="10"/>
  <c r="G61" i="10" s="1"/>
  <c r="F47" i="10" l="1"/>
  <c r="F46" i="10"/>
  <c r="E47" i="10"/>
  <c r="E46" i="10"/>
  <c r="E45" i="10"/>
  <c r="D47" i="10"/>
  <c r="D46" i="10"/>
  <c r="D45" i="10"/>
  <c r="D44" i="10"/>
  <c r="D14" i="10" l="1"/>
  <c r="F22" i="10"/>
  <c r="G22" i="10"/>
  <c r="E22" i="10"/>
  <c r="D22" i="10"/>
  <c r="E21" i="10"/>
  <c r="G21" i="10"/>
  <c r="D21" i="10"/>
  <c r="E20" i="10"/>
  <c r="D20" i="10"/>
  <c r="D19" i="10"/>
  <c r="G19" i="10"/>
  <c r="F15" i="10"/>
  <c r="G15" i="10"/>
  <c r="E15" i="10"/>
  <c r="D15" i="10"/>
  <c r="E14" i="10"/>
  <c r="G14" i="10"/>
  <c r="E13" i="10"/>
  <c r="D13" i="10"/>
  <c r="D12" i="10"/>
  <c r="G12" i="10"/>
  <c r="I31" i="13"/>
  <c r="F31" i="13"/>
  <c r="E31" i="13"/>
  <c r="D31" i="13"/>
  <c r="C31" i="13"/>
  <c r="L30" i="13"/>
  <c r="J30" i="13"/>
  <c r="J31" i="13"/>
  <c r="G30" i="13"/>
  <c r="H30" i="13"/>
  <c r="M29" i="13"/>
  <c r="K29" i="13"/>
  <c r="H29" i="13"/>
  <c r="E29" i="13"/>
  <c r="N29" i="13"/>
  <c r="F29" i="13"/>
  <c r="C29" i="13"/>
  <c r="L29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N24" i="13"/>
  <c r="M24" i="13"/>
  <c r="L24" i="13"/>
  <c r="K24" i="13"/>
  <c r="J24" i="13"/>
  <c r="I24" i="13"/>
  <c r="H24" i="13"/>
  <c r="G24" i="13"/>
  <c r="F24" i="13"/>
  <c r="E24" i="13"/>
  <c r="C24" i="13"/>
  <c r="D24" i="13"/>
  <c r="O24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J19" i="13"/>
  <c r="I19" i="13"/>
  <c r="H19" i="13"/>
  <c r="F19" i="13"/>
  <c r="E19" i="13"/>
  <c r="C19" i="13"/>
  <c r="J18" i="13"/>
  <c r="I18" i="13"/>
  <c r="H18" i="13"/>
  <c r="F18" i="13"/>
  <c r="E13" i="13"/>
  <c r="E18" i="13"/>
  <c r="F13" i="13"/>
  <c r="G13" i="13"/>
  <c r="C18" i="13"/>
  <c r="F16" i="13"/>
  <c r="E16" i="13"/>
  <c r="H16" i="13"/>
  <c r="C16" i="13"/>
  <c r="K7" i="13"/>
  <c r="L15" i="13"/>
  <c r="F15" i="13"/>
  <c r="E15" i="13"/>
  <c r="H15" i="13"/>
  <c r="C15" i="13"/>
  <c r="F14" i="13"/>
  <c r="E14" i="13"/>
  <c r="J14" i="13"/>
  <c r="C14" i="13"/>
  <c r="D14" i="13"/>
  <c r="H13" i="13"/>
  <c r="C13" i="13"/>
  <c r="D13" i="13"/>
  <c r="K4" i="13"/>
  <c r="L12" i="13"/>
  <c r="E12" i="13"/>
  <c r="F12" i="13"/>
  <c r="C12" i="13"/>
  <c r="I12" i="13"/>
  <c r="H12" i="13"/>
  <c r="O8" i="13"/>
  <c r="K8" i="13"/>
  <c r="L16" i="13"/>
  <c r="J8" i="13"/>
  <c r="I8" i="13"/>
  <c r="H8" i="13"/>
  <c r="G8" i="13"/>
  <c r="F8" i="13"/>
  <c r="E8" i="13"/>
  <c r="D8" i="13"/>
  <c r="C8" i="13"/>
  <c r="L8" i="13"/>
  <c r="O7" i="13"/>
  <c r="J7" i="13"/>
  <c r="I7" i="13"/>
  <c r="H7" i="13"/>
  <c r="G7" i="13"/>
  <c r="F7" i="13"/>
  <c r="E7" i="13"/>
  <c r="D7" i="13"/>
  <c r="M7" i="13"/>
  <c r="C7" i="13"/>
  <c r="O6" i="13"/>
  <c r="K6" i="13"/>
  <c r="L14" i="13"/>
  <c r="J6" i="13"/>
  <c r="I6" i="13"/>
  <c r="H6" i="13"/>
  <c r="G6" i="13"/>
  <c r="F6" i="13"/>
  <c r="E6" i="13"/>
  <c r="D6" i="13"/>
  <c r="C6" i="13"/>
  <c r="O5" i="13"/>
  <c r="K5" i="13"/>
  <c r="L13" i="13"/>
  <c r="J5" i="13"/>
  <c r="I5" i="13"/>
  <c r="H5" i="13"/>
  <c r="G5" i="13"/>
  <c r="F5" i="13"/>
  <c r="E5" i="13"/>
  <c r="D5" i="13"/>
  <c r="C5" i="13"/>
  <c r="L5" i="13"/>
  <c r="O4" i="13"/>
  <c r="J4" i="13"/>
  <c r="I4" i="13"/>
  <c r="H4" i="13"/>
  <c r="G4" i="13"/>
  <c r="F4" i="13"/>
  <c r="E4" i="13"/>
  <c r="D4" i="13"/>
  <c r="C4" i="13"/>
  <c r="I31" i="12"/>
  <c r="F31" i="12"/>
  <c r="E31" i="12"/>
  <c r="D31" i="12"/>
  <c r="C31" i="12"/>
  <c r="L30" i="12"/>
  <c r="J30" i="12"/>
  <c r="K30" i="12"/>
  <c r="G30" i="12"/>
  <c r="G31" i="12"/>
  <c r="M29" i="12"/>
  <c r="K29" i="12"/>
  <c r="H29" i="12"/>
  <c r="F29" i="12"/>
  <c r="E29" i="12"/>
  <c r="N29" i="12"/>
  <c r="C29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J19" i="12"/>
  <c r="I19" i="12"/>
  <c r="H19" i="12"/>
  <c r="F19" i="12"/>
  <c r="E19" i="12"/>
  <c r="C19" i="12"/>
  <c r="J18" i="12"/>
  <c r="I18" i="12"/>
  <c r="H18" i="12"/>
  <c r="F18" i="12"/>
  <c r="E18" i="12"/>
  <c r="C18" i="12"/>
  <c r="F16" i="12"/>
  <c r="E16" i="12"/>
  <c r="J16" i="12"/>
  <c r="C16" i="12"/>
  <c r="D16" i="12"/>
  <c r="E15" i="12"/>
  <c r="F15" i="12"/>
  <c r="C15" i="12"/>
  <c r="I15" i="12"/>
  <c r="J15" i="12"/>
  <c r="K6" i="12"/>
  <c r="L14" i="12"/>
  <c r="E14" i="12"/>
  <c r="J14" i="12"/>
  <c r="F14" i="12"/>
  <c r="C14" i="12"/>
  <c r="I14" i="12"/>
  <c r="F13" i="12"/>
  <c r="E13" i="12"/>
  <c r="H13" i="12"/>
  <c r="C13" i="12"/>
  <c r="D13" i="12"/>
  <c r="E12" i="12"/>
  <c r="J12" i="12"/>
  <c r="F12" i="12"/>
  <c r="H12" i="12"/>
  <c r="C12" i="12"/>
  <c r="D12" i="12"/>
  <c r="O8" i="12"/>
  <c r="C8" i="12"/>
  <c r="E8" i="12"/>
  <c r="G8" i="12"/>
  <c r="I8" i="12"/>
  <c r="L8" i="12"/>
  <c r="K8" i="12"/>
  <c r="L16" i="12"/>
  <c r="J8" i="12"/>
  <c r="H8" i="12"/>
  <c r="F8" i="12"/>
  <c r="D8" i="12"/>
  <c r="M8" i="12"/>
  <c r="O7" i="12"/>
  <c r="K7" i="12"/>
  <c r="L15" i="12"/>
  <c r="J7" i="12"/>
  <c r="I7" i="12"/>
  <c r="H7" i="12"/>
  <c r="G7" i="12"/>
  <c r="F7" i="12"/>
  <c r="E7" i="12"/>
  <c r="D7" i="12"/>
  <c r="C7" i="12"/>
  <c r="O6" i="12"/>
  <c r="J6" i="12"/>
  <c r="I6" i="12"/>
  <c r="H6" i="12"/>
  <c r="D6" i="12"/>
  <c r="F6" i="12"/>
  <c r="M6" i="12"/>
  <c r="G6" i="12"/>
  <c r="E6" i="12"/>
  <c r="C6" i="12"/>
  <c r="O5" i="12"/>
  <c r="K5" i="12"/>
  <c r="L13" i="12"/>
  <c r="J5" i="12"/>
  <c r="I5" i="12"/>
  <c r="H5" i="12"/>
  <c r="G5" i="12"/>
  <c r="F5" i="12"/>
  <c r="E5" i="12"/>
  <c r="D5" i="12"/>
  <c r="C5" i="12"/>
  <c r="L5" i="12"/>
  <c r="O4" i="12"/>
  <c r="K4" i="12"/>
  <c r="L12" i="12"/>
  <c r="J4" i="12"/>
  <c r="I4" i="12"/>
  <c r="H4" i="12"/>
  <c r="G4" i="12"/>
  <c r="F4" i="12"/>
  <c r="E4" i="12"/>
  <c r="D4" i="12"/>
  <c r="C4" i="12"/>
  <c r="L4" i="12"/>
  <c r="I31" i="11"/>
  <c r="F31" i="11"/>
  <c r="E31" i="11"/>
  <c r="D31" i="11"/>
  <c r="C31" i="11"/>
  <c r="G30" i="11"/>
  <c r="J30" i="11"/>
  <c r="M30" i="11"/>
  <c r="L30" i="11"/>
  <c r="J31" i="11"/>
  <c r="G31" i="11"/>
  <c r="M29" i="11"/>
  <c r="C29" i="11"/>
  <c r="F29" i="11"/>
  <c r="L29" i="11"/>
  <c r="K29" i="11"/>
  <c r="H29" i="11"/>
  <c r="E29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J19" i="11"/>
  <c r="I19" i="11"/>
  <c r="H19" i="11"/>
  <c r="F19" i="11"/>
  <c r="E19" i="11"/>
  <c r="C19" i="11"/>
  <c r="J18" i="11"/>
  <c r="I18" i="11"/>
  <c r="H18" i="11"/>
  <c r="F18" i="11"/>
  <c r="E18" i="11"/>
  <c r="C18" i="11"/>
  <c r="F16" i="11"/>
  <c r="E16" i="11"/>
  <c r="J16" i="11"/>
  <c r="C16" i="11"/>
  <c r="D16" i="11"/>
  <c r="F15" i="11"/>
  <c r="E15" i="11"/>
  <c r="H15" i="11"/>
  <c r="C15" i="11"/>
  <c r="D15" i="11"/>
  <c r="F14" i="11"/>
  <c r="E14" i="11"/>
  <c r="J14" i="11"/>
  <c r="C14" i="11"/>
  <c r="I14" i="11"/>
  <c r="F13" i="11"/>
  <c r="E13" i="11"/>
  <c r="C13" i="11"/>
  <c r="I13" i="11"/>
  <c r="H13" i="11"/>
  <c r="D13" i="11"/>
  <c r="F12" i="11"/>
  <c r="E12" i="11"/>
  <c r="G12" i="11"/>
  <c r="J12" i="11"/>
  <c r="C12" i="11"/>
  <c r="D12" i="11"/>
  <c r="O8" i="11"/>
  <c r="K8" i="11"/>
  <c r="L16" i="11"/>
  <c r="J8" i="11"/>
  <c r="I8" i="11"/>
  <c r="H8" i="11"/>
  <c r="G8" i="11"/>
  <c r="F8" i="11"/>
  <c r="E8" i="11"/>
  <c r="D8" i="11"/>
  <c r="C8" i="11"/>
  <c r="O7" i="11"/>
  <c r="K7" i="11"/>
  <c r="L15" i="11"/>
  <c r="J7" i="11"/>
  <c r="I7" i="11"/>
  <c r="H7" i="11"/>
  <c r="G7" i="11"/>
  <c r="F7" i="11"/>
  <c r="E7" i="11"/>
  <c r="D7" i="11"/>
  <c r="C7" i="11"/>
  <c r="O6" i="11"/>
  <c r="D6" i="11"/>
  <c r="F6" i="11"/>
  <c r="H6" i="11"/>
  <c r="J6" i="11"/>
  <c r="M6" i="11"/>
  <c r="K6" i="11"/>
  <c r="L14" i="11"/>
  <c r="I6" i="11"/>
  <c r="G6" i="11"/>
  <c r="E6" i="11"/>
  <c r="C6" i="11"/>
  <c r="O5" i="11"/>
  <c r="K5" i="11"/>
  <c r="L13" i="11"/>
  <c r="J5" i="11"/>
  <c r="I5" i="11"/>
  <c r="H5" i="11"/>
  <c r="G5" i="11"/>
  <c r="F5" i="11"/>
  <c r="E5" i="11"/>
  <c r="D5" i="11"/>
  <c r="C5" i="11"/>
  <c r="O4" i="11"/>
  <c r="K4" i="11"/>
  <c r="L12" i="11"/>
  <c r="J4" i="11"/>
  <c r="I4" i="11"/>
  <c r="H4" i="11"/>
  <c r="G4" i="11"/>
  <c r="F4" i="11"/>
  <c r="E4" i="11"/>
  <c r="D4" i="11"/>
  <c r="C4" i="11"/>
  <c r="D38" i="10"/>
  <c r="D39" i="10"/>
  <c r="G39" i="10"/>
  <c r="M5" i="11"/>
  <c r="L6" i="11"/>
  <c r="N6" i="11"/>
  <c r="M7" i="11"/>
  <c r="J13" i="11"/>
  <c r="K13" i="11"/>
  <c r="M4" i="12"/>
  <c r="N4" i="12"/>
  <c r="G14" i="12"/>
  <c r="L4" i="13"/>
  <c r="J12" i="13"/>
  <c r="J13" i="13"/>
  <c r="D16" i="13"/>
  <c r="M4" i="11"/>
  <c r="L7" i="11"/>
  <c r="N7" i="11"/>
  <c r="M5" i="12"/>
  <c r="N5" i="12"/>
  <c r="D15" i="12"/>
  <c r="I16" i="12"/>
  <c r="M5" i="13"/>
  <c r="N5" i="13"/>
  <c r="D12" i="13"/>
  <c r="G16" i="13"/>
  <c r="L4" i="11"/>
  <c r="N4" i="11"/>
  <c r="M8" i="11"/>
  <c r="G14" i="11"/>
  <c r="G16" i="11"/>
  <c r="L6" i="12"/>
  <c r="N6" i="12"/>
  <c r="G15" i="12"/>
  <c r="H16" i="12"/>
  <c r="K16" i="12"/>
  <c r="L29" i="12"/>
  <c r="O25" i="12"/>
  <c r="L6" i="13"/>
  <c r="K12" i="13"/>
  <c r="D15" i="13"/>
  <c r="I16" i="13"/>
  <c r="G31" i="13"/>
  <c r="N29" i="11"/>
  <c r="O24" i="11"/>
  <c r="G13" i="11"/>
  <c r="P24" i="11"/>
  <c r="C39" i="11"/>
  <c r="L8" i="11"/>
  <c r="N8" i="11"/>
  <c r="H14" i="11"/>
  <c r="K14" i="11"/>
  <c r="I12" i="12"/>
  <c r="M4" i="13"/>
  <c r="M6" i="13"/>
  <c r="J16" i="13"/>
  <c r="K16" i="13"/>
  <c r="L5" i="11"/>
  <c r="N5" i="11"/>
  <c r="L31" i="11"/>
  <c r="L7" i="12"/>
  <c r="D14" i="12"/>
  <c r="H15" i="12"/>
  <c r="K15" i="12"/>
  <c r="L31" i="12"/>
  <c r="L7" i="13"/>
  <c r="N7" i="13"/>
  <c r="M8" i="13"/>
  <c r="N8" i="13"/>
  <c r="G12" i="13"/>
  <c r="M7" i="12"/>
  <c r="O23" i="12"/>
  <c r="M31" i="12"/>
  <c r="I13" i="13"/>
  <c r="K13" i="13"/>
  <c r="P24" i="13"/>
  <c r="C39" i="13"/>
  <c r="O26" i="13"/>
  <c r="N4" i="13"/>
  <c r="O23" i="13"/>
  <c r="O27" i="13"/>
  <c r="P27" i="13"/>
  <c r="C40" i="13"/>
  <c r="H31" i="13"/>
  <c r="K30" i="13"/>
  <c r="I15" i="13"/>
  <c r="L31" i="13"/>
  <c r="J15" i="13"/>
  <c r="M31" i="13"/>
  <c r="M30" i="13"/>
  <c r="I14" i="13"/>
  <c r="G15" i="13"/>
  <c r="G14" i="13"/>
  <c r="H14" i="13"/>
  <c r="K12" i="12"/>
  <c r="N31" i="12"/>
  <c r="K31" i="12"/>
  <c r="N8" i="12"/>
  <c r="O26" i="12"/>
  <c r="G12" i="12"/>
  <c r="G16" i="12"/>
  <c r="I13" i="12"/>
  <c r="J13" i="12"/>
  <c r="H14" i="12"/>
  <c r="M30" i="12"/>
  <c r="J31" i="12"/>
  <c r="G13" i="12"/>
  <c r="H30" i="12"/>
  <c r="H12" i="11"/>
  <c r="D14" i="11"/>
  <c r="J15" i="11"/>
  <c r="H16" i="11"/>
  <c r="I16" i="11"/>
  <c r="K16" i="11"/>
  <c r="H30" i="11"/>
  <c r="M31" i="11"/>
  <c r="I15" i="11"/>
  <c r="K15" i="11"/>
  <c r="I12" i="11"/>
  <c r="K30" i="11"/>
  <c r="G15" i="11"/>
  <c r="O26" i="11"/>
  <c r="P23" i="13"/>
  <c r="C36" i="13"/>
  <c r="O27" i="11"/>
  <c r="P27" i="11"/>
  <c r="C40" i="11"/>
  <c r="P26" i="11"/>
  <c r="C38" i="11"/>
  <c r="O24" i="12"/>
  <c r="O23" i="11"/>
  <c r="K12" i="11"/>
  <c r="P23" i="11"/>
  <c r="C36" i="11"/>
  <c r="B4" i="10"/>
  <c r="O27" i="12"/>
  <c r="P27" i="12"/>
  <c r="C38" i="12"/>
  <c r="P23" i="12"/>
  <c r="C36" i="12"/>
  <c r="F38" i="12"/>
  <c r="N7" i="12"/>
  <c r="P26" i="12"/>
  <c r="K14" i="13"/>
  <c r="O25" i="11"/>
  <c r="P25" i="11"/>
  <c r="C37" i="11"/>
  <c r="N6" i="13"/>
  <c r="N30" i="13"/>
  <c r="P7" i="13"/>
  <c r="D38" i="13"/>
  <c r="P6" i="13"/>
  <c r="D37" i="13"/>
  <c r="G38" i="13"/>
  <c r="K31" i="13"/>
  <c r="N31" i="13"/>
  <c r="K15" i="13"/>
  <c r="P26" i="13"/>
  <c r="C38" i="13"/>
  <c r="F40" i="13"/>
  <c r="N30" i="12"/>
  <c r="P4" i="12"/>
  <c r="D36" i="12"/>
  <c r="H31" i="12"/>
  <c r="K13" i="12"/>
  <c r="K14" i="12"/>
  <c r="P25" i="12"/>
  <c r="C37" i="12"/>
  <c r="F37" i="12"/>
  <c r="F39" i="11"/>
  <c r="F40" i="11"/>
  <c r="N30" i="11"/>
  <c r="P4" i="11"/>
  <c r="D36" i="11"/>
  <c r="H31" i="11"/>
  <c r="K31" i="11"/>
  <c r="N31" i="11"/>
  <c r="B26" i="10"/>
  <c r="B7" i="10"/>
  <c r="F38" i="11"/>
  <c r="P7" i="11"/>
  <c r="D38" i="11"/>
  <c r="F37" i="11"/>
  <c r="P8" i="11"/>
  <c r="D40" i="11"/>
  <c r="G40" i="11"/>
  <c r="H40" i="11"/>
  <c r="P24" i="12"/>
  <c r="C39" i="12"/>
  <c r="P8" i="13"/>
  <c r="D40" i="13"/>
  <c r="G40" i="13"/>
  <c r="H40" i="13"/>
  <c r="F39" i="13"/>
  <c r="P5" i="13"/>
  <c r="D39" i="13"/>
  <c r="G39" i="13"/>
  <c r="P4" i="13"/>
  <c r="D36" i="13"/>
  <c r="G37" i="13"/>
  <c r="P7" i="12"/>
  <c r="P8" i="12"/>
  <c r="D38" i="12"/>
  <c r="G38" i="12"/>
  <c r="H38" i="12"/>
  <c r="P6" i="12"/>
  <c r="D37" i="12"/>
  <c r="G37" i="12"/>
  <c r="H37" i="12"/>
  <c r="P5" i="12"/>
  <c r="D39" i="12"/>
  <c r="G39" i="12"/>
  <c r="P5" i="11"/>
  <c r="D39" i="11"/>
  <c r="G39" i="11"/>
  <c r="P6" i="11"/>
  <c r="D37" i="11"/>
  <c r="G37" i="11"/>
  <c r="H37" i="11"/>
  <c r="B25" i="10"/>
  <c r="C25" i="10"/>
  <c r="B8" i="10"/>
  <c r="B27" i="10"/>
  <c r="C4" i="10"/>
  <c r="B5" i="10"/>
  <c r="B6" i="10"/>
  <c r="F39" i="12"/>
  <c r="B28" i="10"/>
  <c r="C27" i="10"/>
  <c r="H39" i="12"/>
  <c r="D32" i="10"/>
  <c r="G38" i="11"/>
  <c r="H38" i="11"/>
  <c r="D34" i="10"/>
  <c r="D40" i="10"/>
  <c r="D33" i="10"/>
  <c r="G33" i="10"/>
  <c r="D27" i="10"/>
  <c r="G27" i="10"/>
  <c r="E40" i="10"/>
  <c r="E34" i="10"/>
  <c r="C26" i="10"/>
  <c r="C28" i="10"/>
  <c r="C5" i="10"/>
  <c r="C7" i="10"/>
  <c r="C6" i="10"/>
  <c r="C8" i="10"/>
  <c r="D5" i="10"/>
  <c r="G5" i="10"/>
  <c r="D6" i="10"/>
  <c r="E28" i="10"/>
  <c r="D8" i="10"/>
  <c r="D7" i="10"/>
  <c r="F7" i="10"/>
  <c r="D26" i="10"/>
  <c r="D28" i="10"/>
  <c r="E8" i="10"/>
  <c r="E6" i="10"/>
  <c r="G6" i="10"/>
  <c r="F8" i="10"/>
  <c r="G8" i="10"/>
  <c r="E7" i="10"/>
  <c r="B45" i="10"/>
  <c r="C47" i="10"/>
  <c r="C43" i="10"/>
  <c r="B47" i="10"/>
  <c r="C45" i="10"/>
  <c r="C46" i="10"/>
  <c r="B43" i="10"/>
  <c r="B46" i="10"/>
  <c r="C44" i="10"/>
  <c r="G47" i="10"/>
  <c r="O25" i="13"/>
  <c r="P25" i="13"/>
  <c r="C37" i="13"/>
  <c r="B44" i="10"/>
  <c r="G44" i="10"/>
  <c r="G45" i="10"/>
  <c r="F37" i="13"/>
  <c r="H37" i="13"/>
  <c r="F38" i="13"/>
  <c r="H38" i="13"/>
</calcChain>
</file>

<file path=xl/comments1.xml><?xml version="1.0" encoding="utf-8"?>
<comments xmlns="http://schemas.openxmlformats.org/spreadsheetml/2006/main">
  <authors>
    <author>S. Kroep</author>
  </authors>
  <commentList>
    <comment ref="C19" author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0.3 pentalty 1 day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0.3 penatly 3 days per treatment. Initial treatment = 3.55 RFA (1 c, 2.55 touch ups in first 2 years), + 0.55 EMR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We decided that localized only get a 1 year penatly at diagnosis. Thus only the initial year</t>
        </r>
      </text>
    </comment>
  </commentList>
</comments>
</file>

<file path=xl/comments2.xml><?xml version="1.0" encoding="utf-8"?>
<comments xmlns="http://schemas.openxmlformats.org/spreadsheetml/2006/main">
  <authors>
    <author>S. Kroep</author>
  </authors>
  <commentList>
    <comment ref="C19" author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0.3 pentalty 1 day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0.3 penatly 3 days per treatment. Initial treatment = 3.55 RFA (1 c, 2.55 touch ups in first 2 years), + 0.55 EMR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We decided that localized only get a 1 year penatly at diagnosis. Thus only the initial year</t>
        </r>
      </text>
    </comment>
  </commentList>
</comments>
</file>

<file path=xl/comments3.xml><?xml version="1.0" encoding="utf-8"?>
<comments xmlns="http://schemas.openxmlformats.org/spreadsheetml/2006/main">
  <authors>
    <author>S. Kroep</author>
  </authors>
  <commentList>
    <comment ref="C19" author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0.3 pentalty 1 day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0.3 penatly 3 days per treatment. Initial treatment = 3.55 RFA (1 c, 2.55 touch ups in first 2 years), + 0.55 EMR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We decided that localized only get a 1 year penatly at diagnosis. Thus only the initial year</t>
        </r>
      </text>
    </comment>
  </commentList>
</comments>
</file>

<file path=xl/sharedStrings.xml><?xml version="1.0" encoding="utf-8"?>
<sst xmlns="http://schemas.openxmlformats.org/spreadsheetml/2006/main" count="368" uniqueCount="98">
  <si>
    <t>NH</t>
  </si>
  <si>
    <t>surveillance</t>
  </si>
  <si>
    <t>Rx LGD</t>
  </si>
  <si>
    <t>Rx HGD</t>
  </si>
  <si>
    <t>Rx ND</t>
  </si>
  <si>
    <t>Costs</t>
  </si>
  <si>
    <t>QALYs</t>
  </si>
  <si>
    <t>ICER</t>
  </si>
  <si>
    <t>ICER non-dominated</t>
  </si>
  <si>
    <t>LGD</t>
  </si>
  <si>
    <t>HGD</t>
  </si>
  <si>
    <t>All BE</t>
  </si>
  <si>
    <t>MALE - 60 to 100</t>
  </si>
  <si>
    <t>EAC Incidence</t>
  </si>
  <si>
    <t>(3% Discounted results)</t>
  </si>
  <si>
    <t>Strategy</t>
  </si>
  <si>
    <t>Localized</t>
  </si>
  <si>
    <t>Regional</t>
  </si>
  <si>
    <t>Distant</t>
  </si>
  <si>
    <t>False-Postivies</t>
  </si>
  <si>
    <t>Total</t>
  </si>
  <si>
    <t>Lifeyears</t>
  </si>
  <si>
    <t>1000 BE patients</t>
  </si>
  <si>
    <t>Clinical</t>
  </si>
  <si>
    <t>Detected</t>
  </si>
  <si>
    <t>EAC diagnosis</t>
  </si>
  <si>
    <t>No intervention</t>
  </si>
  <si>
    <t>Only surveillance (3y)</t>
  </si>
  <si>
    <t>Treatment at HGD development</t>
  </si>
  <si>
    <t>Treatment at LGD development</t>
  </si>
  <si>
    <t>Immediate treatment</t>
  </si>
  <si>
    <t>False Positives</t>
  </si>
  <si>
    <t>Endoscopies</t>
  </si>
  <si>
    <t>Treatments</t>
  </si>
  <si>
    <t>Touch Ups</t>
  </si>
  <si>
    <t>Complications</t>
  </si>
  <si>
    <t>Stricture</t>
  </si>
  <si>
    <t>Perforations</t>
  </si>
  <si>
    <t>S</t>
  </si>
  <si>
    <t>BE</t>
  </si>
  <si>
    <t>UNIT COSTS</t>
  </si>
  <si>
    <t>UNIT PENALTY UTILITY</t>
  </si>
  <si>
    <t>Lifeyears in phases of cancer care</t>
  </si>
  <si>
    <t>Treatment Costs</t>
  </si>
  <si>
    <t>Initial Care</t>
  </si>
  <si>
    <t>Continuous care</t>
  </si>
  <si>
    <t>Utility</t>
  </si>
  <si>
    <t>Incremental</t>
  </si>
  <si>
    <t>Perforation</t>
  </si>
  <si>
    <t xml:space="preserve"> -0.3 for 1 day</t>
  </si>
  <si>
    <t xml:space="preserve"> -0.3 for 1 week</t>
  </si>
  <si>
    <t xml:space="preserve"> -0.3 for 8 weeks</t>
  </si>
  <si>
    <t>Unstaged</t>
  </si>
  <si>
    <t>Bleeding</t>
  </si>
  <si>
    <t>terminal care</t>
  </si>
  <si>
    <t>Parameter</t>
  </si>
  <si>
    <t>Costs 2015($)</t>
  </si>
  <si>
    <t>EMR</t>
  </si>
  <si>
    <t>Initial RFA</t>
  </si>
  <si>
    <t>Touch up RFA</t>
  </si>
  <si>
    <t>Endoscopy</t>
  </si>
  <si>
    <t>Dilation</t>
  </si>
  <si>
    <t>Complication resulting from stricture</t>
  </si>
  <si>
    <t>First year of EAC Local</t>
  </si>
  <si>
    <t>First year of EAC Regional</t>
  </si>
  <si>
    <t>First year of EAC Distant</t>
  </si>
  <si>
    <t>Continuing care, yearly costs from second year on (Loc/Reg/Dis)</t>
  </si>
  <si>
    <t>Last year of EAC Local</t>
  </si>
  <si>
    <t>Last year of EAC Regional</t>
  </si>
  <si>
    <t>Last year of EAC Distant</t>
  </si>
  <si>
    <t>Variable</t>
  </si>
  <si>
    <t>Penalty</t>
  </si>
  <si>
    <t>EAC local diagnosis</t>
  </si>
  <si>
    <t>Penalty = Survival * (1- utility)</t>
  </si>
  <si>
    <t>EAC regional diagnosis</t>
  </si>
  <si>
    <t>EAC distant diagnosis</t>
  </si>
  <si>
    <t>EAC unstaged</t>
  </si>
  <si>
    <t>0.7 per day</t>
  </si>
  <si>
    <t>RFA/EMR/Touch ups Treatment</t>
  </si>
  <si>
    <t>0.7 per treatment per week</t>
  </si>
  <si>
    <t xml:space="preserve"> -0.3 for 4.1 weeks for initial RFA treatment, -0.3 for 1 week for touch up</t>
  </si>
  <si>
    <t>Stricture, Perforation</t>
  </si>
  <si>
    <t>0.7 for 8 weeks</t>
  </si>
  <si>
    <t>Bleeding (1% total over treatment period)</t>
  </si>
  <si>
    <t>0.7 for 1 week</t>
  </si>
  <si>
    <t xml:space="preserve">Penalty   </t>
  </si>
  <si>
    <t>Localized terminal care</t>
  </si>
  <si>
    <t>MGH</t>
  </si>
  <si>
    <t>ErasmusUW</t>
  </si>
  <si>
    <t>FH : 5 year EAC cost cap with terminal as 5th year if survival &gt; 5 years</t>
  </si>
  <si>
    <t>FH : 5 year EAC cost cap with continuous as 5th year if survival &gt; 5 years</t>
  </si>
  <si>
    <t>FHCRC</t>
  </si>
  <si>
    <t>MGH : 5 year EAC cost cap with terminal as 5th year if survival &gt; 5 years</t>
  </si>
  <si>
    <t>Surveillance</t>
  </si>
  <si>
    <t>MGH : 5 year EAC cost cap with continuous as 5th year if survival &gt; 5 years</t>
  </si>
  <si>
    <t>]</t>
  </si>
  <si>
    <t>ErasmusUW: 5 year EAC cost cap with terminal as 5th year if survival &gt; 5 years</t>
  </si>
  <si>
    <t>ErasmusUW:  5 year EAC cost cap with continuous as 5th year if survival &gt; 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</si>
</sst>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(&quot;$&quot;* #,##0_);_(&quot;$&quot;* \(#,##0\);_(&quot;$&quot;* &quot;-&quot;??_);_(@_)"/>
    <numFmt numFmtId="166" formatCode="0.000"/>
    <numFmt numFmtId="167" formatCode="_-[$$-409]* #,##0_ ;_-[$$-409]* \-#,##0\ ;_-[$$-409]* &quot;-&quot;??_ ;_-@_ "/>
    <numFmt numFmtId="168" formatCode="_-* #,##0.000_-;\-* #,##0.000_-;_-* &quot;-&quot;??_-;_-@_-"/>
    <numFmt numFmtId="169" formatCode="0.0%"/>
    <numFmt numFmtId="170" formatCode="0.0"/>
    <numFmt numFmtId="171" formatCode="_-* #,##0.0_-;\-* #,##0.0_-;_-* &quot;-&quot;??_-;_-@_-"/>
    <numFmt numFmtId="172" formatCode="_-* #,##0_-;\-* #,##0_-;_-* &quot;-&quot;??_-;_-@_-"/>
    <numFmt numFmtId="173" formatCode="_(* #,##0_);_(* \(#,##0\);_(* &quot;-&quot;??_);_(@_)"/>
    <numFmt numFmtId="174" formatCode="0.0E+00"/>
    <numFmt numFmtId="175" formatCode="_-* #,##0.0000_-;\-* #,##0.00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4" fillId="0" borderId="0"/>
    <xf numFmtId="9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89">
    <xf numFmtId="0" fontId="0" fillId="0" borderId="0" xfId="0"/>
    <xf numFmtId="165" fontId="0" fillId="0" borderId="0" xfId="1" applyNumberFormat="1" applyFont="1" applyFill="1"/>
    <xf numFmtId="0" fontId="0" fillId="0" borderId="0" xfId="0" applyFont="1" applyFill="1"/>
    <xf numFmtId="168" fontId="0" fillId="0" borderId="0" xfId="2" applyNumberFormat="1" applyFont="1" applyFill="1"/>
    <xf numFmtId="0" fontId="0" fillId="0" borderId="0" xfId="0" applyFill="1"/>
    <xf numFmtId="166" fontId="0" fillId="0" borderId="0" xfId="0" applyNumberFormat="1" applyFill="1"/>
    <xf numFmtId="0" fontId="2" fillId="0" borderId="0" xfId="0" applyFont="1" applyFill="1"/>
    <xf numFmtId="169" fontId="0" fillId="0" borderId="0" xfId="3" applyNumberFormat="1" applyFont="1" applyFill="1"/>
    <xf numFmtId="167" fontId="0" fillId="0" borderId="0" xfId="0" applyNumberFormat="1" applyFill="1"/>
    <xf numFmtId="167" fontId="0" fillId="0" borderId="0" xfId="2" applyNumberFormat="1" applyFont="1" applyFill="1"/>
    <xf numFmtId="44" fontId="0" fillId="0" borderId="0" xfId="1" applyFont="1" applyFill="1"/>
    <xf numFmtId="2" fontId="0" fillId="0" borderId="0" xfId="0" applyNumberFormat="1" applyFill="1"/>
    <xf numFmtId="44" fontId="0" fillId="0" borderId="0" xfId="1" applyFont="1"/>
    <xf numFmtId="2" fontId="0" fillId="0" borderId="0" xfId="0" applyNumberFormat="1"/>
    <xf numFmtId="44" fontId="0" fillId="0" borderId="0" xfId="1" applyFont="1" applyFill="1" applyBorder="1"/>
    <xf numFmtId="2" fontId="0" fillId="0" borderId="0" xfId="0" applyNumberFormat="1" applyFill="1" applyBorder="1"/>
    <xf numFmtId="164" fontId="0" fillId="0" borderId="0" xfId="2" applyFont="1" applyFill="1"/>
    <xf numFmtId="165" fontId="2" fillId="0" borderId="0" xfId="1" applyNumberFormat="1" applyFont="1" applyFill="1"/>
    <xf numFmtId="164" fontId="2" fillId="0" borderId="0" xfId="2" applyFont="1" applyFill="1"/>
    <xf numFmtId="0" fontId="5" fillId="0" borderId="13" xfId="0" applyFont="1" applyFill="1" applyBorder="1"/>
    <xf numFmtId="0" fontId="6" fillId="0" borderId="13" xfId="0" applyFont="1" applyBorder="1"/>
    <xf numFmtId="0" fontId="0" fillId="0" borderId="0" xfId="0"/>
    <xf numFmtId="172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172" fontId="5" fillId="0" borderId="0" xfId="2" applyNumberFormat="1" applyFont="1"/>
    <xf numFmtId="1" fontId="5" fillId="0" borderId="0" xfId="0" applyNumberFormat="1" applyFont="1"/>
    <xf numFmtId="0" fontId="6" fillId="0" borderId="0" xfId="0" applyFont="1"/>
    <xf numFmtId="0" fontId="6" fillId="0" borderId="6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6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2" xfId="0" applyFont="1" applyBorder="1"/>
    <xf numFmtId="0" fontId="6" fillId="0" borderId="2" xfId="0" applyFont="1" applyBorder="1"/>
    <xf numFmtId="0" fontId="7" fillId="0" borderId="4" xfId="0" applyFont="1" applyBorder="1"/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0" xfId="0" applyFont="1" applyBorder="1"/>
    <xf numFmtId="0" fontId="7" fillId="0" borderId="0" xfId="0" applyFont="1" applyBorder="1"/>
    <xf numFmtId="0" fontId="6" fillId="0" borderId="0" xfId="0" applyFont="1" applyBorder="1"/>
    <xf numFmtId="0" fontId="5" fillId="0" borderId="1" xfId="0" applyFont="1" applyBorder="1"/>
    <xf numFmtId="170" fontId="5" fillId="0" borderId="6" xfId="0" applyNumberFormat="1" applyFont="1" applyBorder="1"/>
    <xf numFmtId="170" fontId="5" fillId="0" borderId="0" xfId="0" applyNumberFormat="1" applyFont="1" applyBorder="1"/>
    <xf numFmtId="171" fontId="6" fillId="0" borderId="0" xfId="2" applyNumberFormat="1" applyFont="1" applyBorder="1"/>
    <xf numFmtId="172" fontId="5" fillId="0" borderId="0" xfId="2" applyNumberFormat="1" applyFont="1" applyBorder="1"/>
    <xf numFmtId="164" fontId="5" fillId="2" borderId="1" xfId="2" applyNumberFormat="1" applyFont="1" applyFill="1" applyBorder="1"/>
    <xf numFmtId="171" fontId="5" fillId="0" borderId="0" xfId="2" applyNumberFormat="1" applyFont="1"/>
    <xf numFmtId="165" fontId="5" fillId="0" borderId="0" xfId="1" applyNumberFormat="1" applyFont="1"/>
    <xf numFmtId="2" fontId="6" fillId="0" borderId="0" xfId="0" applyNumberFormat="1" applyFont="1"/>
    <xf numFmtId="165" fontId="5" fillId="0" borderId="0" xfId="0" applyNumberFormat="1" applyFont="1"/>
    <xf numFmtId="170" fontId="5" fillId="0" borderId="7" xfId="0" applyNumberFormat="1" applyFont="1" applyBorder="1"/>
    <xf numFmtId="170" fontId="5" fillId="0" borderId="2" xfId="0" applyNumberFormat="1" applyFont="1" applyBorder="1"/>
    <xf numFmtId="171" fontId="6" fillId="0" borderId="2" xfId="2" applyNumberFormat="1" applyFont="1" applyBorder="1"/>
    <xf numFmtId="172" fontId="5" fillId="0" borderId="2" xfId="2" applyNumberFormat="1" applyFont="1" applyBorder="1"/>
    <xf numFmtId="0" fontId="5" fillId="0" borderId="11" xfId="0" applyFont="1" applyBorder="1"/>
    <xf numFmtId="0" fontId="6" fillId="0" borderId="7" xfId="0" applyFont="1" applyBorder="1"/>
    <xf numFmtId="0" fontId="7" fillId="0" borderId="9" xfId="0" applyFont="1" applyBorder="1"/>
    <xf numFmtId="0" fontId="7" fillId="0" borderId="10" xfId="0" applyFont="1" applyBorder="1"/>
    <xf numFmtId="43" fontId="5" fillId="0" borderId="6" xfId="0" applyNumberFormat="1" applyFont="1" applyBorder="1"/>
    <xf numFmtId="165" fontId="5" fillId="0" borderId="1" xfId="0" applyNumberFormat="1" applyFont="1" applyBorder="1"/>
    <xf numFmtId="167" fontId="5" fillId="0" borderId="0" xfId="0" applyNumberFormat="1" applyFont="1" applyBorder="1"/>
    <xf numFmtId="167" fontId="5" fillId="0" borderId="1" xfId="0" applyNumberFormat="1" applyFont="1" applyBorder="1"/>
    <xf numFmtId="167" fontId="5" fillId="0" borderId="11" xfId="0" applyNumberFormat="1" applyFont="1" applyBorder="1"/>
    <xf numFmtId="171" fontId="5" fillId="0" borderId="6" xfId="2" applyNumberFormat="1" applyFont="1" applyBorder="1"/>
    <xf numFmtId="9" fontId="5" fillId="0" borderId="0" xfId="3" applyFont="1"/>
    <xf numFmtId="1" fontId="5" fillId="0" borderId="6" xfId="0" applyNumberFormat="1" applyFont="1" applyBorder="1"/>
    <xf numFmtId="0" fontId="0" fillId="0" borderId="0" xfId="0" applyBorder="1"/>
    <xf numFmtId="0" fontId="0" fillId="0" borderId="1" xfId="0" applyBorder="1"/>
    <xf numFmtId="169" fontId="5" fillId="0" borderId="6" xfId="3" applyNumberFormat="1" applyFont="1" applyBorder="1"/>
    <xf numFmtId="0" fontId="5" fillId="3" borderId="0" xfId="0" applyFont="1" applyFill="1" applyBorder="1"/>
    <xf numFmtId="165" fontId="5" fillId="4" borderId="6" xfId="1" applyNumberFormat="1" applyFont="1" applyFill="1" applyBorder="1"/>
    <xf numFmtId="165" fontId="5" fillId="4" borderId="1" xfId="1" applyNumberFormat="1" applyFont="1" applyFill="1" applyBorder="1"/>
    <xf numFmtId="167" fontId="5" fillId="4" borderId="6" xfId="0" applyNumberFormat="1" applyFont="1" applyFill="1" applyBorder="1"/>
    <xf numFmtId="167" fontId="5" fillId="4" borderId="0" xfId="0" applyNumberFormat="1" applyFont="1" applyFill="1" applyBorder="1"/>
    <xf numFmtId="0" fontId="0" fillId="4" borderId="1" xfId="0" applyFill="1" applyBorder="1"/>
    <xf numFmtId="0" fontId="5" fillId="4" borderId="1" xfId="0" applyFont="1" applyFill="1" applyBorder="1"/>
    <xf numFmtId="173" fontId="5" fillId="0" borderId="0" xfId="0" applyNumberFormat="1" applyFont="1"/>
    <xf numFmtId="0" fontId="5" fillId="3" borderId="2" xfId="0" applyFont="1" applyFill="1" applyBorder="1"/>
    <xf numFmtId="174" fontId="5" fillId="5" borderId="7" xfId="0" applyNumberFormat="1" applyFont="1" applyFill="1" applyBorder="1"/>
    <xf numFmtId="0" fontId="5" fillId="5" borderId="9" xfId="0" applyFont="1" applyFill="1" applyBorder="1"/>
    <xf numFmtId="174" fontId="5" fillId="5" borderId="2" xfId="0" applyNumberFormat="1" applyFont="1" applyFill="1" applyBorder="1"/>
    <xf numFmtId="0" fontId="0" fillId="5" borderId="9" xfId="0" applyFill="1" applyBorder="1"/>
    <xf numFmtId="0" fontId="5" fillId="4" borderId="9" xfId="0" applyFont="1" applyFill="1" applyBorder="1"/>
    <xf numFmtId="0" fontId="5" fillId="4" borderId="10" xfId="0" applyFont="1" applyFill="1" applyBorder="1"/>
    <xf numFmtId="164" fontId="5" fillId="0" borderId="0" xfId="2" applyFont="1"/>
    <xf numFmtId="0" fontId="7" fillId="0" borderId="5" xfId="0" applyFont="1" applyBorder="1"/>
    <xf numFmtId="0" fontId="5" fillId="0" borderId="8" xfId="0" applyFont="1" applyBorder="1"/>
    <xf numFmtId="0" fontId="5" fillId="0" borderId="1" xfId="0" applyFont="1" applyBorder="1" applyAlignment="1">
      <alignment wrapText="1"/>
    </xf>
    <xf numFmtId="0" fontId="5" fillId="0" borderId="0" xfId="0" applyFont="1" applyFill="1" applyBorder="1"/>
    <xf numFmtId="165" fontId="5" fillId="0" borderId="1" xfId="1" applyNumberFormat="1" applyFont="1" applyBorder="1"/>
    <xf numFmtId="165" fontId="5" fillId="0" borderId="11" xfId="0" applyNumberFormat="1" applyFont="1" applyBorder="1"/>
    <xf numFmtId="172" fontId="5" fillId="0" borderId="0" xfId="0" applyNumberFormat="1" applyFont="1" applyFill="1" applyBorder="1"/>
    <xf numFmtId="170" fontId="5" fillId="0" borderId="0" xfId="0" applyNumberFormat="1" applyFont="1" applyFill="1" applyBorder="1"/>
    <xf numFmtId="171" fontId="5" fillId="0" borderId="0" xfId="0" applyNumberFormat="1" applyFont="1" applyFill="1" applyBorder="1"/>
    <xf numFmtId="164" fontId="5" fillId="0" borderId="0" xfId="0" applyNumberFormat="1" applyFont="1" applyFill="1" applyBorder="1"/>
    <xf numFmtId="172" fontId="7" fillId="0" borderId="0" xfId="0" applyNumberFormat="1" applyFont="1" applyFill="1" applyBorder="1"/>
    <xf numFmtId="165" fontId="5" fillId="4" borderId="0" xfId="1" applyNumberFormat="1" applyFont="1" applyFill="1" applyBorder="1"/>
    <xf numFmtId="0" fontId="8" fillId="4" borderId="1" xfId="0" applyFont="1" applyFill="1" applyBorder="1"/>
    <xf numFmtId="0" fontId="5" fillId="4" borderId="7" xfId="0" applyFont="1" applyFill="1" applyBorder="1"/>
    <xf numFmtId="0" fontId="5" fillId="4" borderId="2" xfId="0" applyFont="1" applyFill="1" applyBorder="1"/>
    <xf numFmtId="0" fontId="5" fillId="0" borderId="10" xfId="0" applyFont="1" applyBorder="1"/>
    <xf numFmtId="0" fontId="5" fillId="0" borderId="12" xfId="0" applyFont="1" applyBorder="1"/>
    <xf numFmtId="0" fontId="6" fillId="0" borderId="12" xfId="0" applyFont="1" applyBorder="1"/>
    <xf numFmtId="164" fontId="6" fillId="0" borderId="12" xfId="0" applyNumberFormat="1" applyFont="1" applyFill="1" applyBorder="1"/>
    <xf numFmtId="165" fontId="5" fillId="0" borderId="12" xfId="0" applyNumberFormat="1" applyFont="1" applyFill="1" applyBorder="1"/>
    <xf numFmtId="164" fontId="5" fillId="0" borderId="12" xfId="2" applyFont="1" applyFill="1" applyBorder="1"/>
    <xf numFmtId="0" fontId="5" fillId="0" borderId="12" xfId="0" applyFont="1" applyFill="1" applyBorder="1"/>
    <xf numFmtId="2" fontId="5" fillId="0" borderId="12" xfId="0" applyNumberFormat="1" applyFont="1" applyFill="1" applyBorder="1"/>
    <xf numFmtId="172" fontId="6" fillId="6" borderId="12" xfId="0" applyNumberFormat="1" applyFont="1" applyFill="1" applyBorder="1"/>
    <xf numFmtId="167" fontId="5" fillId="0" borderId="12" xfId="0" applyNumberFormat="1" applyFont="1" applyBorder="1"/>
    <xf numFmtId="164" fontId="6" fillId="0" borderId="13" xfId="0" applyNumberFormat="1" applyFont="1" applyFill="1" applyBorder="1"/>
    <xf numFmtId="165" fontId="5" fillId="0" borderId="14" xfId="0" applyNumberFormat="1" applyFont="1" applyFill="1" applyBorder="1"/>
    <xf numFmtId="172" fontId="5" fillId="0" borderId="12" xfId="0" applyNumberFormat="1" applyFont="1" applyFill="1" applyBorder="1"/>
    <xf numFmtId="0" fontId="5" fillId="0" borderId="14" xfId="0" applyFont="1" applyFill="1" applyBorder="1"/>
    <xf numFmtId="165" fontId="5" fillId="0" borderId="12" xfId="0" applyNumberFormat="1" applyFont="1" applyBorder="1"/>
    <xf numFmtId="164" fontId="5" fillId="0" borderId="12" xfId="2" applyFont="1" applyBorder="1"/>
    <xf numFmtId="164" fontId="5" fillId="0" borderId="14" xfId="2" applyFont="1" applyBorder="1"/>
    <xf numFmtId="167" fontId="5" fillId="0" borderId="12" xfId="2" applyNumberFormat="1" applyFont="1" applyBorder="1"/>
    <xf numFmtId="0" fontId="5" fillId="0" borderId="13" xfId="0" applyFont="1" applyBorder="1"/>
    <xf numFmtId="43" fontId="5" fillId="0" borderId="12" xfId="0" applyNumberFormat="1" applyFont="1" applyBorder="1"/>
    <xf numFmtId="43" fontId="6" fillId="0" borderId="0" xfId="0" applyNumberFormat="1" applyFont="1"/>
    <xf numFmtId="175" fontId="8" fillId="0" borderId="0" xfId="2" applyNumberFormat="1" applyFont="1" applyBorder="1"/>
    <xf numFmtId="175" fontId="8" fillId="0" borderId="0" xfId="2" applyNumberFormat="1" applyFont="1"/>
    <xf numFmtId="2" fontId="5" fillId="0" borderId="0" xfId="0" applyNumberFormat="1" applyFont="1"/>
    <xf numFmtId="0" fontId="0" fillId="0" borderId="0" xfId="0"/>
    <xf numFmtId="0" fontId="5" fillId="0" borderId="0" xfId="0" applyFont="1" applyFill="1" applyBorder="1"/>
    <xf numFmtId="164" fontId="5" fillId="0" borderId="12" xfId="0" applyNumberFormat="1" applyFont="1" applyBorder="1"/>
    <xf numFmtId="2" fontId="5" fillId="0" borderId="12" xfId="0" applyNumberFormat="1" applyFont="1" applyBorder="1"/>
    <xf numFmtId="0" fontId="5" fillId="0" borderId="0" xfId="0" applyFont="1" applyFill="1"/>
    <xf numFmtId="0" fontId="5" fillId="0" borderId="0" xfId="0" applyFont="1" applyFill="1" applyBorder="1" applyAlignment="1">
      <alignment vertical="center" wrapText="1"/>
    </xf>
    <xf numFmtId="0" fontId="6" fillId="0" borderId="0" xfId="0" applyFont="1" applyFill="1" applyBorder="1"/>
    <xf numFmtId="167" fontId="2" fillId="0" borderId="0" xfId="0" applyNumberFormat="1" applyFont="1" applyFill="1"/>
    <xf numFmtId="0" fontId="0" fillId="0" borderId="12" xfId="0" applyFill="1" applyBorder="1"/>
    <xf numFmtId="167" fontId="2" fillId="0" borderId="12" xfId="0" applyNumberFormat="1" applyFont="1" applyFill="1" applyBorder="1"/>
    <xf numFmtId="167" fontId="2" fillId="0" borderId="12" xfId="1" applyNumberFormat="1" applyFont="1" applyFill="1" applyBorder="1"/>
    <xf numFmtId="167" fontId="1" fillId="0" borderId="12" xfId="2" applyNumberFormat="1" applyFont="1" applyFill="1" applyBorder="1"/>
    <xf numFmtId="167" fontId="0" fillId="0" borderId="12" xfId="0" applyNumberFormat="1" applyFont="1" applyFill="1" applyBorder="1"/>
    <xf numFmtId="167" fontId="1" fillId="0" borderId="12" xfId="1" applyNumberFormat="1" applyFont="1" applyFill="1" applyBorder="1"/>
    <xf numFmtId="167" fontId="2" fillId="0" borderId="12" xfId="2" applyNumberFormat="1" applyFont="1" applyFill="1" applyBorder="1"/>
    <xf numFmtId="167" fontId="0" fillId="0" borderId="12" xfId="0" applyNumberFormat="1" applyFill="1" applyBorder="1"/>
    <xf numFmtId="165" fontId="0" fillId="0" borderId="12" xfId="1" applyNumberFormat="1" applyFont="1" applyFill="1" applyBorder="1"/>
    <xf numFmtId="0" fontId="2" fillId="0" borderId="12" xfId="0" applyFont="1" applyFill="1" applyBorder="1"/>
    <xf numFmtId="166" fontId="2" fillId="0" borderId="0" xfId="0" applyNumberFormat="1" applyFont="1" applyFill="1"/>
    <xf numFmtId="0" fontId="7" fillId="0" borderId="0" xfId="0" applyFont="1" applyFill="1" applyBorder="1"/>
    <xf numFmtId="172" fontId="5" fillId="0" borderId="0" xfId="2" applyNumberFormat="1" applyFont="1" applyFill="1" applyBorder="1"/>
    <xf numFmtId="0" fontId="5" fillId="0" borderId="0" xfId="0" applyFont="1" applyFill="1" applyBorder="1" applyAlignment="1">
      <alignment wrapText="1"/>
    </xf>
    <xf numFmtId="0" fontId="0" fillId="0" borderId="0" xfId="0" applyFill="1" applyBorder="1"/>
    <xf numFmtId="165" fontId="5" fillId="0" borderId="0" xfId="1" applyNumberFormat="1" applyFont="1" applyFill="1" applyBorder="1"/>
    <xf numFmtId="2" fontId="5" fillId="0" borderId="0" xfId="1" applyNumberFormat="1" applyFont="1" applyFill="1" applyBorder="1"/>
    <xf numFmtId="175" fontId="8" fillId="0" borderId="0" xfId="2" applyNumberFormat="1" applyFont="1" applyFill="1" applyBorder="1"/>
    <xf numFmtId="171" fontId="5" fillId="0" borderId="0" xfId="2" applyNumberFormat="1" applyFont="1" applyFill="1" applyBorder="1"/>
    <xf numFmtId="1" fontId="5" fillId="0" borderId="0" xfId="0" applyNumberFormat="1" applyFont="1" applyFill="1" applyBorder="1"/>
    <xf numFmtId="2" fontId="6" fillId="0" borderId="0" xfId="0" applyNumberFormat="1" applyFont="1" applyFill="1" applyBorder="1"/>
    <xf numFmtId="165" fontId="5" fillId="0" borderId="0" xfId="0" applyNumberFormat="1" applyFont="1" applyFill="1" applyBorder="1"/>
    <xf numFmtId="0" fontId="8" fillId="0" borderId="0" xfId="0" applyFont="1" applyFill="1" applyBorder="1"/>
    <xf numFmtId="2" fontId="5" fillId="0" borderId="0" xfId="0" applyNumberFormat="1" applyFont="1" applyFill="1" applyBorder="1"/>
    <xf numFmtId="2" fontId="5" fillId="4" borderId="2" xfId="1" applyNumberFormat="1" applyFont="1" applyFill="1" applyBorder="1"/>
    <xf numFmtId="164" fontId="5" fillId="0" borderId="8" xfId="0" applyNumberFormat="1" applyFont="1" applyBorder="1"/>
    <xf numFmtId="2" fontId="5" fillId="0" borderId="8" xfId="0" applyNumberFormat="1" applyFont="1" applyBorder="1"/>
    <xf numFmtId="165" fontId="5" fillId="0" borderId="8" xfId="0" applyNumberFormat="1" applyFont="1" applyFill="1" applyBorder="1"/>
    <xf numFmtId="2" fontId="5" fillId="0" borderId="8" xfId="0" applyNumberFormat="1" applyFont="1" applyFill="1" applyBorder="1"/>
    <xf numFmtId="172" fontId="6" fillId="6" borderId="8" xfId="0" applyNumberFormat="1" applyFont="1" applyFill="1" applyBorder="1"/>
    <xf numFmtId="172" fontId="6" fillId="6" borderId="8" xfId="2" applyNumberFormat="1" applyFont="1" applyFill="1" applyBorder="1"/>
    <xf numFmtId="167" fontId="5" fillId="0" borderId="14" xfId="0" applyNumberFormat="1" applyFont="1" applyBorder="1"/>
    <xf numFmtId="164" fontId="5" fillId="0" borderId="10" xfId="0" applyNumberFormat="1" applyFont="1" applyBorder="1"/>
    <xf numFmtId="2" fontId="5" fillId="0" borderId="10" xfId="0" applyNumberFormat="1" applyFont="1" applyBorder="1"/>
    <xf numFmtId="164" fontId="0" fillId="0" borderId="0" xfId="2" applyFont="1" applyFill="1" applyBorder="1"/>
    <xf numFmtId="164" fontId="2" fillId="0" borderId="0" xfId="2" applyFont="1" applyFill="1" applyBorder="1"/>
    <xf numFmtId="164" fontId="1" fillId="0" borderId="0" xfId="2" applyFont="1" applyFill="1" applyBorder="1"/>
    <xf numFmtId="2" fontId="1" fillId="0" borderId="0" xfId="2" applyNumberFormat="1" applyFont="1" applyFill="1" applyBorder="1"/>
    <xf numFmtId="0" fontId="1" fillId="0" borderId="0" xfId="0" applyFont="1" applyFill="1" applyBorder="1"/>
    <xf numFmtId="2" fontId="1" fillId="0" borderId="0" xfId="0" applyNumberFormat="1" applyFont="1" applyFill="1" applyBorder="1"/>
    <xf numFmtId="2" fontId="1" fillId="0" borderId="0" xfId="1" applyNumberFormat="1" applyFont="1" applyFill="1" applyBorder="1"/>
    <xf numFmtId="167" fontId="1" fillId="0" borderId="0" xfId="2" applyNumberFormat="1" applyFont="1" applyFill="1" applyBorder="1"/>
    <xf numFmtId="167" fontId="1" fillId="0" borderId="0" xfId="1" applyNumberFormat="1" applyFont="1" applyFill="1" applyBorder="1"/>
    <xf numFmtId="167" fontId="0" fillId="0" borderId="0" xfId="0" applyNumberFormat="1" applyFont="1" applyFill="1" applyBorder="1"/>
    <xf numFmtId="164" fontId="1" fillId="0" borderId="0" xfId="2" applyNumberFormat="1" applyFont="1" applyFill="1" applyBorder="1"/>
    <xf numFmtId="0" fontId="0" fillId="0" borderId="0" xfId="0" applyFont="1" applyFill="1" applyBorder="1"/>
    <xf numFmtId="164" fontId="0" fillId="0" borderId="0" xfId="0" applyNumberFormat="1" applyFill="1"/>
    <xf numFmtId="175" fontId="5" fillId="5" borderId="7" xfId="2" applyNumberFormat="1" applyFont="1" applyFill="1" applyBorder="1"/>
    <xf numFmtId="175" fontId="5" fillId="5" borderId="9" xfId="2" applyNumberFormat="1" applyFont="1" applyFill="1" applyBorder="1"/>
    <xf numFmtId="175" fontId="5" fillId="5" borderId="2" xfId="2" applyNumberFormat="1" applyFont="1" applyFill="1" applyBorder="1"/>
    <xf numFmtId="175" fontId="0" fillId="5" borderId="9" xfId="2" applyNumberFormat="1" applyFont="1" applyFill="1" applyBorder="1"/>
    <xf numFmtId="164" fontId="5" fillId="0" borderId="0" xfId="0" applyNumberFormat="1" applyFont="1" applyBorder="1"/>
    <xf numFmtId="2" fontId="5" fillId="0" borderId="0" xfId="0" applyNumberFormat="1" applyFont="1" applyBorder="1"/>
    <xf numFmtId="167" fontId="2" fillId="0" borderId="0" xfId="0" applyNumberFormat="1" applyFont="1" applyFill="1" applyBorder="1"/>
    <xf numFmtId="15" fontId="2" fillId="0" borderId="0" xfId="0" applyNumberFormat="1" applyFont="1" applyFill="1"/>
  </cellXfs>
  <cellStyles count="25">
    <cellStyle name="Comma" xfId="2" builtinId="3"/>
    <cellStyle name="Comma 2" xfId="8"/>
    <cellStyle name="Currency" xfId="1" builtinId="4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 2" xfId="7"/>
    <cellStyle name="Normal" xfId="0" builtinId="0"/>
    <cellStyle name="Normal 2" xfId="4"/>
    <cellStyle name="Normal 3" xfId="5"/>
    <cellStyle name="Percent" xfId="3" builtin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urtis\AppData\Local\Microsoft\Windows\INetCache\Content.Outlook\QCLPM8X4\MGH_results0311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urtis\AppData\Local\Microsoft\Windows\INetCache\Content.Outlook\QCLPM8X4\FHCRC_results0311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urtis\AppData\Local\Microsoft\Windows\INetCache\Content.Outlook\QCLPM8X4\ErasmusUW_results0311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"/>
      <sheetName val="S"/>
      <sheetName val="HGD"/>
      <sheetName val="LGD"/>
      <sheetName val="BE"/>
      <sheetName val="Results"/>
      <sheetName val="Variables"/>
    </sheetNames>
    <sheetDataSet>
      <sheetData sheetId="0">
        <row r="45">
          <cell r="BS45">
            <v>14.889021456290948</v>
          </cell>
          <cell r="BT45">
            <v>0</v>
          </cell>
          <cell r="BU45">
            <v>15.386218221705573</v>
          </cell>
          <cell r="BV45">
            <v>0</v>
          </cell>
          <cell r="BW45">
            <v>17.226422325330304</v>
          </cell>
          <cell r="BX45">
            <v>0</v>
          </cell>
          <cell r="BY45">
            <v>5.6771403671560847</v>
          </cell>
          <cell r="BZ45">
            <v>0</v>
          </cell>
          <cell r="CA45">
            <v>0</v>
          </cell>
          <cell r="CB45">
            <v>14811.763284141574</v>
          </cell>
          <cell r="CD45">
            <v>0</v>
          </cell>
          <cell r="CE45">
            <v>0</v>
          </cell>
          <cell r="CF45">
            <v>0</v>
          </cell>
          <cell r="CK45">
            <v>10.050087539013219</v>
          </cell>
          <cell r="CL45">
            <v>57.152948349468161</v>
          </cell>
          <cell r="CN45">
            <v>11.021789363578517</v>
          </cell>
          <cell r="CO45">
            <v>7.8203258524878025</v>
          </cell>
          <cell r="CP45">
            <v>30.727066659307475</v>
          </cell>
          <cell r="CR45">
            <v>11.452625990917632</v>
          </cell>
          <cell r="CS45">
            <v>4.1088891577048354</v>
          </cell>
          <cell r="CT45">
            <v>9.0095187053327095</v>
          </cell>
          <cell r="CV45">
            <v>11.034538025823377</v>
          </cell>
          <cell r="CW45">
            <v>2.3430054675269254</v>
          </cell>
          <cell r="CX45">
            <v>7.8615894703566767</v>
          </cell>
          <cell r="CZ45">
            <v>3.9751084096509413</v>
          </cell>
        </row>
      </sheetData>
      <sheetData sheetId="1">
        <row r="45">
          <cell r="BS45">
            <v>4.1906847557861662</v>
          </cell>
          <cell r="BT45">
            <v>54.134275674280204</v>
          </cell>
          <cell r="BU45">
            <v>2.3130694861178087</v>
          </cell>
          <cell r="BV45">
            <v>3.974083562963028</v>
          </cell>
          <cell r="BW45">
            <v>2.1877359977197393</v>
          </cell>
          <cell r="BX45">
            <v>0.37802313945497129</v>
          </cell>
          <cell r="BY45">
            <v>1.6056553076106466</v>
          </cell>
          <cell r="BZ45">
            <v>0</v>
          </cell>
          <cell r="CA45">
            <v>9.4449473795240415</v>
          </cell>
          <cell r="CB45">
            <v>14891.833916824451</v>
          </cell>
          <cell r="CD45">
            <v>5571.2403924405744</v>
          </cell>
          <cell r="CE45">
            <v>0</v>
          </cell>
          <cell r="CF45">
            <v>0</v>
          </cell>
          <cell r="CK45">
            <v>51.084834554962548</v>
          </cell>
          <cell r="CL45">
            <v>368.12971862701124</v>
          </cell>
          <cell r="CN45">
            <v>42.096353089639663</v>
          </cell>
          <cell r="CO45">
            <v>4.4933750884109456</v>
          </cell>
          <cell r="CP45">
            <v>17.109345877381994</v>
          </cell>
          <cell r="CR45">
            <v>5.0301001995123835</v>
          </cell>
          <cell r="CS45">
            <v>0.76895232359593557</v>
          </cell>
          <cell r="CT45">
            <v>1.2270327533352232</v>
          </cell>
          <cell r="CV45">
            <v>1.7412549916932816</v>
          </cell>
          <cell r="CW45">
            <v>0.65089979450162994</v>
          </cell>
          <cell r="CX45">
            <v>1.9081606808764815</v>
          </cell>
          <cell r="CZ45">
            <v>1.133743186125705</v>
          </cell>
        </row>
      </sheetData>
      <sheetData sheetId="2">
        <row r="45">
          <cell r="BS45">
            <v>3.2033027642409388</v>
          </cell>
          <cell r="BT45">
            <v>20.343122277220861</v>
          </cell>
          <cell r="BU45">
            <v>1.8547270829663542</v>
          </cell>
          <cell r="BV45">
            <v>2.8637149821018157</v>
          </cell>
          <cell r="BW45">
            <v>1.6402550884823999</v>
          </cell>
          <cell r="BX45">
            <v>0.41918046918105495</v>
          </cell>
          <cell r="BY45">
            <v>1.2241215624264705</v>
          </cell>
          <cell r="BZ45">
            <v>0</v>
          </cell>
          <cell r="CA45">
            <v>3.4010584302399494</v>
          </cell>
          <cell r="CB45">
            <v>15004.087186057033</v>
          </cell>
          <cell r="CD45">
            <v>6089.5166794420193</v>
          </cell>
          <cell r="CE45">
            <v>167.8069299257649</v>
          </cell>
          <cell r="CF45">
            <v>14.259095103318908</v>
          </cell>
          <cell r="CK45">
            <v>20.103602476131947</v>
          </cell>
          <cell r="CL45">
            <v>140.18868731273471</v>
          </cell>
          <cell r="CN45">
            <v>17.005106747520045</v>
          </cell>
          <cell r="CO45">
            <v>3.306994385676798</v>
          </cell>
          <cell r="CP45">
            <v>12.487444540488324</v>
          </cell>
          <cell r="CR45">
            <v>3.7469657784175254</v>
          </cell>
          <cell r="CS45">
            <v>0.65613064535944721</v>
          </cell>
          <cell r="CT45">
            <v>1.0586020886887708</v>
          </cell>
          <cell r="CV45">
            <v>1.4184251787005393</v>
          </cell>
          <cell r="CW45">
            <v>0.49564992607661268</v>
          </cell>
          <cell r="CX45">
            <v>1.4317953615029986</v>
          </cell>
          <cell r="CZ45">
            <v>0.86556171722837794</v>
          </cell>
        </row>
      </sheetData>
      <sheetData sheetId="3">
        <row r="45">
          <cell r="BS45">
            <v>2.213719886674097</v>
          </cell>
          <cell r="BT45">
            <v>16.986545747941175</v>
          </cell>
          <cell r="BU45">
            <v>1.2408622271034457</v>
          </cell>
          <cell r="BV45">
            <v>2.1875508708293716</v>
          </cell>
          <cell r="BW45">
            <v>1.0683442864794532</v>
          </cell>
          <cell r="BX45">
            <v>0.30990168808825724</v>
          </cell>
          <cell r="BY45">
            <v>0.84240349785344493</v>
          </cell>
          <cell r="BZ45">
            <v>0</v>
          </cell>
          <cell r="CA45">
            <v>1.7983095924420403</v>
          </cell>
          <cell r="CB45">
            <v>15026.240615191336</v>
          </cell>
          <cell r="CD45">
            <v>7146.6117609115272</v>
          </cell>
          <cell r="CE45">
            <v>602.75252579210508</v>
          </cell>
          <cell r="CF45">
            <v>154.11671403311189</v>
          </cell>
          <cell r="CK45">
            <v>16.514069450957674</v>
          </cell>
          <cell r="CL45">
            <v>116.16872345436826</v>
          </cell>
          <cell r="CN45">
            <v>13.8673540445493</v>
          </cell>
          <cell r="CO45">
            <v>2.4496454000555721</v>
          </cell>
          <cell r="CP45">
            <v>9.3499510562962787</v>
          </cell>
          <cell r="CR45">
            <v>2.732722725589884</v>
          </cell>
          <cell r="CS45">
            <v>0.44830870583108084</v>
          </cell>
          <cell r="CT45">
            <v>0.72059823042426208</v>
          </cell>
          <cell r="CV45">
            <v>0.95502520980538719</v>
          </cell>
          <cell r="CW45">
            <v>0.33763844088218298</v>
          </cell>
          <cell r="CX45">
            <v>1.0094970575639575</v>
          </cell>
          <cell r="CZ45">
            <v>0.59343459738080817</v>
          </cell>
        </row>
      </sheetData>
      <sheetData sheetId="4">
        <row r="45">
          <cell r="BS45">
            <v>1.3283353778454934</v>
          </cell>
          <cell r="BT45">
            <v>13.9828694075721</v>
          </cell>
          <cell r="BU45">
            <v>0.73551774652157798</v>
          </cell>
          <cell r="BV45">
            <v>1.3028892405421491</v>
          </cell>
          <cell r="BW45">
            <v>0.66895302308904392</v>
          </cell>
          <cell r="BX45">
            <v>0.14622701166140817</v>
          </cell>
          <cell r="BY45">
            <v>0.51143876098720265</v>
          </cell>
          <cell r="BZ45">
            <v>0</v>
          </cell>
          <cell r="CA45">
            <v>1.7143040702478904</v>
          </cell>
          <cell r="CB45">
            <v>15049.919134745107</v>
          </cell>
          <cell r="CD45">
            <v>8290.840506057235</v>
          </cell>
          <cell r="CE45">
            <v>1000</v>
          </cell>
          <cell r="CF45">
            <v>654.44857811110319</v>
          </cell>
          <cell r="CK45">
            <v>13.302533353415638</v>
          </cell>
          <cell r="CL45">
            <v>92.616836590492056</v>
          </cell>
          <cell r="CN45">
            <v>11.134087635154909</v>
          </cell>
          <cell r="CO45">
            <v>1.4514220829198252</v>
          </cell>
          <cell r="CP45">
            <v>5.4629962809093167</v>
          </cell>
          <cell r="CR45">
            <v>1.6287215954849565</v>
          </cell>
          <cell r="CS45">
            <v>0.25222087700821921</v>
          </cell>
          <cell r="CT45">
            <v>0.37944860744622538</v>
          </cell>
          <cell r="CV45">
            <v>0.5594512824810679</v>
          </cell>
          <cell r="CW45">
            <v>0.21057218659138283</v>
          </cell>
          <cell r="CX45">
            <v>0.63325681635416531</v>
          </cell>
          <cell r="CZ45">
            <v>0.36108185210014282</v>
          </cell>
        </row>
      </sheetData>
      <sheetData sheetId="5"/>
      <sheetData sheetId="6">
        <row r="3">
          <cell r="C3">
            <v>5629.85</v>
          </cell>
        </row>
        <row r="4">
          <cell r="B4">
            <v>1012</v>
          </cell>
        </row>
        <row r="5">
          <cell r="B5">
            <v>670</v>
          </cell>
        </row>
        <row r="7">
          <cell r="B7">
            <v>1012</v>
          </cell>
        </row>
        <row r="8">
          <cell r="B8">
            <v>28553</v>
          </cell>
        </row>
        <row r="10">
          <cell r="B10">
            <v>58997</v>
          </cell>
        </row>
        <row r="11">
          <cell r="B11">
            <v>75295</v>
          </cell>
        </row>
        <row r="14">
          <cell r="B14">
            <v>64704</v>
          </cell>
        </row>
        <row r="15">
          <cell r="B15">
            <v>77742</v>
          </cell>
        </row>
        <row r="16">
          <cell r="B16">
            <v>85212</v>
          </cell>
        </row>
        <row r="23">
          <cell r="D23">
            <v>8.2191780821917802E-4</v>
          </cell>
        </row>
        <row r="24">
          <cell r="D24">
            <v>2.3589041095890408E-2</v>
          </cell>
          <cell r="E24">
            <v>5.7534246575342458E-3</v>
          </cell>
        </row>
        <row r="25">
          <cell r="D25">
            <v>5.7534246575342458E-3</v>
          </cell>
          <cell r="E25">
            <v>4.6027397260273967E-2</v>
          </cell>
        </row>
        <row r="26">
          <cell r="D26">
            <v>5.7534246575342458E-3</v>
          </cell>
        </row>
        <row r="29">
          <cell r="C29">
            <v>5.0000000000000001E-4</v>
          </cell>
        </row>
        <row r="30">
          <cell r="C30">
            <v>0.01</v>
          </cell>
        </row>
        <row r="31">
          <cell r="C31">
            <v>0.05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"/>
      <sheetName val="S"/>
      <sheetName val="HGD"/>
      <sheetName val="LGD"/>
      <sheetName val="BE"/>
      <sheetName val="Results"/>
      <sheetName val="Variables"/>
    </sheetNames>
    <sheetDataSet>
      <sheetData sheetId="0">
        <row r="45">
          <cell r="BS45">
            <v>19.249929556741087</v>
          </cell>
          <cell r="BT45">
            <v>0</v>
          </cell>
          <cell r="BU45">
            <v>25.117923955564216</v>
          </cell>
          <cell r="BV45">
            <v>0</v>
          </cell>
          <cell r="BW45">
            <v>29.148241783567798</v>
          </cell>
          <cell r="BX45">
            <v>0</v>
          </cell>
          <cell r="BY45">
            <v>8.2094096238108474</v>
          </cell>
          <cell r="BZ45">
            <v>0</v>
          </cell>
          <cell r="CA45">
            <v>0</v>
          </cell>
          <cell r="CB45">
            <v>14393.510089652953</v>
          </cell>
          <cell r="CD45">
            <v>0</v>
          </cell>
          <cell r="CE45">
            <v>0</v>
          </cell>
          <cell r="CF45">
            <v>0</v>
          </cell>
          <cell r="CK45">
            <v>11.797788682979165</v>
          </cell>
          <cell r="CL45">
            <v>63.111637076348821</v>
          </cell>
          <cell r="CN45">
            <v>14.995429831497496</v>
          </cell>
          <cell r="CO45">
            <v>11.797081452840153</v>
          </cell>
          <cell r="CP45">
            <v>44.232396614424303</v>
          </cell>
          <cell r="CR45">
            <v>19.675888778919187</v>
          </cell>
          <cell r="CS45">
            <v>5.6934218932550476</v>
          </cell>
          <cell r="CT45">
            <v>13.987910575831799</v>
          </cell>
          <cell r="CV45">
            <v>18.586597598800921</v>
          </cell>
          <cell r="CW45">
            <v>3.4355419645115681</v>
          </cell>
          <cell r="CX45">
            <v>13.588357155952048</v>
          </cell>
          <cell r="CZ45">
            <v>6.0335473213346784</v>
          </cell>
        </row>
      </sheetData>
      <sheetData sheetId="1">
        <row r="45">
          <cell r="BS45">
            <v>2.0697466384116505</v>
          </cell>
          <cell r="BT45">
            <v>97.505770201179615</v>
          </cell>
          <cell r="BU45">
            <v>2.3350955869824683</v>
          </cell>
          <cell r="BV45">
            <v>9.6634816350387993</v>
          </cell>
          <cell r="BW45">
            <v>2.9027010379899676</v>
          </cell>
          <cell r="BX45">
            <v>1.1208297658113386</v>
          </cell>
          <cell r="BY45">
            <v>0.89645179775169925</v>
          </cell>
          <cell r="BZ45">
            <v>0</v>
          </cell>
          <cell r="CA45">
            <v>0</v>
          </cell>
          <cell r="CB45">
            <v>14414.268767491427</v>
          </cell>
          <cell r="CD45">
            <v>4219.7054687343116</v>
          </cell>
          <cell r="CE45">
            <v>0</v>
          </cell>
          <cell r="CF45">
            <v>0</v>
          </cell>
          <cell r="CK45">
            <v>92.728724897409222</v>
          </cell>
          <cell r="CL45">
            <v>571.33952370592772</v>
          </cell>
          <cell r="CN45">
            <v>78.314211987232028</v>
          </cell>
          <cell r="CO45">
            <v>9.882589601197747</v>
          </cell>
          <cell r="CP45">
            <v>40.770746349586119</v>
          </cell>
          <cell r="CR45">
            <v>9.9377152575400522</v>
          </cell>
          <cell r="CS45">
            <v>1.4928550627288313</v>
          </cell>
          <cell r="CT45">
            <v>3.13153836495793</v>
          </cell>
          <cell r="CV45">
            <v>2.8129273357317439</v>
          </cell>
          <cell r="CW45">
            <v>0.27967806495306197</v>
          </cell>
          <cell r="CX45">
            <v>0.77437299397600767</v>
          </cell>
          <cell r="CZ45">
            <v>0.6520815089564258</v>
          </cell>
        </row>
      </sheetData>
      <sheetData sheetId="2">
        <row r="45">
          <cell r="BS45">
            <v>1.9400166651249104</v>
          </cell>
          <cell r="BT45">
            <v>44.577384847062412</v>
          </cell>
          <cell r="BU45">
            <v>2.5665056998412181</v>
          </cell>
          <cell r="BV45">
            <v>4.0625081412982516</v>
          </cell>
          <cell r="BW45">
            <v>3.1674957793019032</v>
          </cell>
          <cell r="BX45">
            <v>0.4948010382334122</v>
          </cell>
          <cell r="BY45">
            <v>0.73611036239431971</v>
          </cell>
          <cell r="BZ45">
            <v>0</v>
          </cell>
          <cell r="CA45">
            <v>0</v>
          </cell>
          <cell r="CB45">
            <v>14624.612492709231</v>
          </cell>
          <cell r="CD45">
            <v>7063.2485409818973</v>
          </cell>
          <cell r="CE45">
            <v>123.81537648267957</v>
          </cell>
          <cell r="CF45">
            <v>45.110574872306174</v>
          </cell>
          <cell r="CK45">
            <v>43.145782198205559</v>
          </cell>
          <cell r="CL45">
            <v>260.26006807192465</v>
          </cell>
          <cell r="CN45">
            <v>36.75810892778663</v>
          </cell>
          <cell r="CO45">
            <v>4.7328785557549615</v>
          </cell>
          <cell r="CP45">
            <v>19.276393491181864</v>
          </cell>
          <cell r="CR45">
            <v>5.3311663660900956</v>
          </cell>
          <cell r="CS45">
            <v>0.99116769620679468</v>
          </cell>
          <cell r="CT45">
            <v>2.5397737521203751</v>
          </cell>
          <cell r="CV45">
            <v>2.4910672635074373</v>
          </cell>
          <cell r="CW45">
            <v>0.21184306466999608</v>
          </cell>
          <cell r="CX45">
            <v>0.657442741141123</v>
          </cell>
          <cell r="CZ45">
            <v>0.53349439595496295</v>
          </cell>
        </row>
      </sheetData>
      <sheetData sheetId="3">
        <row r="45"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D45">
            <v>0</v>
          </cell>
          <cell r="CE45">
            <v>0</v>
          </cell>
          <cell r="CF45">
            <v>0</v>
          </cell>
          <cell r="CK45">
            <v>0</v>
          </cell>
          <cell r="CL45">
            <v>0</v>
          </cell>
          <cell r="CN45">
            <v>0</v>
          </cell>
          <cell r="CO45">
            <v>0</v>
          </cell>
          <cell r="CP45">
            <v>0</v>
          </cell>
          <cell r="CR45">
            <v>0</v>
          </cell>
          <cell r="CS45">
            <v>0</v>
          </cell>
          <cell r="CT45">
            <v>0</v>
          </cell>
          <cell r="CV45">
            <v>0</v>
          </cell>
          <cell r="CW45">
            <v>0</v>
          </cell>
          <cell r="CX45">
            <v>0</v>
          </cell>
          <cell r="CZ45">
            <v>0</v>
          </cell>
        </row>
      </sheetData>
      <sheetData sheetId="4">
        <row r="45">
          <cell r="BS45">
            <v>1.6482607225811581</v>
          </cell>
          <cell r="BT45">
            <v>5.740714392276332</v>
          </cell>
          <cell r="BU45">
            <v>2.00129044846696</v>
          </cell>
          <cell r="BV45">
            <v>0.58781369594719568</v>
          </cell>
          <cell r="BW45">
            <v>2.6893686868618603</v>
          </cell>
          <cell r="BX45">
            <v>0.12253941024933813</v>
          </cell>
          <cell r="BY45">
            <v>0.68700039400881774</v>
          </cell>
          <cell r="BZ45">
            <v>0</v>
          </cell>
          <cell r="CA45">
            <v>0</v>
          </cell>
          <cell r="CB45">
            <v>14756.552872691316</v>
          </cell>
          <cell r="CD45">
            <v>8016.4966412215235</v>
          </cell>
          <cell r="CE45">
            <v>1000</v>
          </cell>
          <cell r="CF45">
            <v>512.81622374619315</v>
          </cell>
          <cell r="CK45">
            <v>6.4015109532196091</v>
          </cell>
          <cell r="CL45">
            <v>41.485092839322384</v>
          </cell>
          <cell r="CN45">
            <v>5.7347843814168789</v>
          </cell>
          <cell r="CO45">
            <v>1.5172586113326896</v>
          </cell>
          <cell r="CP45">
            <v>6.5565447266062273</v>
          </cell>
          <cell r="CR45">
            <v>2.066762132980958</v>
          </cell>
          <cell r="CS45">
            <v>0.71040440332744403</v>
          </cell>
          <cell r="CT45">
            <v>1.8298999434334853</v>
          </cell>
          <cell r="CV45">
            <v>1.8178196678389933</v>
          </cell>
          <cell r="CW45">
            <v>0.27161247418807094</v>
          </cell>
          <cell r="CX45">
            <v>1.1317189077425094</v>
          </cell>
          <cell r="CZ45">
            <v>0.47313542196089892</v>
          </cell>
        </row>
      </sheetData>
      <sheetData sheetId="5"/>
      <sheetData sheetId="6">
        <row r="3">
          <cell r="C3">
            <v>5629.85</v>
          </cell>
        </row>
        <row r="4">
          <cell r="B4">
            <v>1012</v>
          </cell>
        </row>
        <row r="5">
          <cell r="B5">
            <v>670</v>
          </cell>
        </row>
        <row r="7">
          <cell r="B7">
            <v>1012</v>
          </cell>
        </row>
        <row r="8">
          <cell r="B8">
            <v>28553</v>
          </cell>
        </row>
        <row r="10">
          <cell r="B10">
            <v>58997</v>
          </cell>
        </row>
        <row r="11">
          <cell r="B11">
            <v>75295</v>
          </cell>
        </row>
        <row r="14">
          <cell r="B14">
            <v>64704</v>
          </cell>
        </row>
        <row r="15">
          <cell r="B15">
            <v>77742</v>
          </cell>
        </row>
        <row r="16">
          <cell r="B16">
            <v>85212</v>
          </cell>
        </row>
        <row r="23">
          <cell r="D23">
            <v>8.2191780821917802E-4</v>
          </cell>
        </row>
        <row r="24">
          <cell r="D24">
            <v>2.3589041095890408E-2</v>
          </cell>
          <cell r="E24">
            <v>5.7534246575342458E-3</v>
          </cell>
        </row>
        <row r="25">
          <cell r="E25">
            <v>4.6027397260273967E-2</v>
          </cell>
        </row>
        <row r="26">
          <cell r="D26">
            <v>5.7534246575342458E-3</v>
          </cell>
        </row>
        <row r="29">
          <cell r="C29">
            <v>5.0000000000000001E-4</v>
          </cell>
        </row>
        <row r="30">
          <cell r="C30">
            <v>0.01</v>
          </cell>
        </row>
        <row r="31">
          <cell r="C31">
            <v>0.05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"/>
      <sheetName val="S"/>
      <sheetName val="HGD"/>
      <sheetName val="LGD"/>
      <sheetName val="BE"/>
      <sheetName val="Results"/>
      <sheetName val="Variables"/>
    </sheetNames>
    <sheetDataSet>
      <sheetData sheetId="0">
        <row r="45">
          <cell r="BS45">
            <v>14.215033733548118</v>
          </cell>
          <cell r="BT45">
            <v>0</v>
          </cell>
          <cell r="BU45">
            <v>14.703295704112755</v>
          </cell>
          <cell r="BV45">
            <v>0</v>
          </cell>
          <cell r="BW45">
            <v>16.202390910275632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14847.411587433629</v>
          </cell>
          <cell r="CD45">
            <v>0</v>
          </cell>
          <cell r="CE45">
            <v>0</v>
          </cell>
          <cell r="CF45">
            <v>0</v>
          </cell>
          <cell r="CK45">
            <v>9.1494505731402267</v>
          </cell>
          <cell r="CL45">
            <v>56.584376071213583</v>
          </cell>
          <cell r="CN45">
            <v>10.526645623538604</v>
          </cell>
          <cell r="CO45">
            <v>6.8644541754573591</v>
          </cell>
          <cell r="CP45">
            <v>24.269171626041906</v>
          </cell>
          <cell r="CR45">
            <v>10.927339816656209</v>
          </cell>
          <cell r="CS45">
            <v>2.6570732736418043</v>
          </cell>
          <cell r="CT45">
            <v>5.6111108845633497</v>
          </cell>
          <cell r="CV45">
            <v>10.020366888519305</v>
          </cell>
          <cell r="CW45">
            <v>0</v>
          </cell>
          <cell r="CX45">
            <v>0</v>
          </cell>
          <cell r="CZ45">
            <v>0</v>
          </cell>
        </row>
      </sheetData>
      <sheetData sheetId="1">
        <row r="45">
          <cell r="BS45">
            <v>5.7350605493166151</v>
          </cell>
          <cell r="BT45">
            <v>32.049302551513797</v>
          </cell>
          <cell r="BU45">
            <v>3.4294852114200172</v>
          </cell>
          <cell r="BV45">
            <v>4.3212923739979772</v>
          </cell>
          <cell r="BW45">
            <v>3.0298595620195812</v>
          </cell>
          <cell r="BX45">
            <v>0.23186584239130195</v>
          </cell>
          <cell r="BY45">
            <v>0</v>
          </cell>
          <cell r="BZ45">
            <v>0</v>
          </cell>
          <cell r="CA45">
            <v>18.27173494398604</v>
          </cell>
          <cell r="CB45">
            <v>14923.956562928422</v>
          </cell>
          <cell r="CD45">
            <v>6359.7403604528572</v>
          </cell>
          <cell r="CE45">
            <v>0</v>
          </cell>
          <cell r="CF45">
            <v>0</v>
          </cell>
          <cell r="CK45">
            <v>33.12562231973655</v>
          </cell>
          <cell r="CL45">
            <v>187.8980731834331</v>
          </cell>
          <cell r="CN45">
            <v>30.248204965772885</v>
          </cell>
          <cell r="CO45">
            <v>5.2050797464347971</v>
          </cell>
          <cell r="CP45">
            <v>13.786239949701219</v>
          </cell>
          <cell r="CR45">
            <v>6.4910289047819036</v>
          </cell>
          <cell r="CS45">
            <v>0.60048617769950696</v>
          </cell>
          <cell r="CT45">
            <v>0.78270958458448792</v>
          </cell>
          <cell r="CV45">
            <v>2.0942848207944267</v>
          </cell>
          <cell r="CW45">
            <v>0</v>
          </cell>
          <cell r="CX45">
            <v>0</v>
          </cell>
          <cell r="CZ45">
            <v>0</v>
          </cell>
        </row>
      </sheetData>
      <sheetData sheetId="2">
        <row r="45">
          <cell r="BS45">
            <v>5.4115421802231554</v>
          </cell>
          <cell r="BT45">
            <v>8.2137237258293059</v>
          </cell>
          <cell r="BU45">
            <v>4.0180244474818885</v>
          </cell>
          <cell r="BV45">
            <v>1.7351585727980936</v>
          </cell>
          <cell r="BW45">
            <v>4.6319650574921916</v>
          </cell>
          <cell r="BX45">
            <v>0.22566579930438374</v>
          </cell>
          <cell r="BY45">
            <v>0</v>
          </cell>
          <cell r="BZ45">
            <v>0</v>
          </cell>
          <cell r="CA45">
            <v>5.3591861918370594</v>
          </cell>
          <cell r="CB45">
            <v>15029.440530819116</v>
          </cell>
          <cell r="CD45">
            <v>5105.6934977973497</v>
          </cell>
          <cell r="CE45">
            <v>171.17399091618668</v>
          </cell>
          <cell r="CF45">
            <v>300.27513051759678</v>
          </cell>
          <cell r="CK45">
            <v>10.930474288774992</v>
          </cell>
          <cell r="CL45">
            <v>65.707692457672323</v>
          </cell>
          <cell r="CN45">
            <v>10.597749676263019</v>
          </cell>
          <cell r="CO45">
            <v>3.3213220683870821</v>
          </cell>
          <cell r="CP45">
            <v>9.6235457386403702</v>
          </cell>
          <cell r="CR45">
            <v>4.5869170198612972</v>
          </cell>
          <cell r="CS45">
            <v>1.1805786772839268</v>
          </cell>
          <cell r="CT45">
            <v>2.7184506016049483</v>
          </cell>
          <cell r="CV45">
            <v>3.2454326045224313</v>
          </cell>
          <cell r="CW45">
            <v>0</v>
          </cell>
          <cell r="CX45">
            <v>0</v>
          </cell>
          <cell r="CZ45">
            <v>0</v>
          </cell>
        </row>
      </sheetData>
      <sheetData sheetId="3">
        <row r="45">
          <cell r="BS45">
            <v>3.7816450061770239</v>
          </cell>
          <cell r="BT45">
            <v>6.404222502682777</v>
          </cell>
          <cell r="BU45">
            <v>2.6185721009725627</v>
          </cell>
          <cell r="BV45">
            <v>1.4894719373791223</v>
          </cell>
          <cell r="BW45">
            <v>4.0152962797198324</v>
          </cell>
          <cell r="BX45">
            <v>0.31777487103481239</v>
          </cell>
          <cell r="BY45">
            <v>0</v>
          </cell>
          <cell r="BZ45">
            <v>0</v>
          </cell>
          <cell r="CA45">
            <v>2.9716320725707597</v>
          </cell>
          <cell r="CB45">
            <v>15064.434853555482</v>
          </cell>
          <cell r="CD45">
            <v>4913.620662003088</v>
          </cell>
          <cell r="CE45">
            <v>394.87469743075002</v>
          </cell>
          <cell r="CF45">
            <v>565.80083892645416</v>
          </cell>
          <cell r="CK45">
            <v>8.3371146276936887</v>
          </cell>
          <cell r="CL45">
            <v>52.841506437256854</v>
          </cell>
          <cell r="CN45">
            <v>7.8666891456754655</v>
          </cell>
          <cell r="CO45">
            <v>2.4612831414064922</v>
          </cell>
          <cell r="CP45">
            <v>8.2577814443908633</v>
          </cell>
          <cell r="CR45">
            <v>3.2577059507047625</v>
          </cell>
          <cell r="CS45">
            <v>1.5836049395122156</v>
          </cell>
          <cell r="CT45">
            <v>5.1838118644282716</v>
          </cell>
          <cell r="CV45">
            <v>3.0883809694517264</v>
          </cell>
          <cell r="CW45">
            <v>0</v>
          </cell>
          <cell r="CX45">
            <v>0</v>
          </cell>
          <cell r="CZ45">
            <v>0</v>
          </cell>
        </row>
      </sheetData>
      <sheetData sheetId="4">
        <row r="45">
          <cell r="BS45">
            <v>1.1920343191151526</v>
          </cell>
          <cell r="BT45">
            <v>6.7703532776575557</v>
          </cell>
          <cell r="BU45">
            <v>0.51674827079747609</v>
          </cell>
          <cell r="BV45">
            <v>1.6767991094506995</v>
          </cell>
          <cell r="BW45">
            <v>3.0603730963176439</v>
          </cell>
          <cell r="BX45">
            <v>0.55540193135801286</v>
          </cell>
          <cell r="BY45">
            <v>0</v>
          </cell>
          <cell r="BZ45">
            <v>0</v>
          </cell>
          <cell r="CA45">
            <v>2.5590174335942373</v>
          </cell>
          <cell r="CB45">
            <v>15098.450818073077</v>
          </cell>
          <cell r="CD45">
            <v>6370.6937679285411</v>
          </cell>
          <cell r="CE45">
            <v>1000</v>
          </cell>
          <cell r="CF45">
            <v>1298.0409493065438</v>
          </cell>
          <cell r="CK45">
            <v>6.9925170639009036</v>
          </cell>
          <cell r="CL45">
            <v>45.77678092215443</v>
          </cell>
          <cell r="CN45">
            <v>6.1983796519940384</v>
          </cell>
          <cell r="CO45">
            <v>1.6581320285922114</v>
          </cell>
          <cell r="CP45">
            <v>8.1290435212649843</v>
          </cell>
          <cell r="CR45">
            <v>1.7680226559301739</v>
          </cell>
          <cell r="CS45">
            <v>2.3314317995117175</v>
          </cell>
          <cell r="CT45">
            <v>9.8325533463523289</v>
          </cell>
          <cell r="CV45">
            <v>2.9241838881696665</v>
          </cell>
          <cell r="CW45">
            <v>0</v>
          </cell>
          <cell r="CX45">
            <v>0</v>
          </cell>
          <cell r="CZ45">
            <v>0</v>
          </cell>
        </row>
      </sheetData>
      <sheetData sheetId="5"/>
      <sheetData sheetId="6">
        <row r="3">
          <cell r="C3">
            <v>5629.85</v>
          </cell>
        </row>
        <row r="4">
          <cell r="B4">
            <v>1012</v>
          </cell>
        </row>
        <row r="5">
          <cell r="B5">
            <v>670</v>
          </cell>
        </row>
        <row r="7">
          <cell r="B7">
            <v>1012</v>
          </cell>
        </row>
        <row r="8">
          <cell r="B8">
            <v>28553</v>
          </cell>
        </row>
        <row r="10">
          <cell r="B10">
            <v>58997</v>
          </cell>
        </row>
        <row r="11">
          <cell r="B11">
            <v>75295</v>
          </cell>
        </row>
        <row r="14">
          <cell r="B14">
            <v>64704</v>
          </cell>
        </row>
        <row r="15">
          <cell r="B15">
            <v>77742</v>
          </cell>
        </row>
        <row r="16">
          <cell r="B16">
            <v>85212</v>
          </cell>
        </row>
        <row r="23">
          <cell r="D23">
            <v>8.2191780821917802E-4</v>
          </cell>
        </row>
        <row r="24">
          <cell r="D24">
            <v>2.3589041095890408E-2</v>
          </cell>
          <cell r="E24">
            <v>5.7534246575342458E-3</v>
          </cell>
        </row>
        <row r="25">
          <cell r="D25">
            <v>5.7534246575342458E-3</v>
          </cell>
          <cell r="E25">
            <v>4.6027397260273967E-2</v>
          </cell>
        </row>
        <row r="26">
          <cell r="D26">
            <v>5.7534246575342458E-3</v>
          </cell>
        </row>
        <row r="29">
          <cell r="C29">
            <v>5.0000000000000001E-4</v>
          </cell>
        </row>
        <row r="30">
          <cell r="C30">
            <v>0.01</v>
          </cell>
        </row>
        <row r="31">
          <cell r="C31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61"/>
  <sheetViews>
    <sheetView tabSelected="1" zoomScale="85" zoomScaleNormal="85" zoomScalePageLayoutView="85" workbookViewId="0">
      <selection activeCell="E65" sqref="E65"/>
    </sheetView>
  </sheetViews>
  <sheetFormatPr defaultColWidth="19.28515625" defaultRowHeight="15" x14ac:dyDescent="0.25"/>
  <cols>
    <col min="1" max="3" width="21.42578125" style="4" customWidth="1"/>
    <col min="4" max="4" width="26.85546875" style="4" customWidth="1"/>
    <col min="5" max="6" width="21.42578125" style="4" customWidth="1"/>
    <col min="7" max="7" width="21" style="4" customWidth="1"/>
    <col min="8" max="8" width="17.42578125" style="4" customWidth="1"/>
    <col min="9" max="10" width="19.28515625" style="4"/>
    <col min="11" max="11" width="22" style="4" customWidth="1"/>
    <col min="12" max="16384" width="19.28515625" style="4"/>
  </cols>
  <sheetData>
    <row r="1" spans="1:15" x14ac:dyDescent="0.25">
      <c r="A1" s="6" t="s">
        <v>11</v>
      </c>
      <c r="B1" s="188">
        <v>42443</v>
      </c>
      <c r="C1" s="6"/>
      <c r="D1" s="6"/>
      <c r="O1"/>
    </row>
    <row r="2" spans="1:15" x14ac:dyDescent="0.25">
      <c r="A2" s="6"/>
      <c r="B2" s="17" t="s">
        <v>5</v>
      </c>
      <c r="C2" s="144" t="s">
        <v>6</v>
      </c>
      <c r="D2" s="17" t="s">
        <v>7</v>
      </c>
      <c r="G2" s="17" t="s">
        <v>8</v>
      </c>
      <c r="H2" s="10"/>
      <c r="I2" s="11"/>
      <c r="J2" s="1"/>
      <c r="K2" s="1"/>
      <c r="O2"/>
    </row>
    <row r="3" spans="1:15" x14ac:dyDescent="0.25">
      <c r="A3" s="6" t="s">
        <v>87</v>
      </c>
      <c r="B3" s="1"/>
      <c r="C3" s="5"/>
      <c r="D3" s="1"/>
      <c r="E3" s="1"/>
      <c r="G3" s="6"/>
      <c r="H3" s="12"/>
      <c r="I3" s="13"/>
      <c r="J3" s="1"/>
      <c r="K3" s="1"/>
      <c r="O3"/>
    </row>
    <row r="4" spans="1:15" x14ac:dyDescent="0.25">
      <c r="A4" s="134" t="s">
        <v>0</v>
      </c>
      <c r="B4" s="128">
        <f>MGH!C36</f>
        <v>4839.0075461892047</v>
      </c>
      <c r="C4" s="129">
        <f>MGH!D36</f>
        <v>14.770716330892219</v>
      </c>
      <c r="D4" s="142"/>
      <c r="E4" s="142"/>
      <c r="F4" s="134"/>
      <c r="G4" s="143"/>
      <c r="H4" s="10"/>
      <c r="I4" s="11"/>
      <c r="J4" s="1"/>
      <c r="K4" s="1"/>
      <c r="O4"/>
    </row>
    <row r="5" spans="1:15" x14ac:dyDescent="0.25">
      <c r="A5" s="134" t="s">
        <v>3</v>
      </c>
      <c r="B5" s="128">
        <f>MGH!C37</f>
        <v>8867.079213794028</v>
      </c>
      <c r="C5" s="129">
        <f>MGH!D37</f>
        <v>14.975134379596524</v>
      </c>
      <c r="D5" s="136">
        <f>(B5-B$4)/(C5-C$4)</f>
        <v>19705.068574602788</v>
      </c>
      <c r="E5" s="137"/>
      <c r="F5" s="138"/>
      <c r="G5" s="135">
        <f>D5</f>
        <v>19705.068574602788</v>
      </c>
      <c r="H5" s="14"/>
      <c r="I5" s="15"/>
      <c r="J5" s="1"/>
      <c r="K5" s="18"/>
      <c r="O5"/>
    </row>
    <row r="6" spans="1:15" x14ac:dyDescent="0.25">
      <c r="A6" s="134" t="s">
        <v>2</v>
      </c>
      <c r="B6" s="128">
        <f>MGH!C38</f>
        <v>11473.72874457911</v>
      </c>
      <c r="C6" s="129">
        <f>MGH!D38</f>
        <v>14.989700324908611</v>
      </c>
      <c r="D6" s="139">
        <f>(B6-B$4)/(C6-C$4)</f>
        <v>30297.744947940126</v>
      </c>
      <c r="E6" s="140">
        <f>(B6-B$5)/(C6-C$5)</f>
        <v>178955.05406174867</v>
      </c>
      <c r="F6" s="138"/>
      <c r="G6" s="135">
        <f>E6</f>
        <v>178955.05406174867</v>
      </c>
      <c r="H6" s="14"/>
      <c r="I6" s="15"/>
      <c r="J6" s="1"/>
      <c r="K6" s="16"/>
      <c r="O6"/>
    </row>
    <row r="7" spans="1:15" x14ac:dyDescent="0.25">
      <c r="A7" s="134" t="s">
        <v>1</v>
      </c>
      <c r="B7" s="128">
        <f>MGH!C39</f>
        <v>12202.359134840312</v>
      </c>
      <c r="C7" s="129">
        <f>MGH!D39</f>
        <v>14.848189420310055</v>
      </c>
      <c r="D7" s="139">
        <f>(B7-B$4)/(C7-C$4)</f>
        <v>95043.990680922652</v>
      </c>
      <c r="E7" s="137">
        <f t="shared" ref="E7:E8" si="0">(B7-B$5)/(C7-C$5)</f>
        <v>-26273.433303639595</v>
      </c>
      <c r="F7" s="138">
        <f>(B7-B$6)/(C7-C$6)</f>
        <v>-5148.9345808947301</v>
      </c>
      <c r="G7" s="135"/>
      <c r="H7" s="10"/>
      <c r="I7" s="11"/>
      <c r="J7" s="1"/>
      <c r="K7" s="16"/>
      <c r="O7"/>
    </row>
    <row r="8" spans="1:15" x14ac:dyDescent="0.25">
      <c r="A8" s="134" t="s">
        <v>4</v>
      </c>
      <c r="B8" s="128">
        <f>MGH!C40</f>
        <v>14337.859176241602</v>
      </c>
      <c r="C8" s="129">
        <f>MGH!D40</f>
        <v>15.004451710699438</v>
      </c>
      <c r="D8" s="139">
        <f>(B8-B$4)/(C8-C$4)</f>
        <v>40639.340256861673</v>
      </c>
      <c r="E8" s="137">
        <f t="shared" si="0"/>
        <v>186605.66145134807</v>
      </c>
      <c r="F8" s="135">
        <f>(B8-B$6)/(C8-C$6)</f>
        <v>194160.09263641355</v>
      </c>
      <c r="G8" s="135">
        <f>F8</f>
        <v>194160.09263641355</v>
      </c>
      <c r="H8" s="10"/>
      <c r="I8" s="170"/>
      <c r="J8" s="169"/>
      <c r="K8" s="169"/>
      <c r="L8" s="169"/>
      <c r="O8"/>
    </row>
    <row r="9" spans="1:15" x14ac:dyDescent="0.25">
      <c r="G9" s="8"/>
      <c r="H9" s="10"/>
      <c r="I9" s="170"/>
      <c r="J9" s="170"/>
      <c r="K9" s="170"/>
      <c r="L9" s="170"/>
      <c r="O9"/>
    </row>
    <row r="10" spans="1:15" x14ac:dyDescent="0.25">
      <c r="A10" s="6" t="s">
        <v>92</v>
      </c>
      <c r="B10" s="185"/>
      <c r="C10" s="186"/>
      <c r="D10" s="176"/>
      <c r="E10" s="175"/>
      <c r="F10" s="187"/>
      <c r="G10" s="187"/>
      <c r="H10" s="10"/>
      <c r="I10" s="170"/>
      <c r="J10" s="175"/>
      <c r="K10" s="178"/>
      <c r="L10" s="175"/>
      <c r="O10"/>
    </row>
    <row r="11" spans="1:15" x14ac:dyDescent="0.25">
      <c r="A11" s="134" t="s">
        <v>0</v>
      </c>
      <c r="B11" s="128">
        <v>4413.4513358737904</v>
      </c>
      <c r="C11" s="129">
        <v>14.770716330892219</v>
      </c>
      <c r="D11" s="142"/>
      <c r="E11" s="142"/>
      <c r="F11" s="134"/>
      <c r="G11" s="143"/>
      <c r="H11" s="10"/>
      <c r="I11" s="168"/>
      <c r="J11" s="175"/>
      <c r="K11" s="178"/>
      <c r="L11" s="175"/>
      <c r="M11" s="8"/>
      <c r="N11" s="180"/>
      <c r="O11"/>
    </row>
    <row r="12" spans="1:15" x14ac:dyDescent="0.25">
      <c r="A12" s="134" t="s">
        <v>3</v>
      </c>
      <c r="B12" s="128">
        <v>8226.5194320712071</v>
      </c>
      <c r="C12" s="129">
        <v>14.975134379596524</v>
      </c>
      <c r="D12" s="136">
        <f>(B12-B$11)/(C12-C$11)</f>
        <v>18653.284875608511</v>
      </c>
      <c r="E12" s="137"/>
      <c r="F12" s="138"/>
      <c r="G12" s="135">
        <f>D12</f>
        <v>18653.284875608511</v>
      </c>
      <c r="H12" s="10"/>
      <c r="I12" s="168"/>
      <c r="J12" s="175"/>
      <c r="K12" s="178"/>
      <c r="L12" s="177"/>
      <c r="O12"/>
    </row>
    <row r="13" spans="1:15" x14ac:dyDescent="0.25">
      <c r="A13" s="134" t="s">
        <v>93</v>
      </c>
      <c r="B13" s="128">
        <v>10946.406195772995</v>
      </c>
      <c r="C13" s="129">
        <v>14.848189420310055</v>
      </c>
      <c r="D13" s="139">
        <f>(B13-B$11)/(C13-C$11)</f>
        <v>84325.472354212892</v>
      </c>
      <c r="E13" s="140">
        <f>(B13-B$12)/(C13-C$12)</f>
        <v>-21425.716932674637</v>
      </c>
      <c r="F13" s="138"/>
      <c r="G13" s="135"/>
      <c r="H13" s="10"/>
      <c r="I13" s="170"/>
      <c r="J13" s="175"/>
      <c r="K13" s="178"/>
      <c r="L13" s="175"/>
      <c r="O13"/>
    </row>
    <row r="14" spans="1:15" x14ac:dyDescent="0.25">
      <c r="A14" s="134" t="s">
        <v>2</v>
      </c>
      <c r="B14" s="128">
        <v>10574.952249399557</v>
      </c>
      <c r="C14" s="129">
        <v>14.989700324908611</v>
      </c>
      <c r="D14" s="139">
        <f>(B14-B$11)/(C14-C$11)</f>
        <v>28136.763790437286</v>
      </c>
      <c r="E14" s="137">
        <f>(B14-B$12)/(C14-C$12)</f>
        <v>161227.62834894907</v>
      </c>
      <c r="F14" s="138"/>
      <c r="G14" s="135">
        <f>E14</f>
        <v>161227.62834894907</v>
      </c>
      <c r="H14" s="10"/>
      <c r="I14" s="171"/>
      <c r="J14" s="176"/>
      <c r="K14" s="178"/>
      <c r="L14" s="177"/>
      <c r="O14"/>
    </row>
    <row r="15" spans="1:15" x14ac:dyDescent="0.25">
      <c r="A15" s="134" t="s">
        <v>4</v>
      </c>
      <c r="B15" s="128">
        <v>13928.91390437269</v>
      </c>
      <c r="C15" s="129">
        <v>15.004451710699438</v>
      </c>
      <c r="D15" s="139">
        <f>(B15-B$11)/(C15-C$11)</f>
        <v>40710.407540129636</v>
      </c>
      <c r="E15" s="137">
        <f>(B15-B$12)/(C15-C$12)</f>
        <v>194505.92048382468</v>
      </c>
      <c r="F15" s="135">
        <f>(B15-B$14)/(C15-C$14)</f>
        <v>227365.86938555323</v>
      </c>
      <c r="G15" s="135">
        <f>F15</f>
        <v>227365.86938555323</v>
      </c>
      <c r="H15" s="10"/>
      <c r="I15" s="171"/>
      <c r="J15" s="176"/>
      <c r="K15" s="178"/>
      <c r="L15" s="177"/>
      <c r="O15"/>
    </row>
    <row r="16" spans="1:15" x14ac:dyDescent="0.25">
      <c r="A16" s="148"/>
      <c r="B16" s="185"/>
      <c r="C16" s="186"/>
      <c r="D16" s="176"/>
      <c r="E16" s="175"/>
      <c r="F16" s="187"/>
      <c r="G16" s="187"/>
      <c r="H16" s="10"/>
      <c r="I16" s="173"/>
      <c r="J16" s="177"/>
      <c r="K16" s="178"/>
      <c r="L16" s="177"/>
      <c r="O16"/>
    </row>
    <row r="17" spans="1:15" x14ac:dyDescent="0.25">
      <c r="A17" s="6" t="s">
        <v>94</v>
      </c>
      <c r="B17" s="185"/>
      <c r="C17" s="186"/>
      <c r="D17" s="176"/>
      <c r="E17" s="175"/>
      <c r="F17" s="187"/>
      <c r="G17" s="187"/>
      <c r="H17" s="10"/>
      <c r="I17" s="168"/>
      <c r="J17" s="177"/>
      <c r="K17" s="178"/>
      <c r="L17" s="177"/>
      <c r="M17" s="8"/>
      <c r="N17" s="180"/>
      <c r="O17"/>
    </row>
    <row r="18" spans="1:15" x14ac:dyDescent="0.25">
      <c r="A18" s="134" t="s">
        <v>0</v>
      </c>
      <c r="B18" s="128">
        <v>3930.9055310877698</v>
      </c>
      <c r="C18" s="129">
        <v>14.770716330892219</v>
      </c>
      <c r="D18" s="142"/>
      <c r="E18" s="142"/>
      <c r="F18" s="134"/>
      <c r="G18" s="143"/>
      <c r="H18" s="10"/>
      <c r="I18" s="179"/>
      <c r="J18" s="177"/>
      <c r="K18" s="178"/>
      <c r="L18" s="177"/>
      <c r="O18"/>
    </row>
    <row r="19" spans="1:15" x14ac:dyDescent="0.25">
      <c r="A19" s="134" t="s">
        <v>3</v>
      </c>
      <c r="B19" s="128">
        <v>8156.184628926173</v>
      </c>
      <c r="C19" s="129">
        <v>14.975134379596524</v>
      </c>
      <c r="D19" s="136">
        <f>(B19-B$18)/(C19-C$18)</f>
        <v>20669.794690929459</v>
      </c>
      <c r="E19" s="137"/>
      <c r="F19" s="138"/>
      <c r="G19" s="135">
        <f>D19</f>
        <v>20669.794690929459</v>
      </c>
      <c r="H19" s="10"/>
      <c r="I19" s="173"/>
      <c r="J19" s="177"/>
      <c r="K19" s="178"/>
      <c r="L19" s="177"/>
      <c r="O19"/>
    </row>
    <row r="20" spans="1:15" x14ac:dyDescent="0.25">
      <c r="A20" s="134" t="s">
        <v>93</v>
      </c>
      <c r="B20" s="128">
        <v>10482.706527466831</v>
      </c>
      <c r="C20" s="129">
        <v>14.848189420310055</v>
      </c>
      <c r="D20" s="139">
        <f>(B20-B$18)/(C20-C$18)</f>
        <v>84568.732776915436</v>
      </c>
      <c r="E20" s="140">
        <f>(B20-B$19)/(C20-C$19)</f>
        <v>-18327.012837827922</v>
      </c>
      <c r="F20" s="138"/>
      <c r="G20" s="135"/>
      <c r="H20" s="10"/>
      <c r="I20" s="168"/>
      <c r="J20" s="177"/>
      <c r="K20" s="178"/>
      <c r="L20" s="177"/>
      <c r="O20"/>
    </row>
    <row r="21" spans="1:15" x14ac:dyDescent="0.25">
      <c r="A21" s="134" t="s">
        <v>2</v>
      </c>
      <c r="B21" s="128">
        <v>10897.682010546536</v>
      </c>
      <c r="C21" s="129">
        <v>14.989700324908611</v>
      </c>
      <c r="D21" s="139">
        <f>(B21-B$18)/(C21-C$18)</f>
        <v>31814.089932697338</v>
      </c>
      <c r="E21" s="137">
        <f>(B21-B$19)/(C21-C$19)</f>
        <v>188212.8020448733</v>
      </c>
      <c r="F21" s="138"/>
      <c r="G21" s="135">
        <f>E21</f>
        <v>188212.8020448733</v>
      </c>
      <c r="H21" s="10"/>
      <c r="I21" s="174"/>
      <c r="J21" s="176"/>
      <c r="K21" s="178"/>
      <c r="L21" s="177"/>
      <c r="O21"/>
    </row>
    <row r="22" spans="1:15" x14ac:dyDescent="0.25">
      <c r="A22" s="134" t="s">
        <v>4</v>
      </c>
      <c r="B22" s="134">
        <v>13899.099190804258</v>
      </c>
      <c r="C22" s="129">
        <v>15.004451710699438</v>
      </c>
      <c r="D22" s="139">
        <f>(B22-B$18)/(C22-C$18)</f>
        <v>42647.346190970558</v>
      </c>
      <c r="E22" s="137">
        <f>(B22-B$19)/(C22-C$19)</f>
        <v>195888.04116303526</v>
      </c>
      <c r="F22" s="135">
        <f>(B22-B$21)/(C22-C$21)</f>
        <v>203466.79442985443</v>
      </c>
      <c r="G22" s="135">
        <f>F22</f>
        <v>203466.79442985443</v>
      </c>
      <c r="H22" s="10"/>
      <c r="I22" s="174"/>
      <c r="J22" s="176"/>
      <c r="K22" s="178"/>
      <c r="L22" s="177"/>
      <c r="O22"/>
    </row>
    <row r="23" spans="1:15" x14ac:dyDescent="0.25">
      <c r="H23" s="10"/>
      <c r="I23" s="174"/>
      <c r="J23" s="176"/>
      <c r="K23" s="178"/>
      <c r="L23" s="177"/>
    </row>
    <row r="24" spans="1:15" x14ac:dyDescent="0.25">
      <c r="A24" s="6" t="s">
        <v>91</v>
      </c>
      <c r="G24" s="133"/>
      <c r="I24" s="168"/>
      <c r="J24" s="176"/>
      <c r="K24" s="178"/>
      <c r="L24" s="177"/>
      <c r="M24" s="8"/>
      <c r="N24" s="180"/>
    </row>
    <row r="25" spans="1:15" x14ac:dyDescent="0.25">
      <c r="A25" s="134" t="s">
        <v>0</v>
      </c>
      <c r="B25" s="128">
        <f>FHCRC!C36</f>
        <v>7221.0850501804116</v>
      </c>
      <c r="C25" s="129">
        <f>FHCRC!D36</f>
        <v>14.331372055408981</v>
      </c>
      <c r="D25" s="134"/>
      <c r="E25" s="134"/>
      <c r="F25" s="134"/>
      <c r="G25" s="141"/>
      <c r="I25" s="179"/>
      <c r="J25" s="176"/>
      <c r="K25" s="178"/>
      <c r="L25" s="177"/>
    </row>
    <row r="26" spans="1:15" x14ac:dyDescent="0.25">
      <c r="A26" s="134" t="s">
        <v>3</v>
      </c>
      <c r="B26" s="128">
        <f>FHCRC!C37</f>
        <v>12761.54310417118</v>
      </c>
      <c r="C26" s="129">
        <f>FHCRC!D37</f>
        <v>14.582023632101128</v>
      </c>
      <c r="D26" s="139">
        <f>(B26-B$25)/(C26-C$25)</f>
        <v>22104.221832985324</v>
      </c>
      <c r="E26" s="140"/>
      <c r="F26" s="141"/>
      <c r="G26" s="135"/>
      <c r="H26" s="8"/>
      <c r="I26" s="172"/>
      <c r="J26" s="176"/>
      <c r="K26" s="178"/>
      <c r="L26" s="177"/>
    </row>
    <row r="27" spans="1:15" x14ac:dyDescent="0.25">
      <c r="A27" s="134" t="s">
        <v>4</v>
      </c>
      <c r="B27" s="128">
        <f>FHCRC!C38</f>
        <v>13233.537915693683</v>
      </c>
      <c r="C27" s="129">
        <f>FHCRC!D38</f>
        <v>14.711085541311279</v>
      </c>
      <c r="D27" s="136">
        <f>(B27-B$25)/(C27-C$25)</f>
        <v>15834.183111053089</v>
      </c>
      <c r="E27" s="137"/>
      <c r="F27" s="141"/>
      <c r="G27" s="135">
        <f>D27</f>
        <v>15834.183111053089</v>
      </c>
      <c r="I27" s="168"/>
      <c r="J27" s="176"/>
      <c r="K27" s="178"/>
      <c r="L27" s="177"/>
    </row>
    <row r="28" spans="1:15" x14ac:dyDescent="0.25">
      <c r="A28" s="134" t="s">
        <v>1</v>
      </c>
      <c r="B28" s="128">
        <f>FHCRC!C39</f>
        <v>17847.811308049007</v>
      </c>
      <c r="C28" s="129">
        <f>FHCRC!D39</f>
        <v>14.343656153717316</v>
      </c>
      <c r="D28" s="139">
        <f>(B28-B$25)/(C28-C$25)</f>
        <v>865079.8773450196</v>
      </c>
      <c r="E28" s="137">
        <f>(B28-B$27)/(C28-C$27)</f>
        <v>-12558.258942135664</v>
      </c>
      <c r="F28" s="141"/>
      <c r="G28" s="135"/>
    </row>
    <row r="29" spans="1:15" x14ac:dyDescent="0.25">
      <c r="B29" s="9"/>
      <c r="C29" s="3"/>
      <c r="D29" s="17"/>
      <c r="E29" s="16"/>
      <c r="G29" s="133"/>
    </row>
    <row r="30" spans="1:15" x14ac:dyDescent="0.25">
      <c r="A30" s="6" t="s">
        <v>89</v>
      </c>
      <c r="G30" s="133"/>
      <c r="H30" s="8"/>
    </row>
    <row r="31" spans="1:15" x14ac:dyDescent="0.25">
      <c r="A31" s="134" t="s">
        <v>95</v>
      </c>
      <c r="B31" s="128">
        <v>7009.81</v>
      </c>
      <c r="C31" s="129">
        <v>14.33</v>
      </c>
      <c r="D31" s="134"/>
      <c r="E31" s="134"/>
      <c r="F31" s="134"/>
      <c r="G31" s="141"/>
      <c r="H31" s="8"/>
    </row>
    <row r="32" spans="1:15" x14ac:dyDescent="0.25">
      <c r="A32" s="134" t="s">
        <v>3</v>
      </c>
      <c r="B32" s="128">
        <v>12425.19</v>
      </c>
      <c r="C32" s="129">
        <v>14.58</v>
      </c>
      <c r="D32" s="139">
        <f>(B32-B$25)/(C32-C$25)</f>
        <v>20931.295387491857</v>
      </c>
      <c r="E32" s="140"/>
      <c r="F32" s="141"/>
      <c r="G32" s="135"/>
      <c r="H32" s="8"/>
    </row>
    <row r="33" spans="1:9" x14ac:dyDescent="0.25">
      <c r="A33" s="134" t="s">
        <v>4</v>
      </c>
      <c r="B33" s="128">
        <v>13063.66</v>
      </c>
      <c r="C33" s="129">
        <v>14.71</v>
      </c>
      <c r="D33" s="136">
        <f>(B33-B$25)/(C33-C$25)</f>
        <v>15430.913204598561</v>
      </c>
      <c r="E33" s="137"/>
      <c r="F33" s="141"/>
      <c r="G33" s="135">
        <f>D33</f>
        <v>15430.913204598561</v>
      </c>
      <c r="H33" s="8"/>
      <c r="I33" s="5"/>
    </row>
    <row r="34" spans="1:9" x14ac:dyDescent="0.25">
      <c r="A34" s="134" t="s">
        <v>1</v>
      </c>
      <c r="B34" s="128">
        <v>16713.66</v>
      </c>
      <c r="C34" s="129">
        <v>14.34</v>
      </c>
      <c r="D34" s="139">
        <f>(B34-B$25)/(C34-C$25)</f>
        <v>1100212.7852907425</v>
      </c>
      <c r="E34" s="137">
        <f>(B34-B$33)/(C34-C$27)</f>
        <v>-9836.0070486773693</v>
      </c>
      <c r="F34" s="141"/>
      <c r="G34" s="135"/>
      <c r="H34" s="8"/>
      <c r="I34" s="5"/>
    </row>
    <row r="35" spans="1:9" x14ac:dyDescent="0.25">
      <c r="A35" s="2"/>
      <c r="G35" s="133"/>
      <c r="I35" s="5"/>
    </row>
    <row r="36" spans="1:9" x14ac:dyDescent="0.25">
      <c r="A36" s="6" t="s">
        <v>90</v>
      </c>
      <c r="G36" s="133"/>
      <c r="I36" s="5"/>
    </row>
    <row r="37" spans="1:9" x14ac:dyDescent="0.25">
      <c r="A37" s="134" t="s">
        <v>0</v>
      </c>
      <c r="B37" s="128">
        <v>6298.51</v>
      </c>
      <c r="C37" s="129">
        <v>14.33</v>
      </c>
      <c r="D37" s="134"/>
      <c r="E37" s="134"/>
      <c r="F37" s="134"/>
      <c r="G37" s="141"/>
      <c r="H37" s="8"/>
      <c r="I37" s="5"/>
    </row>
    <row r="38" spans="1:9" x14ac:dyDescent="0.25">
      <c r="A38" s="134" t="s">
        <v>3</v>
      </c>
      <c r="B38" s="128">
        <v>10911.96</v>
      </c>
      <c r="C38" s="129">
        <v>14.58</v>
      </c>
      <c r="D38" s="139">
        <f>(B38-B$37)/(C38-C$37)</f>
        <v>18453.799999999996</v>
      </c>
      <c r="E38" s="140"/>
      <c r="F38" s="141"/>
      <c r="G38" s="135"/>
    </row>
    <row r="39" spans="1:9" x14ac:dyDescent="0.25">
      <c r="A39" s="134" t="s">
        <v>4</v>
      </c>
      <c r="B39" s="128">
        <v>12758.28</v>
      </c>
      <c r="C39" s="129">
        <v>14.71</v>
      </c>
      <c r="D39" s="136">
        <f>(B39-B$37)/(C39-C$37)</f>
        <v>16999.39473684207</v>
      </c>
      <c r="E39" s="137"/>
      <c r="F39" s="141"/>
      <c r="G39" s="135">
        <f>D39</f>
        <v>16999.39473684207</v>
      </c>
    </row>
    <row r="40" spans="1:9" x14ac:dyDescent="0.25">
      <c r="A40" s="134" t="s">
        <v>1</v>
      </c>
      <c r="B40" s="128">
        <v>13316.31</v>
      </c>
      <c r="C40" s="129">
        <v>14.34</v>
      </c>
      <c r="D40" s="139">
        <f>(B40-B$25)/(C40-C$25)</f>
        <v>706451.56392914103</v>
      </c>
      <c r="E40" s="137">
        <f>(B40-B$39)/(C34-C$27)</f>
        <v>-1503.7772639379236</v>
      </c>
      <c r="F40" s="141"/>
      <c r="G40" s="135"/>
    </row>
    <row r="41" spans="1:9" x14ac:dyDescent="0.25">
      <c r="G41" s="133"/>
    </row>
    <row r="42" spans="1:9" x14ac:dyDescent="0.25">
      <c r="A42" s="6" t="s">
        <v>88</v>
      </c>
      <c r="G42" s="133"/>
    </row>
    <row r="43" spans="1:9" x14ac:dyDescent="0.25">
      <c r="A43" s="134" t="s">
        <v>0</v>
      </c>
      <c r="B43" s="128">
        <f>ErasmusUW!C36</f>
        <v>3945.8120753557009</v>
      </c>
      <c r="C43" s="129">
        <f>ErasmusUW!D36</f>
        <v>14.817627268085841</v>
      </c>
      <c r="D43" s="134"/>
      <c r="E43" s="134"/>
      <c r="F43" s="134"/>
      <c r="G43" s="135"/>
    </row>
    <row r="44" spans="1:9" x14ac:dyDescent="0.25">
      <c r="A44" s="134" t="s">
        <v>3</v>
      </c>
      <c r="B44" s="128">
        <f>ErasmusUW!C37</f>
        <v>7394.9079214748645</v>
      </c>
      <c r="C44" s="129">
        <f>ErasmusUW!D37</f>
        <v>15.003201603877956</v>
      </c>
      <c r="D44" s="136">
        <f>(B44-B$43)/(C44-C$43)</f>
        <v>18586.060574577124</v>
      </c>
      <c r="E44" s="137"/>
      <c r="F44" s="138"/>
      <c r="G44" s="135">
        <f>D44</f>
        <v>18586.060574577124</v>
      </c>
    </row>
    <row r="45" spans="1:9" x14ac:dyDescent="0.25">
      <c r="A45" s="134" t="s">
        <v>2</v>
      </c>
      <c r="B45" s="128">
        <f>ErasmusUW!C38</f>
        <v>8279.4526056759569</v>
      </c>
      <c r="C45" s="129">
        <f>ErasmusUW!D38</f>
        <v>15.032472512833706</v>
      </c>
      <c r="D45" s="139">
        <f>(B45-B$43)/(C45-C$43)</f>
        <v>20170.986494981847</v>
      </c>
      <c r="E45" s="140">
        <f>(B45-B$44)/(C45-C$44)</f>
        <v>30219.242099324281</v>
      </c>
      <c r="F45" s="138"/>
      <c r="G45" s="135">
        <f>E45</f>
        <v>30219.242099324281</v>
      </c>
      <c r="H45" s="8"/>
    </row>
    <row r="46" spans="1:9" x14ac:dyDescent="0.25">
      <c r="A46" s="134" t="s">
        <v>1</v>
      </c>
      <c r="B46" s="128">
        <f>ErasmusUW!C39</f>
        <v>10234.648465251199</v>
      </c>
      <c r="C46" s="129">
        <f>ErasmusUW!D39</f>
        <v>14.890610026551123</v>
      </c>
      <c r="D46" s="139">
        <f>(B46-B$43)/(C46-C$43)</f>
        <v>86168.795509245683</v>
      </c>
      <c r="E46" s="137">
        <f>(B46-B$44)/(C46-C$44)</f>
        <v>-25221.607256935986</v>
      </c>
      <c r="F46" s="138">
        <f>(B46-B$45)/(C46-C$45)</f>
        <v>-13782.331825769499</v>
      </c>
      <c r="G46" s="135"/>
    </row>
    <row r="47" spans="1:9" x14ac:dyDescent="0.25">
      <c r="A47" s="134" t="s">
        <v>4</v>
      </c>
      <c r="B47" s="128">
        <f>ErasmusUW!C40</f>
        <v>13156.160036731855</v>
      </c>
      <c r="C47" s="129">
        <f>ErasmusUW!D40</f>
        <v>15.044801223598785</v>
      </c>
      <c r="D47" s="139">
        <f>(B47-B$43)/(C47-C$43)</f>
        <v>40543.150910850629</v>
      </c>
      <c r="E47" s="137">
        <f>(B47-B$44)/(C47-C$44)</f>
        <v>138492.90339479514</v>
      </c>
      <c r="F47" s="135">
        <f>(B47-B$45)/(C47-C$45)</f>
        <v>395556.9664971928</v>
      </c>
      <c r="G47" s="135">
        <f>F47</f>
        <v>395556.9664971928</v>
      </c>
    </row>
    <row r="48" spans="1:9" x14ac:dyDescent="0.25">
      <c r="G48" s="7"/>
    </row>
    <row r="49" spans="1:7" x14ac:dyDescent="0.25">
      <c r="A49" s="6" t="s">
        <v>96</v>
      </c>
      <c r="G49" s="133"/>
    </row>
    <row r="50" spans="1:7" x14ac:dyDescent="0.25">
      <c r="A50" s="134" t="s">
        <v>0</v>
      </c>
      <c r="B50" s="128">
        <v>3828.4340749982098</v>
      </c>
      <c r="C50" s="129">
        <v>14.817627268085841</v>
      </c>
      <c r="D50" s="134"/>
      <c r="E50" s="134"/>
      <c r="F50" s="134"/>
      <c r="G50" s="135"/>
    </row>
    <row r="51" spans="1:7" x14ac:dyDescent="0.25">
      <c r="A51" s="134" t="s">
        <v>3</v>
      </c>
      <c r="B51" s="128">
        <v>7287.8601347568356</v>
      </c>
      <c r="C51" s="129">
        <v>15.003201603877956</v>
      </c>
      <c r="D51" s="136">
        <f>(B51-B$50)/(C51-C$50)</f>
        <v>18641.726750588849</v>
      </c>
      <c r="E51" s="137"/>
      <c r="F51" s="138"/>
      <c r="G51" s="135">
        <f>D51</f>
        <v>18641.726750588849</v>
      </c>
    </row>
    <row r="52" spans="1:7" x14ac:dyDescent="0.25">
      <c r="A52" s="134" t="s">
        <v>2</v>
      </c>
      <c r="B52" s="128">
        <v>8188.9213586640235</v>
      </c>
      <c r="C52" s="129">
        <v>15.032472512833706</v>
      </c>
      <c r="D52" s="139">
        <f t="shared" ref="D52:D54" si="1">(B52-B$50)/(C52-C$50)</f>
        <v>20295.945059352518</v>
      </c>
      <c r="E52" s="140">
        <f>(B52-B$51)/(C52-C$51)</f>
        <v>30783.506766713464</v>
      </c>
      <c r="F52" s="138"/>
      <c r="G52" s="135">
        <f>E52</f>
        <v>30783.506766713464</v>
      </c>
    </row>
    <row r="53" spans="1:7" x14ac:dyDescent="0.25">
      <c r="A53" s="134" t="s">
        <v>1</v>
      </c>
      <c r="B53" s="128">
        <v>9954.1865069272317</v>
      </c>
      <c r="C53" s="129">
        <v>14.890610026551123</v>
      </c>
      <c r="D53" s="139">
        <f t="shared" si="1"/>
        <v>83934.240918601427</v>
      </c>
      <c r="E53" s="137">
        <f t="shared" ref="E53:E54" si="2">(B53-B$51)/(C53-C$51)</f>
        <v>-23681.401712940919</v>
      </c>
      <c r="F53" s="138">
        <f>(B53-B$52)/(C53-C$52)</f>
        <v>-12443.495067095324</v>
      </c>
      <c r="G53" s="135"/>
    </row>
    <row r="54" spans="1:7" x14ac:dyDescent="0.25">
      <c r="A54" s="134" t="s">
        <v>4</v>
      </c>
      <c r="B54" s="128">
        <v>13071.031806654017</v>
      </c>
      <c r="C54" s="129">
        <v>15.044801223598785</v>
      </c>
      <c r="D54" s="139">
        <f t="shared" si="1"/>
        <v>40685.111595590373</v>
      </c>
      <c r="E54" s="137">
        <f t="shared" si="2"/>
        <v>139019.82063075283</v>
      </c>
      <c r="F54" s="135">
        <f>(B54-B$52)/(C54-C$52)</f>
        <v>395995.21320741647</v>
      </c>
      <c r="G54" s="135">
        <f>F54</f>
        <v>395995.21320741647</v>
      </c>
    </row>
    <row r="55" spans="1:7" x14ac:dyDescent="0.25">
      <c r="G55" s="7"/>
    </row>
    <row r="56" spans="1:7" x14ac:dyDescent="0.25">
      <c r="A56" s="6" t="s">
        <v>97</v>
      </c>
      <c r="G56" s="133"/>
    </row>
    <row r="57" spans="1:7" x14ac:dyDescent="0.25">
      <c r="A57" s="134" t="s">
        <v>0</v>
      </c>
      <c r="B57" s="128">
        <v>3719.9110926339354</v>
      </c>
      <c r="C57" s="129">
        <v>14.817627268085841</v>
      </c>
      <c r="D57" s="134"/>
      <c r="E57" s="134"/>
      <c r="F57" s="134"/>
      <c r="G57" s="135"/>
    </row>
    <row r="58" spans="1:7" x14ac:dyDescent="0.25">
      <c r="A58" s="134" t="s">
        <v>3</v>
      </c>
      <c r="B58" s="128">
        <v>7196.2049633094239</v>
      </c>
      <c r="C58" s="129">
        <v>15.003201603877956</v>
      </c>
      <c r="D58" s="136">
        <f>(B58-B$43)/(C58-C$43)</f>
        <v>17515.314680123094</v>
      </c>
      <c r="E58" s="137"/>
      <c r="F58" s="138"/>
      <c r="G58" s="135">
        <f>D58</f>
        <v>17515.314680123094</v>
      </c>
    </row>
    <row r="59" spans="1:7" x14ac:dyDescent="0.25">
      <c r="A59" s="134" t="s">
        <v>2</v>
      </c>
      <c r="B59" s="128">
        <v>8109.6369410846728</v>
      </c>
      <c r="C59" s="129">
        <v>15.032472512833706</v>
      </c>
      <c r="D59" s="139">
        <f>(B59-B$43)/(C59-C$43)</f>
        <v>19380.577264418826</v>
      </c>
      <c r="E59" s="140">
        <f>(B59-B$44)/(C59-C$44)</f>
        <v>24417.725486088919</v>
      </c>
      <c r="F59" s="138"/>
      <c r="G59" s="135">
        <f>E59</f>
        <v>24417.725486088919</v>
      </c>
    </row>
    <row r="60" spans="1:7" x14ac:dyDescent="0.25">
      <c r="A60" s="134" t="s">
        <v>1</v>
      </c>
      <c r="B60" s="128">
        <v>9722.874947668548</v>
      </c>
      <c r="C60" s="129">
        <v>14.890610026551123</v>
      </c>
      <c r="D60" s="139">
        <f>(B60-B$43)/(C60-C$43)</f>
        <v>79156.543186306866</v>
      </c>
      <c r="E60" s="137">
        <f>(B60-B$44)/(C60-C$44)</f>
        <v>-20676.209370759629</v>
      </c>
      <c r="F60" s="138">
        <f>(B60-B$45)/(C60-C$45)</f>
        <v>-10174.799411856908</v>
      </c>
      <c r="G60" s="135"/>
    </row>
    <row r="61" spans="1:7" x14ac:dyDescent="0.25">
      <c r="A61" s="134" t="s">
        <v>4</v>
      </c>
      <c r="B61" s="128">
        <v>12993.070035958814</v>
      </c>
      <c r="C61" s="129">
        <v>15.044801223598785</v>
      </c>
      <c r="D61" s="139">
        <f>(B61-B$43)/(C61-C$43)</f>
        <v>39825.24290768717</v>
      </c>
      <c r="E61" s="137">
        <f>(B61-B$44)/(C61-C$44)</f>
        <v>134572.43484562275</v>
      </c>
      <c r="F61" s="135">
        <f>(B61-B$45)/(C61-C$45)</f>
        <v>382328.49485237215</v>
      </c>
      <c r="G61" s="135">
        <f>F61</f>
        <v>382328.49485237215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B71"/>
  <sheetViews>
    <sheetView workbookViewId="0">
      <selection activeCell="E15" sqref="E15:F15"/>
    </sheetView>
  </sheetViews>
  <sheetFormatPr defaultColWidth="8.85546875" defaultRowHeight="15" x14ac:dyDescent="0.25"/>
  <cols>
    <col min="1" max="1" width="20.7109375" style="127" customWidth="1"/>
    <col min="2" max="2" width="4.7109375" style="127" customWidth="1"/>
    <col min="3" max="3" width="13.28515625" style="127" customWidth="1"/>
    <col min="4" max="4" width="14" style="127" customWidth="1"/>
    <col min="5" max="5" width="11.28515625" style="127" bestFit="1" customWidth="1"/>
    <col min="6" max="6" width="12.140625" style="127" customWidth="1"/>
    <col min="7" max="7" width="13.42578125" style="127" bestFit="1" customWidth="1"/>
    <col min="8" max="8" width="13.28515625" style="127" customWidth="1"/>
    <col min="9" max="9" width="13.28515625" style="127" bestFit="1" customWidth="1"/>
    <col min="10" max="10" width="12.42578125" style="127" customWidth="1"/>
    <col min="11" max="11" width="14.42578125" style="127" customWidth="1"/>
    <col min="12" max="12" width="14" style="127" customWidth="1"/>
    <col min="13" max="13" width="10" style="127" bestFit="1" customWidth="1"/>
    <col min="14" max="14" width="13.28515625" style="127" customWidth="1"/>
    <col min="15" max="15" width="16.42578125" style="127" customWidth="1"/>
    <col min="16" max="16" width="16.28515625" style="127" bestFit="1" customWidth="1"/>
    <col min="17" max="17" width="11" style="127" bestFit="1" customWidth="1"/>
    <col min="18" max="18" width="14.42578125" style="127" customWidth="1"/>
    <col min="19" max="19" width="14.42578125" style="127" bestFit="1" customWidth="1"/>
    <col min="20" max="20" width="12.28515625" style="148" bestFit="1" customWidth="1"/>
    <col min="21" max="21" width="13.42578125" style="148" bestFit="1" customWidth="1"/>
    <col min="22" max="22" width="15.140625" style="127" customWidth="1"/>
    <col min="23" max="23" width="11" style="127" bestFit="1" customWidth="1"/>
    <col min="24" max="24" width="9.85546875" style="127" bestFit="1" customWidth="1"/>
    <col min="25" max="25" width="10.85546875" style="127" bestFit="1" customWidth="1"/>
    <col min="26" max="26" width="11" style="127" bestFit="1" customWidth="1"/>
    <col min="27" max="27" width="10" style="127" bestFit="1" customWidth="1"/>
    <col min="28" max="28" width="11" style="127" bestFit="1" customWidth="1"/>
    <col min="29" max="29" width="12.7109375" style="127" customWidth="1"/>
    <col min="30" max="30" width="11" style="127" bestFit="1" customWidth="1"/>
    <col min="31" max="31" width="10" style="127" bestFit="1" customWidth="1"/>
    <col min="32" max="32" width="11" style="127" bestFit="1" customWidth="1"/>
    <col min="33" max="33" width="11" style="127" customWidth="1"/>
    <col min="34" max="34" width="11" style="127" bestFit="1" customWidth="1"/>
    <col min="35" max="35" width="12.140625" style="127" bestFit="1" customWidth="1"/>
    <col min="36" max="36" width="11" style="127" bestFit="1" customWidth="1"/>
    <col min="37" max="37" width="11" style="127" customWidth="1"/>
    <col min="38" max="38" width="13.7109375" style="127" bestFit="1" customWidth="1"/>
    <col min="39" max="40" width="11" style="127" bestFit="1" customWidth="1"/>
    <col min="41" max="41" width="9.42578125" style="127" bestFit="1" customWidth="1"/>
    <col min="42" max="42" width="11" style="127" bestFit="1" customWidth="1"/>
    <col min="43" max="43" width="9.42578125" style="127" bestFit="1" customWidth="1"/>
    <col min="44" max="44" width="8.42578125" style="127" bestFit="1" customWidth="1"/>
    <col min="45" max="45" width="11" style="127" bestFit="1" customWidth="1"/>
    <col min="46" max="48" width="11" style="127" customWidth="1"/>
    <col min="49" max="49" width="8.85546875" style="127"/>
    <col min="50" max="50" width="15.7109375" style="127" bestFit="1" customWidth="1"/>
    <col min="51" max="51" width="18" style="127" bestFit="1" customWidth="1"/>
    <col min="52" max="52" width="8.85546875" style="127"/>
    <col min="53" max="53" width="11.7109375" style="127" customWidth="1"/>
    <col min="54" max="16384" width="8.85546875" style="127"/>
  </cols>
  <sheetData>
    <row r="1" spans="1:54" x14ac:dyDescent="0.25">
      <c r="A1" s="33" t="s">
        <v>12</v>
      </c>
      <c r="B1" s="33"/>
      <c r="C1" s="34" t="s">
        <v>13</v>
      </c>
      <c r="D1" s="33"/>
      <c r="E1" s="33" t="s">
        <v>14</v>
      </c>
      <c r="F1" s="33"/>
      <c r="G1" s="33"/>
      <c r="H1" s="33"/>
      <c r="I1" s="33"/>
      <c r="J1" s="33"/>
      <c r="K1" s="33"/>
      <c r="L1" s="33"/>
      <c r="M1" s="33"/>
      <c r="N1" s="33"/>
      <c r="O1" s="24"/>
      <c r="P1" s="24"/>
    </row>
    <row r="2" spans="1:54" x14ac:dyDescent="0.25">
      <c r="A2" s="24" t="s">
        <v>15</v>
      </c>
      <c r="B2" s="24"/>
      <c r="C2" s="29" t="s">
        <v>16</v>
      </c>
      <c r="D2" s="30"/>
      <c r="E2" s="30" t="s">
        <v>17</v>
      </c>
      <c r="F2" s="30"/>
      <c r="G2" s="30" t="s">
        <v>18</v>
      </c>
      <c r="H2" s="30"/>
      <c r="I2" s="30" t="s">
        <v>52</v>
      </c>
      <c r="J2" s="30"/>
      <c r="K2" s="35" t="s">
        <v>19</v>
      </c>
      <c r="L2" s="30" t="s">
        <v>20</v>
      </c>
      <c r="M2" s="30"/>
      <c r="N2" s="36" t="s">
        <v>20</v>
      </c>
      <c r="O2" s="30" t="s">
        <v>21</v>
      </c>
      <c r="P2" s="37" t="s">
        <v>6</v>
      </c>
    </row>
    <row r="3" spans="1:54" x14ac:dyDescent="0.25">
      <c r="A3" s="27" t="s">
        <v>22</v>
      </c>
      <c r="B3" s="24"/>
      <c r="C3" s="38" t="s">
        <v>23</v>
      </c>
      <c r="D3" s="39" t="s">
        <v>24</v>
      </c>
      <c r="E3" s="39" t="s">
        <v>23</v>
      </c>
      <c r="F3" s="39" t="s">
        <v>24</v>
      </c>
      <c r="G3" s="39" t="s">
        <v>23</v>
      </c>
      <c r="H3" s="39" t="s">
        <v>24</v>
      </c>
      <c r="I3" s="39" t="s">
        <v>23</v>
      </c>
      <c r="J3" s="39" t="s">
        <v>24</v>
      </c>
      <c r="K3" s="40"/>
      <c r="L3" s="39" t="s">
        <v>23</v>
      </c>
      <c r="M3" s="39" t="s">
        <v>24</v>
      </c>
      <c r="N3" s="41" t="s">
        <v>25</v>
      </c>
      <c r="O3" s="39"/>
      <c r="P3" s="42"/>
    </row>
    <row r="4" spans="1:54" x14ac:dyDescent="0.25">
      <c r="A4" s="24" t="s">
        <v>26</v>
      </c>
      <c r="B4" s="24"/>
      <c r="C4" s="43">
        <f>[1]NH!BS45</f>
        <v>14.889021456290948</v>
      </c>
      <c r="D4" s="43">
        <f>[1]NH!BT45</f>
        <v>0</v>
      </c>
      <c r="E4" s="43">
        <f>[1]NH!BU45</f>
        <v>15.386218221705573</v>
      </c>
      <c r="F4" s="43">
        <f>[1]NH!BV45</f>
        <v>0</v>
      </c>
      <c r="G4" s="43">
        <f>[1]NH!BW45</f>
        <v>17.226422325330304</v>
      </c>
      <c r="H4" s="43">
        <f>[1]NH!BX45</f>
        <v>0</v>
      </c>
      <c r="I4" s="43">
        <f>[1]NH!BY45</f>
        <v>5.6771403671560847</v>
      </c>
      <c r="J4" s="43">
        <f>[1]NH!BZ45</f>
        <v>0</v>
      </c>
      <c r="K4" s="43">
        <f>[1]NH!CA45</f>
        <v>0</v>
      </c>
      <c r="L4" s="44">
        <f>C4+E4+G4+I4</f>
        <v>53.178802370482913</v>
      </c>
      <c r="M4" s="44">
        <f>D4+F4+H4+J4</f>
        <v>0</v>
      </c>
      <c r="N4" s="45">
        <f>SUM(L4:M4)</f>
        <v>53.178802370482913</v>
      </c>
      <c r="O4" s="46">
        <f>[1]NH!CB45</f>
        <v>14811.763284141574</v>
      </c>
      <c r="P4" s="47">
        <f>(O4-(C12*C$19)-(E12*E$19)-(F12*F$19)-(H12*H$19+I12*I$19+J12*J$19)-(C23*C$30)-((D23)*D$30)-((E23)*E$30)-((F23+G23+H23)*F$30)-((I23+J23+K23)*I$30)-(L23*L$30)-(M23*M$30)-(N23*N$30)-(K4*C$30))/1000</f>
        <v>14.770716330892219</v>
      </c>
      <c r="Q4" s="152"/>
      <c r="Y4" s="93"/>
      <c r="AW4" s="149"/>
      <c r="AX4" s="149"/>
      <c r="AY4" s="149"/>
      <c r="BA4" s="149"/>
      <c r="BB4" s="153"/>
    </row>
    <row r="5" spans="1:54" x14ac:dyDescent="0.25">
      <c r="A5" s="24" t="s">
        <v>27</v>
      </c>
      <c r="B5" s="24"/>
      <c r="C5" s="43">
        <f>[1]S!BS45</f>
        <v>4.1906847557861662</v>
      </c>
      <c r="D5" s="43">
        <f>[1]S!BT45</f>
        <v>54.134275674280204</v>
      </c>
      <c r="E5" s="43">
        <f>[1]S!BU45</f>
        <v>2.3130694861178087</v>
      </c>
      <c r="F5" s="43">
        <f>[1]S!BV45</f>
        <v>3.974083562963028</v>
      </c>
      <c r="G5" s="43">
        <f>[1]S!BW45</f>
        <v>2.1877359977197393</v>
      </c>
      <c r="H5" s="43">
        <f>[1]S!BX45</f>
        <v>0.37802313945497129</v>
      </c>
      <c r="I5" s="43">
        <f>[1]S!BY45</f>
        <v>1.6056553076106466</v>
      </c>
      <c r="J5" s="43">
        <f>[1]S!BZ45</f>
        <v>0</v>
      </c>
      <c r="K5" s="43">
        <f>[1]S!CA45</f>
        <v>9.4449473795240415</v>
      </c>
      <c r="L5" s="44">
        <f t="shared" ref="L5:M8" si="0">C5+E5+G5+I5</f>
        <v>10.297145547234361</v>
      </c>
      <c r="M5" s="44">
        <f t="shared" si="0"/>
        <v>58.486382376698209</v>
      </c>
      <c r="N5" s="45">
        <f t="shared" ref="N5:N8" si="1">SUM(L5:M5)</f>
        <v>68.783527923932567</v>
      </c>
      <c r="O5" s="46">
        <f>[1]S!CB45</f>
        <v>14891.833916824451</v>
      </c>
      <c r="P5" s="47">
        <f t="shared" ref="P5:P8" si="2">(O5-(C13*C$19)-(E13*E$19)-(F13*F$19)-(H13*H$19+I13*I$19+J13*J$19)-(C24*C$30)-((D24)*D$30)-((E24)*E$30)-((F24+G24+H24)*F$30)-((I24+J24+K24)*I$30)-(L24*L$30)-(M24*M$30)-(N24*N$30)-(K5*C$30))/1000</f>
        <v>14.848189420310055</v>
      </c>
      <c r="Q5" s="152"/>
      <c r="Y5" s="93"/>
      <c r="Z5" s="154"/>
      <c r="AW5" s="149"/>
      <c r="AX5" s="149"/>
      <c r="AY5" s="149"/>
      <c r="BA5" s="149"/>
      <c r="BB5" s="153"/>
    </row>
    <row r="6" spans="1:54" x14ac:dyDescent="0.25">
      <c r="A6" s="24" t="s">
        <v>28</v>
      </c>
      <c r="B6" s="24"/>
      <c r="C6" s="43">
        <f>[1]HGD!BS45</f>
        <v>3.2033027642409388</v>
      </c>
      <c r="D6" s="43">
        <f>[1]HGD!BT45</f>
        <v>20.343122277220861</v>
      </c>
      <c r="E6" s="43">
        <f>[1]HGD!BU45</f>
        <v>1.8547270829663542</v>
      </c>
      <c r="F6" s="43">
        <f>[1]HGD!BV45</f>
        <v>2.8637149821018157</v>
      </c>
      <c r="G6" s="43">
        <f>[1]HGD!BW45</f>
        <v>1.6402550884823999</v>
      </c>
      <c r="H6" s="43">
        <f>[1]HGD!BX45</f>
        <v>0.41918046918105495</v>
      </c>
      <c r="I6" s="43">
        <f>[1]HGD!BY45</f>
        <v>1.2241215624264705</v>
      </c>
      <c r="J6" s="43">
        <f>[1]HGD!BZ45</f>
        <v>0</v>
      </c>
      <c r="K6" s="43">
        <f>[1]HGD!CA45</f>
        <v>3.4010584302399494</v>
      </c>
      <c r="L6" s="44">
        <f t="shared" si="0"/>
        <v>7.9224064981161639</v>
      </c>
      <c r="M6" s="44">
        <f t="shared" si="0"/>
        <v>23.626017728503729</v>
      </c>
      <c r="N6" s="45">
        <f t="shared" si="1"/>
        <v>31.548424226619893</v>
      </c>
      <c r="O6" s="46">
        <f>[1]HGD!CB45</f>
        <v>15004.087186057033</v>
      </c>
      <c r="P6" s="47">
        <f t="shared" si="2"/>
        <v>14.975134379596524</v>
      </c>
      <c r="Q6" s="152"/>
      <c r="Y6" s="93"/>
      <c r="Z6" s="154"/>
      <c r="BA6" s="149"/>
      <c r="BB6" s="153"/>
    </row>
    <row r="7" spans="1:54" x14ac:dyDescent="0.25">
      <c r="A7" s="24" t="s">
        <v>29</v>
      </c>
      <c r="B7" s="24"/>
      <c r="C7" s="43">
        <f>[1]LGD!BS45</f>
        <v>2.213719886674097</v>
      </c>
      <c r="D7" s="43">
        <f>[1]LGD!BT45</f>
        <v>16.986545747941175</v>
      </c>
      <c r="E7" s="43">
        <f>[1]LGD!BU45</f>
        <v>1.2408622271034457</v>
      </c>
      <c r="F7" s="43">
        <f>[1]LGD!BV45</f>
        <v>2.1875508708293716</v>
      </c>
      <c r="G7" s="43">
        <f>[1]LGD!BW45</f>
        <v>1.0683442864794532</v>
      </c>
      <c r="H7" s="43">
        <f>[1]LGD!BX45</f>
        <v>0.30990168808825724</v>
      </c>
      <c r="I7" s="43">
        <f>[1]LGD!BY45</f>
        <v>0.84240349785344493</v>
      </c>
      <c r="J7" s="43">
        <f>[1]LGD!BZ45</f>
        <v>0</v>
      </c>
      <c r="K7" s="43">
        <f>[1]LGD!CA45</f>
        <v>1.7983095924420403</v>
      </c>
      <c r="L7" s="44">
        <f t="shared" si="0"/>
        <v>5.3653298981104403</v>
      </c>
      <c r="M7" s="44">
        <f t="shared" si="0"/>
        <v>19.483998306858805</v>
      </c>
      <c r="N7" s="45">
        <f>SUM(L7:M7)</f>
        <v>24.849328204969247</v>
      </c>
      <c r="O7" s="46">
        <f>[1]LGD!CB45</f>
        <v>15026.240615191336</v>
      </c>
      <c r="P7" s="47">
        <f t="shared" si="2"/>
        <v>14.989700324908611</v>
      </c>
      <c r="Q7" s="152"/>
      <c r="Y7" s="93"/>
      <c r="Z7" s="154"/>
      <c r="AM7" s="155"/>
      <c r="BA7" s="149"/>
      <c r="BB7" s="153"/>
    </row>
    <row r="8" spans="1:54" x14ac:dyDescent="0.25">
      <c r="A8" s="24" t="s">
        <v>30</v>
      </c>
      <c r="B8" s="24"/>
      <c r="C8" s="52">
        <f>[1]BE!BS45</f>
        <v>1.3283353778454934</v>
      </c>
      <c r="D8" s="52">
        <f>[1]BE!BT45</f>
        <v>13.9828694075721</v>
      </c>
      <c r="E8" s="52">
        <f>[1]BE!BU45</f>
        <v>0.73551774652157798</v>
      </c>
      <c r="F8" s="52">
        <f>[1]BE!BV45</f>
        <v>1.3028892405421491</v>
      </c>
      <c r="G8" s="52">
        <f>[1]BE!BW45</f>
        <v>0.66895302308904392</v>
      </c>
      <c r="H8" s="52">
        <f>[1]BE!BX45</f>
        <v>0.14622701166140817</v>
      </c>
      <c r="I8" s="52">
        <f>[1]BE!BY45</f>
        <v>0.51143876098720265</v>
      </c>
      <c r="J8" s="52">
        <f>[1]BE!BZ45</f>
        <v>0</v>
      </c>
      <c r="K8" s="52">
        <f>[1]BE!CA45</f>
        <v>1.7143040702478904</v>
      </c>
      <c r="L8" s="53">
        <f t="shared" si="0"/>
        <v>3.2442449084433176</v>
      </c>
      <c r="M8" s="53">
        <f t="shared" si="0"/>
        <v>15.431985659775656</v>
      </c>
      <c r="N8" s="54">
        <f t="shared" si="1"/>
        <v>18.676230568218973</v>
      </c>
      <c r="O8" s="55">
        <f>[1]BE!CB45</f>
        <v>15049.919134745107</v>
      </c>
      <c r="P8" s="47">
        <f t="shared" si="2"/>
        <v>15.004451710699438</v>
      </c>
      <c r="Q8" s="152"/>
      <c r="Y8" s="93"/>
      <c r="Z8" s="154"/>
      <c r="AM8" s="155"/>
      <c r="BA8" s="149"/>
      <c r="BB8" s="153"/>
    </row>
    <row r="9" spans="1:54" x14ac:dyDescent="0.25">
      <c r="A9" s="24"/>
      <c r="B9" s="24"/>
      <c r="C9" s="38"/>
      <c r="D9" s="42"/>
      <c r="E9" s="24"/>
      <c r="F9" s="24"/>
      <c r="G9" s="42"/>
      <c r="H9" s="24"/>
      <c r="I9" s="24"/>
      <c r="J9" s="24"/>
      <c r="K9" s="42"/>
      <c r="L9" s="56" t="s">
        <v>31</v>
      </c>
      <c r="M9" s="24"/>
      <c r="N9" s="24"/>
      <c r="O9" s="24"/>
      <c r="P9" s="24"/>
      <c r="Y9" s="93"/>
    </row>
    <row r="10" spans="1:54" x14ac:dyDescent="0.25">
      <c r="A10" s="33"/>
      <c r="B10" s="33"/>
      <c r="C10" s="57" t="s">
        <v>32</v>
      </c>
      <c r="D10" s="58" t="s">
        <v>5</v>
      </c>
      <c r="E10" s="57" t="s">
        <v>33</v>
      </c>
      <c r="F10" s="33" t="s">
        <v>34</v>
      </c>
      <c r="G10" s="58" t="s">
        <v>5</v>
      </c>
      <c r="H10" s="57" t="s">
        <v>35</v>
      </c>
      <c r="I10" s="33"/>
      <c r="J10" s="33"/>
      <c r="K10" s="58" t="s">
        <v>5</v>
      </c>
      <c r="L10" s="59" t="s">
        <v>5</v>
      </c>
      <c r="M10" s="24"/>
      <c r="N10" s="24"/>
      <c r="O10" s="24"/>
      <c r="P10" s="24"/>
    </row>
    <row r="11" spans="1:54" x14ac:dyDescent="0.25">
      <c r="A11" s="24"/>
      <c r="B11" s="24"/>
      <c r="C11" s="38"/>
      <c r="D11" s="42"/>
      <c r="E11" s="38"/>
      <c r="F11" s="39"/>
      <c r="G11" s="42"/>
      <c r="H11" s="38" t="s">
        <v>36</v>
      </c>
      <c r="I11" s="39" t="s">
        <v>37</v>
      </c>
      <c r="J11" s="32" t="s">
        <v>53</v>
      </c>
      <c r="K11" s="42"/>
      <c r="L11" s="56"/>
      <c r="M11" s="24"/>
      <c r="N11" s="24"/>
      <c r="O11" s="24"/>
      <c r="P11" s="24"/>
    </row>
    <row r="12" spans="1:54" x14ac:dyDescent="0.25">
      <c r="A12" s="24" t="s">
        <v>0</v>
      </c>
      <c r="B12" s="24"/>
      <c r="C12" s="60">
        <f>[1]NH!CD45</f>
        <v>0</v>
      </c>
      <c r="D12" s="61">
        <f>C12*C$18</f>
        <v>0</v>
      </c>
      <c r="E12" s="60">
        <f>[1]NH!CE45</f>
        <v>0</v>
      </c>
      <c r="F12" s="60">
        <f>[1]NH!CF45</f>
        <v>0</v>
      </c>
      <c r="G12" s="62">
        <f>E12*E$18+F12*F$18</f>
        <v>0</v>
      </c>
      <c r="H12" s="60">
        <f>(E12)*[1]Variables!$C$31</f>
        <v>0</v>
      </c>
      <c r="I12" s="60">
        <f>(E12*3.55+F12+C12)*[1]Variables!$C$29</f>
        <v>0</v>
      </c>
      <c r="J12" s="60">
        <f>(E12)*[1]Variables!$C$30</f>
        <v>0</v>
      </c>
      <c r="K12" s="63">
        <f>H12*H$18+I12*I$18+J12*J$18</f>
        <v>0</v>
      </c>
      <c r="L12" s="64">
        <f>K4*L$18</f>
        <v>0</v>
      </c>
      <c r="M12" s="24"/>
      <c r="N12" s="24"/>
      <c r="O12" s="86"/>
      <c r="P12" s="86"/>
    </row>
    <row r="13" spans="1:54" x14ac:dyDescent="0.25">
      <c r="A13" s="24" t="s">
        <v>38</v>
      </c>
      <c r="B13" s="24"/>
      <c r="C13" s="65">
        <f>[1]S!CD45</f>
        <v>5571.2403924405744</v>
      </c>
      <c r="D13" s="61">
        <f>C13*C$18</f>
        <v>3732731.0629351847</v>
      </c>
      <c r="E13" s="60">
        <f>[1]S!CE45</f>
        <v>0</v>
      </c>
      <c r="F13" s="60">
        <f>[1]S!CF45</f>
        <v>0</v>
      </c>
      <c r="G13" s="62">
        <f>E13*E$18+F13*F$18</f>
        <v>0</v>
      </c>
      <c r="H13" s="60">
        <f>(E13)*[1]Variables!$C$31</f>
        <v>0</v>
      </c>
      <c r="I13" s="60">
        <f>(E13*3.55+F13+C13)*[1]Variables!$C$29</f>
        <v>2.7856201962202873</v>
      </c>
      <c r="J13" s="60">
        <f>(E13)*[1]Variables!$C$30</f>
        <v>0</v>
      </c>
      <c r="K13" s="63">
        <f>H13*H$18+I13*I$18+J13*J$18</f>
        <v>79537.813462677863</v>
      </c>
      <c r="L13" s="64">
        <f>K5*L$18</f>
        <v>18578.211495523788</v>
      </c>
      <c r="M13" s="24"/>
      <c r="N13" s="66"/>
      <c r="O13" s="86"/>
      <c r="P13" s="86"/>
    </row>
    <row r="14" spans="1:54" x14ac:dyDescent="0.25">
      <c r="A14" s="24" t="s">
        <v>10</v>
      </c>
      <c r="B14" s="24"/>
      <c r="C14" s="65">
        <f>[1]HGD!CD45</f>
        <v>6089.5166794420193</v>
      </c>
      <c r="D14" s="61">
        <f>C14*C$18</f>
        <v>4079976.1752261529</v>
      </c>
      <c r="E14" s="67">
        <f>[1]HGD!CE45</f>
        <v>167.8069299257649</v>
      </c>
      <c r="F14" s="67">
        <f>[1]HGD!CF45</f>
        <v>14.259095103318908</v>
      </c>
      <c r="G14" s="62">
        <f>E14*E$18+F14*F$18</f>
        <v>959158.04868712625</v>
      </c>
      <c r="H14" s="60">
        <f>(E14)*[1]Variables!$C$31</f>
        <v>8.3903464962882452</v>
      </c>
      <c r="I14" s="60">
        <f>(E14*3.55+F14+C14)*[1]Variables!$C$29</f>
        <v>3.3497451878909019</v>
      </c>
      <c r="J14" s="60">
        <f>(E14)*[1]Variables!$C$30</f>
        <v>1.6780692992576491</v>
      </c>
      <c r="K14" s="63">
        <f>H14*H$18+I14*I$18+J14*J$18</f>
        <v>105834.51113494138</v>
      </c>
      <c r="L14" s="64">
        <f>K6*L$18</f>
        <v>6689.88193228198</v>
      </c>
      <c r="M14" s="24"/>
      <c r="N14" s="66"/>
      <c r="O14" s="86"/>
      <c r="P14" s="86"/>
    </row>
    <row r="15" spans="1:54" x14ac:dyDescent="0.25">
      <c r="A15" s="24" t="s">
        <v>9</v>
      </c>
      <c r="B15" s="24"/>
      <c r="C15" s="65">
        <f>[1]LGD!CD45</f>
        <v>7146.6117609115272</v>
      </c>
      <c r="D15" s="61">
        <f>C15*C$18</f>
        <v>4788229.8798107235</v>
      </c>
      <c r="E15" s="67">
        <f>[1]LGD!CE45</f>
        <v>602.75252579210508</v>
      </c>
      <c r="F15" s="67">
        <f>[1]LGD!CF45</f>
        <v>154.11671403311189</v>
      </c>
      <c r="G15" s="62">
        <f>E15*E$18+F15*F$18</f>
        <v>3549372.4219321921</v>
      </c>
      <c r="H15" s="60">
        <f>(E15)*[1]Variables!$C$31</f>
        <v>30.137626289605254</v>
      </c>
      <c r="I15" s="60">
        <f>(E15*3.55+F15+C15)*[1]Variables!$C$29</f>
        <v>4.7202499707533061</v>
      </c>
      <c r="J15" s="60">
        <f>(E15)*[1]Variables!$C$30</f>
        <v>6.0275252579210505</v>
      </c>
      <c r="K15" s="63">
        <f>H15*H$18+I15*I$18+J15*J$18</f>
        <v>171376.43078101578</v>
      </c>
      <c r="L15" s="64">
        <f>K7*L$18</f>
        <v>3537.2749683334932</v>
      </c>
      <c r="M15" s="24"/>
      <c r="N15" s="66"/>
      <c r="O15" s="86"/>
      <c r="P15" s="86"/>
    </row>
    <row r="16" spans="1:54" x14ac:dyDescent="0.25">
      <c r="A16" s="24" t="s">
        <v>39</v>
      </c>
      <c r="B16" s="24"/>
      <c r="C16" s="65">
        <f>[1]BE!CD45</f>
        <v>8290.840506057235</v>
      </c>
      <c r="D16" s="61">
        <f>C16*C$18</f>
        <v>5554863.1390583478</v>
      </c>
      <c r="E16" s="67">
        <f>[1]BE!CE45</f>
        <v>1000</v>
      </c>
      <c r="F16" s="67">
        <f>[1]BE!CF45</f>
        <v>654.44857811110319</v>
      </c>
      <c r="G16" s="62">
        <f>E16*E$18+F16*F$18</f>
        <v>6292151.9610484364</v>
      </c>
      <c r="H16" s="60">
        <f>(E16)*[1]Variables!$C$31</f>
        <v>50</v>
      </c>
      <c r="I16" s="60">
        <f>(E16*3.55+F16+C16)*[1]Variables!$C$29</f>
        <v>6.2476445420841697</v>
      </c>
      <c r="J16" s="60">
        <f>(E16)*[1]Variables!$C$30</f>
        <v>10</v>
      </c>
      <c r="K16" s="63">
        <f>H16*H$18+I16*I$18+J16*J$18</f>
        <v>239108.9946101293</v>
      </c>
      <c r="L16" s="64">
        <f>K8*L$18</f>
        <v>3372.0361061776007</v>
      </c>
      <c r="M16" s="24"/>
      <c r="N16" s="66"/>
      <c r="O16" s="86"/>
      <c r="P16" s="86"/>
    </row>
    <row r="17" spans="1:35" x14ac:dyDescent="0.25">
      <c r="A17" s="24"/>
      <c r="B17" s="24"/>
      <c r="C17" s="38"/>
      <c r="D17" s="42"/>
      <c r="E17" s="38"/>
      <c r="F17" s="68"/>
      <c r="G17" s="69"/>
      <c r="H17" s="70"/>
      <c r="I17" s="39"/>
      <c r="J17" s="39"/>
      <c r="K17" s="42"/>
      <c r="L17" s="56"/>
      <c r="M17" s="24"/>
      <c r="N17" s="66"/>
      <c r="O17" s="66"/>
      <c r="P17" s="66"/>
      <c r="T17" s="127"/>
      <c r="U17" s="127"/>
    </row>
    <row r="18" spans="1:35" x14ac:dyDescent="0.25">
      <c r="A18" s="71" t="s">
        <v>40</v>
      </c>
      <c r="B18" s="71"/>
      <c r="C18" s="72">
        <f>[1]Variables!B5</f>
        <v>670</v>
      </c>
      <c r="D18" s="73"/>
      <c r="E18" s="74">
        <f>[1]Variables!C3</f>
        <v>5629.85</v>
      </c>
      <c r="F18" s="75">
        <f>[1]Variables!B4</f>
        <v>1012</v>
      </c>
      <c r="G18" s="76"/>
      <c r="H18" s="74">
        <f>[1]Variables!B7</f>
        <v>1012</v>
      </c>
      <c r="I18" s="75">
        <f>[1]Variables!B8</f>
        <v>28553</v>
      </c>
      <c r="J18" s="75">
        <f>[1]Variables!B7</f>
        <v>1012</v>
      </c>
      <c r="K18" s="77"/>
      <c r="L18" s="74">
        <v>1967</v>
      </c>
      <c r="M18" s="78"/>
      <c r="N18" s="24"/>
      <c r="O18" s="24"/>
      <c r="P18" s="24"/>
      <c r="T18" s="127"/>
      <c r="U18" s="127"/>
    </row>
    <row r="19" spans="1:35" x14ac:dyDescent="0.25">
      <c r="A19" s="79" t="s">
        <v>41</v>
      </c>
      <c r="B19" s="79"/>
      <c r="C19" s="181">
        <f>[1]Variables!D23</f>
        <v>8.2191780821917802E-4</v>
      </c>
      <c r="D19" s="182"/>
      <c r="E19" s="181">
        <f>[1]Variables!D24</f>
        <v>2.3589041095890408E-2</v>
      </c>
      <c r="F19" s="183">
        <f>[1]Variables!E24</f>
        <v>5.7534246575342458E-3</v>
      </c>
      <c r="G19" s="184"/>
      <c r="H19" s="181">
        <f>[1]Variables!D25</f>
        <v>5.7534246575342458E-3</v>
      </c>
      <c r="I19" s="183">
        <f>[1]Variables!E25</f>
        <v>4.6027397260273967E-2</v>
      </c>
      <c r="J19" s="183">
        <f>[1]Variables!D26</f>
        <v>5.7534246575342458E-3</v>
      </c>
      <c r="K19" s="84"/>
      <c r="L19" s="85"/>
      <c r="M19" s="86"/>
      <c r="N19" s="24"/>
      <c r="O19" s="24"/>
      <c r="P19" s="24"/>
      <c r="R19" s="146"/>
      <c r="T19" s="127"/>
      <c r="U19" s="127"/>
    </row>
    <row r="20" spans="1:35" ht="12.75" x14ac:dyDescent="0.2">
      <c r="A20" s="24"/>
      <c r="B20" s="24"/>
      <c r="C20" s="28" t="s">
        <v>42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T20" s="127"/>
      <c r="U20" s="127"/>
    </row>
    <row r="21" spans="1:35" ht="12.75" x14ac:dyDescent="0.2">
      <c r="A21" s="24"/>
      <c r="B21" s="24"/>
      <c r="C21" s="29" t="s">
        <v>16</v>
      </c>
      <c r="D21" s="30" t="s">
        <v>16</v>
      </c>
      <c r="E21" s="30" t="s">
        <v>16</v>
      </c>
      <c r="F21" s="30" t="s">
        <v>17</v>
      </c>
      <c r="G21" s="30" t="s">
        <v>17</v>
      </c>
      <c r="H21" s="30" t="s">
        <v>17</v>
      </c>
      <c r="I21" s="30" t="s">
        <v>18</v>
      </c>
      <c r="J21" s="30" t="s">
        <v>18</v>
      </c>
      <c r="K21" s="30" t="s">
        <v>18</v>
      </c>
      <c r="L21" s="30" t="s">
        <v>52</v>
      </c>
      <c r="M21" s="30" t="s">
        <v>52</v>
      </c>
      <c r="N21" s="30" t="s">
        <v>52</v>
      </c>
      <c r="O21" s="87" t="s">
        <v>43</v>
      </c>
      <c r="P21" s="88" t="s">
        <v>20</v>
      </c>
      <c r="S21" s="145"/>
      <c r="T21" s="127"/>
      <c r="U21" s="127"/>
    </row>
    <row r="22" spans="1:35" ht="25.5" x14ac:dyDescent="0.2">
      <c r="A22" s="24"/>
      <c r="B22" s="24"/>
      <c r="C22" s="31" t="s">
        <v>44</v>
      </c>
      <c r="D22" s="32" t="s">
        <v>45</v>
      </c>
      <c r="E22" s="32" t="s">
        <v>54</v>
      </c>
      <c r="F22" s="32" t="s">
        <v>44</v>
      </c>
      <c r="G22" s="32" t="s">
        <v>45</v>
      </c>
      <c r="H22" s="32" t="s">
        <v>54</v>
      </c>
      <c r="I22" s="32" t="s">
        <v>44</v>
      </c>
      <c r="J22" s="32" t="s">
        <v>45</v>
      </c>
      <c r="K22" s="32" t="s">
        <v>54</v>
      </c>
      <c r="L22" s="32" t="s">
        <v>44</v>
      </c>
      <c r="M22" s="32" t="s">
        <v>45</v>
      </c>
      <c r="N22" s="32" t="s">
        <v>54</v>
      </c>
      <c r="O22" s="89"/>
      <c r="P22" s="56"/>
      <c r="Q22" s="147"/>
      <c r="R22" s="147"/>
      <c r="S22" s="147"/>
      <c r="T22" s="127"/>
      <c r="U22" s="127"/>
    </row>
    <row r="23" spans="1:35" ht="12.75" x14ac:dyDescent="0.2">
      <c r="A23" s="24" t="s">
        <v>0</v>
      </c>
      <c r="B23" s="24"/>
      <c r="C23" s="43">
        <f>[1]NH!CK45</f>
        <v>10.050087539013219</v>
      </c>
      <c r="D23" s="43">
        <f>[1]NH!CL45</f>
        <v>57.152948349468161</v>
      </c>
      <c r="E23" s="43">
        <f>[1]NH!CN45</f>
        <v>11.021789363578517</v>
      </c>
      <c r="F23" s="43">
        <f>[1]NH!CO45</f>
        <v>7.8203258524878025</v>
      </c>
      <c r="G23" s="43">
        <f>[1]NH!CP45</f>
        <v>30.727066659307475</v>
      </c>
      <c r="H23" s="43">
        <f>[1]NH!CR45</f>
        <v>11.452625990917632</v>
      </c>
      <c r="I23" s="43">
        <f>[1]NH!CS45</f>
        <v>4.1088891577048354</v>
      </c>
      <c r="J23" s="43">
        <f>[1]NH!CT45</f>
        <v>9.0095187053327095</v>
      </c>
      <c r="K23" s="43">
        <f>[1]NH!CV45</f>
        <v>11.034538025823377</v>
      </c>
      <c r="L23" s="43">
        <f>[1]NH!$CW$45</f>
        <v>2.3430054675269254</v>
      </c>
      <c r="M23" s="43">
        <f>[1]NH!$CX$45</f>
        <v>7.8615894703566767</v>
      </c>
      <c r="N23" s="43">
        <f>[1]NH!$CZ$45</f>
        <v>3.9751084096509413</v>
      </c>
      <c r="O23" s="91">
        <f>SUMPRODUCT(C23:N23,C$29:N$29)</f>
        <v>4839007.5461892048</v>
      </c>
      <c r="P23" s="92">
        <f>O23+K12+G12+D12+L12</f>
        <v>4839007.5461892048</v>
      </c>
      <c r="Q23" s="94"/>
      <c r="R23" s="94"/>
      <c r="S23" s="149"/>
      <c r="T23" s="155"/>
      <c r="U23" s="127"/>
      <c r="Z23" s="93"/>
      <c r="AA23" s="94"/>
      <c r="AB23" s="95"/>
      <c r="AC23" s="96"/>
      <c r="AD23" s="93"/>
      <c r="AE23" s="96"/>
      <c r="AF23" s="96"/>
      <c r="AI23" s="96"/>
    </row>
    <row r="24" spans="1:35" ht="12.75" x14ac:dyDescent="0.2">
      <c r="A24" s="24" t="s">
        <v>38</v>
      </c>
      <c r="B24" s="24"/>
      <c r="C24" s="43">
        <f>[1]S!CK45</f>
        <v>51.084834554962548</v>
      </c>
      <c r="D24" s="43">
        <f>[1]S!CL45</f>
        <v>368.12971862701124</v>
      </c>
      <c r="E24" s="43">
        <f>[1]S!CN45</f>
        <v>42.096353089639663</v>
      </c>
      <c r="F24" s="43">
        <f>[1]S!CO45</f>
        <v>4.4933750884109456</v>
      </c>
      <c r="G24" s="43">
        <f>[1]S!CP45</f>
        <v>17.109345877381994</v>
      </c>
      <c r="H24" s="43">
        <f>[1]S!CR45</f>
        <v>5.0301001995123835</v>
      </c>
      <c r="I24" s="43">
        <f>[1]S!CS45</f>
        <v>0.76895232359593557</v>
      </c>
      <c r="J24" s="43">
        <f>[1]S!CT45</f>
        <v>1.2270327533352232</v>
      </c>
      <c r="K24" s="43">
        <f>[1]S!CV45</f>
        <v>1.7412549916932816</v>
      </c>
      <c r="L24" s="43">
        <f>[1]S!$CW$45</f>
        <v>0.65089979450162994</v>
      </c>
      <c r="M24" s="43">
        <f>[1]S!$CX$45</f>
        <v>1.9081606808764815</v>
      </c>
      <c r="N24" s="43">
        <f>[1]S!$CZ$45</f>
        <v>1.133743186125705</v>
      </c>
      <c r="O24" s="91">
        <f t="shared" ref="O24:O27" si="3">SUMPRODUCT(C24:N24,C$29:N$29)</f>
        <v>8371512.0469469242</v>
      </c>
      <c r="P24" s="92">
        <f>O24+K13+G13+D13+L13</f>
        <v>12202359.134840311</v>
      </c>
      <c r="Q24" s="94"/>
      <c r="R24" s="94"/>
      <c r="S24" s="149"/>
      <c r="T24" s="155"/>
      <c r="U24" s="127"/>
      <c r="Z24" s="93"/>
      <c r="AA24" s="94"/>
      <c r="AB24" s="95"/>
      <c r="AC24" s="96"/>
      <c r="AD24" s="97"/>
      <c r="AE24" s="96"/>
      <c r="AF24" s="96"/>
      <c r="AI24" s="96"/>
    </row>
    <row r="25" spans="1:35" ht="12.75" x14ac:dyDescent="0.2">
      <c r="A25" s="24" t="s">
        <v>10</v>
      </c>
      <c r="B25" s="24"/>
      <c r="C25" s="43">
        <f>[1]HGD!CK45</f>
        <v>20.103602476131947</v>
      </c>
      <c r="D25" s="43">
        <f>[1]HGD!CL45</f>
        <v>140.18868731273471</v>
      </c>
      <c r="E25" s="43">
        <f>[1]HGD!CN45</f>
        <v>17.005106747520045</v>
      </c>
      <c r="F25" s="43">
        <f>[1]HGD!CO45</f>
        <v>3.306994385676798</v>
      </c>
      <c r="G25" s="43">
        <f>[1]HGD!CP45</f>
        <v>12.487444540488324</v>
      </c>
      <c r="H25" s="43">
        <f>[1]HGD!CR45</f>
        <v>3.7469657784175254</v>
      </c>
      <c r="I25" s="43">
        <f>[1]HGD!CS45</f>
        <v>0.65613064535944721</v>
      </c>
      <c r="J25" s="43">
        <f>[1]HGD!CT45</f>
        <v>1.0586020886887708</v>
      </c>
      <c r="K25" s="43">
        <f>[1]HGD!CV45</f>
        <v>1.4184251787005393</v>
      </c>
      <c r="L25" s="43">
        <f>[1]HGD!$CW$45</f>
        <v>0.49564992607661268</v>
      </c>
      <c r="M25" s="43">
        <f>[1]HGD!$CX$45</f>
        <v>1.4317953615029986</v>
      </c>
      <c r="N25" s="43">
        <f>[1]HGD!$CZ$45</f>
        <v>0.86556171722837794</v>
      </c>
      <c r="O25" s="91">
        <f t="shared" si="3"/>
        <v>3715420.5968135251</v>
      </c>
      <c r="P25" s="92">
        <f>O25+K14+G14+D14+L14</f>
        <v>8867079.2137940284</v>
      </c>
      <c r="Q25" s="94"/>
      <c r="R25" s="94"/>
      <c r="S25" s="149"/>
      <c r="T25" s="155"/>
      <c r="U25" s="127"/>
      <c r="Z25" s="93"/>
      <c r="AA25" s="94"/>
      <c r="AB25" s="95"/>
      <c r="AC25" s="96"/>
      <c r="AD25" s="97"/>
      <c r="AE25" s="96"/>
      <c r="AF25" s="96"/>
      <c r="AI25" s="96"/>
    </row>
    <row r="26" spans="1:35" ht="12.75" x14ac:dyDescent="0.2">
      <c r="A26" s="24" t="s">
        <v>9</v>
      </c>
      <c r="B26" s="24"/>
      <c r="C26" s="43">
        <f>[1]LGD!CK45</f>
        <v>16.514069450957674</v>
      </c>
      <c r="D26" s="43">
        <f>[1]LGD!CL45</f>
        <v>116.16872345436826</v>
      </c>
      <c r="E26" s="43">
        <f>[1]LGD!CN45</f>
        <v>13.8673540445493</v>
      </c>
      <c r="F26" s="43">
        <f>[1]LGD!CO45</f>
        <v>2.4496454000555721</v>
      </c>
      <c r="G26" s="43">
        <f>[1]LGD!CP45</f>
        <v>9.3499510562962787</v>
      </c>
      <c r="H26" s="43">
        <f>[1]LGD!CR45</f>
        <v>2.732722725589884</v>
      </c>
      <c r="I26" s="43">
        <f>[1]LGD!CS45</f>
        <v>0.44830870583108084</v>
      </c>
      <c r="J26" s="43">
        <f>[1]LGD!CT45</f>
        <v>0.72059823042426208</v>
      </c>
      <c r="K26" s="43">
        <f>[1]LGD!CV45</f>
        <v>0.95502520980538719</v>
      </c>
      <c r="L26" s="43">
        <f>[1]LGD!$CW$45</f>
        <v>0.33763844088218298</v>
      </c>
      <c r="M26" s="43">
        <f>[1]LGD!$CX$45</f>
        <v>1.0094970575639575</v>
      </c>
      <c r="N26" s="43">
        <f>[1]LGD!$CZ$45</f>
        <v>0.59343459738080817</v>
      </c>
      <c r="O26" s="91">
        <f t="shared" si="3"/>
        <v>2961212.7370868456</v>
      </c>
      <c r="P26" s="92">
        <f>O26+K15+G15+D15+L15</f>
        <v>11473728.74457911</v>
      </c>
      <c r="Q26" s="94"/>
      <c r="R26" s="94"/>
      <c r="S26" s="149"/>
      <c r="T26" s="155"/>
      <c r="U26" s="127"/>
      <c r="Z26" s="93"/>
      <c r="AA26" s="94"/>
      <c r="AB26" s="95"/>
      <c r="AC26" s="96"/>
      <c r="AD26" s="97"/>
      <c r="AE26" s="96"/>
      <c r="AF26" s="96"/>
      <c r="AI26" s="96"/>
    </row>
    <row r="27" spans="1:35" ht="12.75" x14ac:dyDescent="0.2">
      <c r="A27" s="24" t="s">
        <v>39</v>
      </c>
      <c r="B27" s="24"/>
      <c r="C27" s="43">
        <f>[1]BE!CK45</f>
        <v>13.302533353415638</v>
      </c>
      <c r="D27" s="43">
        <f>[1]BE!CL45</f>
        <v>92.616836590492056</v>
      </c>
      <c r="E27" s="43">
        <f>[1]BE!CN45</f>
        <v>11.134087635154909</v>
      </c>
      <c r="F27" s="43">
        <f>[1]BE!CO45</f>
        <v>1.4514220829198252</v>
      </c>
      <c r="G27" s="43">
        <f>[1]BE!CP45</f>
        <v>5.4629962809093167</v>
      </c>
      <c r="H27" s="43">
        <f>[1]BE!CR45</f>
        <v>1.6287215954849565</v>
      </c>
      <c r="I27" s="43">
        <f>[1]BE!CS45</f>
        <v>0.25222087700821921</v>
      </c>
      <c r="J27" s="43">
        <f>[1]BE!CT45</f>
        <v>0.37944860744622538</v>
      </c>
      <c r="K27" s="43">
        <f>[1]BE!CV45</f>
        <v>0.5594512824810679</v>
      </c>
      <c r="L27" s="43">
        <f>[1]BE!$CW$45</f>
        <v>0.21057218659138283</v>
      </c>
      <c r="M27" s="43">
        <f>[1]BE!$CX$45</f>
        <v>0.63325681635416531</v>
      </c>
      <c r="N27" s="43">
        <f>[1]BE!$CZ$45</f>
        <v>0.36108185210014282</v>
      </c>
      <c r="O27" s="91">
        <f t="shared" si="3"/>
        <v>2248363.0454185102</v>
      </c>
      <c r="P27" s="92">
        <f>O27+K16+G16+D16+L16</f>
        <v>14337859.176241601</v>
      </c>
      <c r="Q27" s="94"/>
      <c r="R27" s="94"/>
      <c r="S27" s="149"/>
      <c r="T27" s="155"/>
      <c r="U27" s="127"/>
      <c r="Z27" s="93"/>
      <c r="AA27" s="94"/>
      <c r="AB27" s="95"/>
      <c r="AC27" s="96"/>
      <c r="AD27" s="97"/>
      <c r="AE27" s="96"/>
      <c r="AF27" s="96"/>
      <c r="AI27" s="96"/>
    </row>
    <row r="28" spans="1:35" ht="12.75" x14ac:dyDescent="0.2">
      <c r="A28" s="24"/>
      <c r="B28" s="24"/>
      <c r="C28" s="38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42"/>
      <c r="P28" s="56"/>
      <c r="T28" s="127"/>
      <c r="U28" s="127"/>
      <c r="Z28" s="93"/>
      <c r="AA28" s="94"/>
      <c r="AB28" s="93"/>
    </row>
    <row r="29" spans="1:35" ht="12.75" x14ac:dyDescent="0.2">
      <c r="A29" s="71" t="s">
        <v>40</v>
      </c>
      <c r="B29" s="71"/>
      <c r="C29" s="72">
        <f>[1]Variables!B10</f>
        <v>58997</v>
      </c>
      <c r="D29" s="98">
        <v>4080</v>
      </c>
      <c r="E29" s="98">
        <f>[1]Variables!B14</f>
        <v>64704</v>
      </c>
      <c r="F29" s="98">
        <f>[1]Variables!B11</f>
        <v>75295</v>
      </c>
      <c r="G29" s="98">
        <v>4080</v>
      </c>
      <c r="H29" s="98">
        <f>[1]Variables!B15</f>
        <v>77742</v>
      </c>
      <c r="I29" s="98">
        <v>57169</v>
      </c>
      <c r="J29" s="98">
        <v>4080</v>
      </c>
      <c r="K29" s="98">
        <f>[1]Variables!B16</f>
        <v>85212</v>
      </c>
      <c r="L29" s="98">
        <f t="shared" ref="L29:N30" si="4">AVERAGE(C29,F29,I29)</f>
        <v>63820.333333333336</v>
      </c>
      <c r="M29" s="98">
        <f t="shared" si="4"/>
        <v>4080</v>
      </c>
      <c r="N29" s="98">
        <f t="shared" si="4"/>
        <v>75886</v>
      </c>
      <c r="O29" s="99"/>
      <c r="P29" s="56"/>
      <c r="Q29" s="149"/>
      <c r="R29" s="149"/>
      <c r="S29" s="156"/>
      <c r="T29" s="127"/>
      <c r="U29" s="127"/>
    </row>
    <row r="30" spans="1:35" ht="12.75" x14ac:dyDescent="0.2">
      <c r="A30" s="79" t="s">
        <v>41</v>
      </c>
      <c r="B30" s="79"/>
      <c r="C30" s="100">
        <v>0.16200000000000003</v>
      </c>
      <c r="D30" s="101">
        <v>0.04</v>
      </c>
      <c r="E30" s="101">
        <v>0.04</v>
      </c>
      <c r="F30" s="101">
        <v>0.34599999999999997</v>
      </c>
      <c r="G30" s="101">
        <f>F30</f>
        <v>0.34599999999999997</v>
      </c>
      <c r="H30" s="101">
        <f>G30</f>
        <v>0.34599999999999997</v>
      </c>
      <c r="I30" s="101">
        <v>0.60499999999999998</v>
      </c>
      <c r="J30" s="101">
        <f>I30</f>
        <v>0.60499999999999998</v>
      </c>
      <c r="K30" s="101">
        <f>J30</f>
        <v>0.60499999999999998</v>
      </c>
      <c r="L30" s="158">
        <f t="shared" si="4"/>
        <v>0.371</v>
      </c>
      <c r="M30" s="158">
        <f t="shared" si="4"/>
        <v>0.33033333333333331</v>
      </c>
      <c r="N30" s="158">
        <f t="shared" si="4"/>
        <v>0.33033333333333331</v>
      </c>
      <c r="O30" s="84"/>
      <c r="P30" s="102"/>
      <c r="Q30" s="150"/>
      <c r="R30" s="150"/>
      <c r="T30" s="127"/>
      <c r="U30" s="127"/>
    </row>
    <row r="31" spans="1:35" ht="12.75" x14ac:dyDescent="0.2">
      <c r="A31" s="24"/>
      <c r="B31" s="24"/>
      <c r="C31" s="24">
        <f>1-C30</f>
        <v>0.83799999999999997</v>
      </c>
      <c r="D31" s="24">
        <f t="shared" ref="D31:K31" si="5">1-D30</f>
        <v>0.96</v>
      </c>
      <c r="E31" s="24">
        <f t="shared" si="5"/>
        <v>0.96</v>
      </c>
      <c r="F31" s="24">
        <f t="shared" si="5"/>
        <v>0.65400000000000003</v>
      </c>
      <c r="G31" s="24">
        <f t="shared" si="5"/>
        <v>0.65400000000000003</v>
      </c>
      <c r="H31" s="24">
        <f t="shared" si="5"/>
        <v>0.65400000000000003</v>
      </c>
      <c r="I31" s="24">
        <f t="shared" si="5"/>
        <v>0.39500000000000002</v>
      </c>
      <c r="J31" s="24">
        <f t="shared" si="5"/>
        <v>0.39500000000000002</v>
      </c>
      <c r="K31" s="24">
        <f t="shared" si="5"/>
        <v>0.39500000000000002</v>
      </c>
      <c r="L31" s="24">
        <f>1-J30</f>
        <v>0.39500000000000002</v>
      </c>
      <c r="M31" s="24">
        <f>1-J30</f>
        <v>0.39500000000000002</v>
      </c>
      <c r="N31" s="24">
        <f>1-K30</f>
        <v>0.39500000000000002</v>
      </c>
      <c r="O31" s="24"/>
      <c r="P31" s="24"/>
      <c r="T31" s="127"/>
      <c r="U31" s="127"/>
    </row>
    <row r="32" spans="1:35" ht="12.75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T32" s="127"/>
      <c r="U32" s="127"/>
    </row>
    <row r="33" spans="1:21" ht="12.75" x14ac:dyDescent="0.2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155"/>
      <c r="R33" s="155"/>
      <c r="S33" s="155"/>
      <c r="T33" s="127"/>
      <c r="U33" s="127"/>
    </row>
    <row r="34" spans="1:21" ht="12.75" x14ac:dyDescent="0.2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86"/>
      <c r="T34" s="127"/>
      <c r="U34" s="127"/>
    </row>
    <row r="35" spans="1:21" ht="12.75" x14ac:dyDescent="0.2">
      <c r="A35" s="103"/>
      <c r="B35" s="103"/>
      <c r="C35" s="103" t="s">
        <v>5</v>
      </c>
      <c r="D35" s="103" t="s">
        <v>46</v>
      </c>
      <c r="E35" s="103"/>
      <c r="F35" s="103" t="s">
        <v>47</v>
      </c>
      <c r="G35" s="103"/>
      <c r="H35" s="103"/>
      <c r="I35" s="103"/>
      <c r="J35" s="103"/>
      <c r="K35" s="103"/>
      <c r="L35" s="103"/>
      <c r="M35" s="103"/>
      <c r="N35" s="103"/>
      <c r="O35" s="24"/>
      <c r="P35" s="86"/>
      <c r="T35" s="127"/>
      <c r="U35" s="127"/>
    </row>
    <row r="36" spans="1:21" ht="12.75" x14ac:dyDescent="0.2">
      <c r="A36" s="104" t="s">
        <v>0</v>
      </c>
      <c r="B36" s="103"/>
      <c r="C36" s="128">
        <f>P23/1000</f>
        <v>4839.0075461892047</v>
      </c>
      <c r="D36" s="129">
        <f>P4</f>
        <v>14.770716330892219</v>
      </c>
      <c r="E36" s="103"/>
      <c r="F36" s="103"/>
      <c r="G36" s="103"/>
      <c r="H36" s="103"/>
      <c r="I36" s="103"/>
      <c r="J36" s="105"/>
      <c r="K36" s="106"/>
      <c r="L36" s="107"/>
      <c r="M36" s="108"/>
      <c r="N36" s="108"/>
      <c r="O36" s="24"/>
      <c r="P36" s="86"/>
      <c r="T36" s="127"/>
      <c r="U36" s="127"/>
    </row>
    <row r="37" spans="1:21" ht="12.75" x14ac:dyDescent="0.2">
      <c r="A37" s="103" t="s">
        <v>10</v>
      </c>
      <c r="B37" s="103"/>
      <c r="C37" s="128">
        <f>P25/1000</f>
        <v>8867.079213794028</v>
      </c>
      <c r="D37" s="129">
        <f>P6</f>
        <v>14.975134379596524</v>
      </c>
      <c r="E37" s="103"/>
      <c r="F37" s="106">
        <f>C37-C$36</f>
        <v>4028.0716676048232</v>
      </c>
      <c r="G37" s="109">
        <f>D37-D$36</f>
        <v>0.20441804870430502</v>
      </c>
      <c r="H37" s="110">
        <f>F37/G37</f>
        <v>19705.068574602788</v>
      </c>
      <c r="I37" s="111"/>
      <c r="J37" s="112"/>
      <c r="K37" s="106"/>
      <c r="L37" s="113"/>
      <c r="M37" s="109"/>
      <c r="N37" s="114"/>
      <c r="O37" s="24"/>
      <c r="P37" s="86"/>
      <c r="T37" s="127"/>
      <c r="U37" s="127"/>
    </row>
    <row r="38" spans="1:21" ht="12.75" x14ac:dyDescent="0.2">
      <c r="A38" s="103" t="s">
        <v>9</v>
      </c>
      <c r="B38" s="103"/>
      <c r="C38" s="128">
        <f>P26/1000</f>
        <v>11473.72874457911</v>
      </c>
      <c r="D38" s="129">
        <f>P7</f>
        <v>14.989700324908611</v>
      </c>
      <c r="E38" s="103"/>
      <c r="F38" s="106">
        <f>C38-C$37</f>
        <v>2606.6495307850819</v>
      </c>
      <c r="G38" s="109">
        <f>D38-D$37</f>
        <v>1.4565945312087436E-2</v>
      </c>
      <c r="H38" s="110">
        <f>F38/G38</f>
        <v>178955.05406174867</v>
      </c>
      <c r="I38" s="111"/>
      <c r="J38" s="112"/>
      <c r="K38" s="109"/>
      <c r="L38" s="113"/>
      <c r="M38" s="109"/>
      <c r="N38" s="114"/>
      <c r="O38" s="24"/>
      <c r="P38" s="24"/>
      <c r="T38" s="127"/>
      <c r="U38" s="127"/>
    </row>
    <row r="39" spans="1:21" ht="12.75" x14ac:dyDescent="0.2">
      <c r="A39" s="103" t="s">
        <v>38</v>
      </c>
      <c r="B39" s="103"/>
      <c r="C39" s="128">
        <f>P24/1000</f>
        <v>12202.359134840312</v>
      </c>
      <c r="D39" s="129">
        <f>P5</f>
        <v>14.848189420310055</v>
      </c>
      <c r="E39" s="103"/>
      <c r="F39" s="106">
        <f>C39-C$38</f>
        <v>728.63039026120168</v>
      </c>
      <c r="G39" s="109">
        <f>D39-D$38</f>
        <v>-0.14151090459855631</v>
      </c>
      <c r="H39" s="114"/>
      <c r="I39" s="111"/>
      <c r="J39" s="112"/>
      <c r="K39" s="109"/>
      <c r="L39" s="113"/>
      <c r="M39" s="109"/>
      <c r="N39" s="107"/>
      <c r="O39" s="24"/>
      <c r="P39" s="24"/>
      <c r="T39" s="127"/>
      <c r="U39" s="127"/>
    </row>
    <row r="40" spans="1:21" ht="12.75" x14ac:dyDescent="0.2">
      <c r="A40" s="103" t="s">
        <v>39</v>
      </c>
      <c r="B40" s="103"/>
      <c r="C40" s="128">
        <f>P27/1000</f>
        <v>14337.859176241602</v>
      </c>
      <c r="D40" s="129">
        <f>P8</f>
        <v>15.004451710699438</v>
      </c>
      <c r="E40" s="103"/>
      <c r="F40" s="106">
        <f>C40-C$38</f>
        <v>2864.1304316624919</v>
      </c>
      <c r="G40" s="109">
        <f>D40-D$38</f>
        <v>1.4751385790827243E-2</v>
      </c>
      <c r="H40" s="110">
        <f>F40/G40</f>
        <v>194160.09263641355</v>
      </c>
      <c r="I40" s="111"/>
      <c r="J40" s="112"/>
      <c r="K40" s="106"/>
      <c r="L40" s="113"/>
      <c r="M40" s="109"/>
      <c r="N40" s="114"/>
      <c r="O40" s="24"/>
      <c r="P40" s="24"/>
      <c r="T40" s="127"/>
      <c r="U40" s="127"/>
    </row>
    <row r="41" spans="1:21" ht="12.75" x14ac:dyDescent="0.2">
      <c r="A41" s="103"/>
      <c r="B41" s="103"/>
      <c r="C41" s="103"/>
      <c r="D41" s="103"/>
      <c r="E41" s="103"/>
      <c r="F41" s="103"/>
      <c r="G41" s="103"/>
      <c r="H41" s="103"/>
      <c r="I41" s="103"/>
      <c r="J41" s="130"/>
      <c r="K41" s="108"/>
      <c r="L41" s="130"/>
      <c r="M41" s="130"/>
      <c r="N41" s="130"/>
      <c r="O41" s="24"/>
      <c r="P41" s="24"/>
      <c r="T41" s="127"/>
      <c r="U41" s="127"/>
    </row>
    <row r="42" spans="1:21" ht="12.75" x14ac:dyDescent="0.2">
      <c r="A42" s="103"/>
      <c r="B42" s="103"/>
      <c r="C42" s="103"/>
      <c r="D42" s="103"/>
      <c r="E42" s="103"/>
      <c r="F42" s="103"/>
      <c r="G42" s="103"/>
      <c r="H42" s="103"/>
      <c r="I42" s="103"/>
      <c r="J42" s="19"/>
      <c r="K42" s="108"/>
      <c r="L42" s="115"/>
      <c r="M42" s="108"/>
      <c r="N42" s="108"/>
      <c r="O42" s="24"/>
      <c r="P42" s="24"/>
      <c r="T42" s="127"/>
      <c r="U42" s="127"/>
    </row>
    <row r="43" spans="1:21" ht="12.75" x14ac:dyDescent="0.2">
      <c r="A43" s="104"/>
      <c r="B43" s="103"/>
      <c r="C43" s="116"/>
      <c r="D43" s="117"/>
      <c r="E43" s="103"/>
      <c r="F43" s="103"/>
      <c r="G43" s="103"/>
      <c r="H43" s="103"/>
      <c r="I43" s="103"/>
      <c r="J43" s="20"/>
      <c r="K43" s="116"/>
      <c r="L43" s="118"/>
      <c r="M43" s="103"/>
      <c r="N43" s="103"/>
      <c r="O43" s="24"/>
      <c r="P43" s="24"/>
      <c r="T43" s="127"/>
      <c r="U43" s="127"/>
    </row>
    <row r="44" spans="1:21" ht="12.75" x14ac:dyDescent="0.2">
      <c r="A44" s="103"/>
      <c r="B44" s="103"/>
      <c r="C44" s="116"/>
      <c r="D44" s="117"/>
      <c r="E44" s="103"/>
      <c r="F44" s="116"/>
      <c r="G44" s="129"/>
      <c r="H44" s="119"/>
      <c r="I44" s="111"/>
      <c r="J44" s="120"/>
      <c r="K44" s="116"/>
      <c r="L44" s="118"/>
      <c r="M44" s="121"/>
      <c r="N44" s="128"/>
      <c r="O44" s="24"/>
      <c r="P44" s="122"/>
      <c r="T44" s="127"/>
      <c r="U44" s="127"/>
    </row>
    <row r="45" spans="1:21" ht="12.75" x14ac:dyDescent="0.2">
      <c r="A45" s="103"/>
      <c r="B45" s="103"/>
      <c r="C45" s="116"/>
      <c r="D45" s="117"/>
      <c r="E45" s="103"/>
      <c r="F45" s="116"/>
      <c r="G45" s="129"/>
      <c r="H45" s="119"/>
      <c r="I45" s="111"/>
      <c r="J45" s="120"/>
      <c r="K45" s="116"/>
      <c r="L45" s="118"/>
      <c r="M45" s="121"/>
      <c r="N45" s="128"/>
      <c r="O45" s="24"/>
      <c r="P45" s="24"/>
      <c r="T45" s="127"/>
      <c r="U45" s="127"/>
    </row>
    <row r="46" spans="1:21" s="148" customFormat="1" x14ac:dyDescent="0.25">
      <c r="A46" s="103"/>
      <c r="B46" s="103"/>
      <c r="C46" s="116"/>
      <c r="D46" s="117"/>
      <c r="E46" s="103"/>
      <c r="F46" s="116"/>
      <c r="G46" s="129"/>
      <c r="H46" s="119"/>
      <c r="I46" s="111"/>
      <c r="J46" s="103"/>
      <c r="K46" s="116"/>
      <c r="L46" s="117"/>
      <c r="M46" s="121"/>
      <c r="N46" s="128"/>
      <c r="O46" s="24"/>
      <c r="P46" s="24"/>
      <c r="Q46" s="127"/>
      <c r="R46" s="127"/>
      <c r="S46" s="127"/>
    </row>
    <row r="47" spans="1:21" s="148" customFormat="1" x14ac:dyDescent="0.25">
      <c r="A47" s="103"/>
      <c r="B47" s="103"/>
      <c r="C47" s="116"/>
      <c r="D47" s="117"/>
      <c r="E47" s="103"/>
      <c r="F47" s="116"/>
      <c r="G47" s="129"/>
      <c r="H47" s="119"/>
      <c r="I47" s="111"/>
      <c r="J47" s="103"/>
      <c r="K47" s="116"/>
      <c r="L47" s="117"/>
      <c r="M47" s="121"/>
      <c r="N47" s="128"/>
      <c r="O47" s="24"/>
      <c r="P47" s="24"/>
      <c r="Q47" s="127"/>
      <c r="R47" s="127"/>
      <c r="S47" s="127"/>
    </row>
    <row r="49" spans="1:21" ht="12.75" x14ac:dyDescent="0.2">
      <c r="T49" s="127"/>
      <c r="U49" s="127"/>
    </row>
    <row r="50" spans="1:21" ht="12.75" x14ac:dyDescent="0.2">
      <c r="T50" s="127"/>
      <c r="U50" s="127"/>
    </row>
    <row r="51" spans="1:21" ht="12.75" x14ac:dyDescent="0.2">
      <c r="T51" s="127"/>
      <c r="U51" s="127"/>
    </row>
    <row r="52" spans="1:21" ht="12.75" x14ac:dyDescent="0.2">
      <c r="T52" s="127"/>
      <c r="U52" s="127"/>
    </row>
    <row r="53" spans="1:21" ht="12.75" x14ac:dyDescent="0.2">
      <c r="T53" s="127"/>
      <c r="U53" s="127"/>
    </row>
    <row r="54" spans="1:21" ht="12.75" x14ac:dyDescent="0.2">
      <c r="T54" s="127"/>
      <c r="U54" s="127"/>
    </row>
    <row r="55" spans="1:21" ht="12.75" x14ac:dyDescent="0.2">
      <c r="T55" s="127"/>
      <c r="U55" s="127"/>
    </row>
    <row r="56" spans="1:21" ht="12.75" x14ac:dyDescent="0.2">
      <c r="T56" s="127"/>
      <c r="U56" s="127"/>
    </row>
    <row r="57" spans="1:21" ht="12.75" x14ac:dyDescent="0.2">
      <c r="A57" s="132"/>
      <c r="T57" s="127"/>
      <c r="U57" s="127"/>
    </row>
    <row r="58" spans="1:21" ht="12.75" x14ac:dyDescent="0.2"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7"/>
      <c r="T58" s="127"/>
      <c r="U58" s="127"/>
    </row>
    <row r="59" spans="1:21" ht="12.75" x14ac:dyDescent="0.2">
      <c r="T59" s="127"/>
      <c r="U59" s="127"/>
    </row>
    <row r="60" spans="1:21" ht="12.75" x14ac:dyDescent="0.2">
      <c r="T60" s="127"/>
      <c r="U60" s="127"/>
    </row>
    <row r="61" spans="1:21" ht="12.75" x14ac:dyDescent="0.2">
      <c r="T61" s="127"/>
      <c r="U61" s="127"/>
    </row>
    <row r="62" spans="1:21" ht="12.75" x14ac:dyDescent="0.2">
      <c r="T62" s="127"/>
      <c r="U62" s="127"/>
    </row>
    <row r="63" spans="1:21" ht="12.75" x14ac:dyDescent="0.2">
      <c r="T63" s="127"/>
      <c r="U63" s="127"/>
    </row>
    <row r="64" spans="1:21" ht="12.75" x14ac:dyDescent="0.2">
      <c r="T64" s="127"/>
      <c r="U64" s="127"/>
    </row>
    <row r="65" spans="20:21" ht="12.75" x14ac:dyDescent="0.2">
      <c r="T65" s="127"/>
      <c r="U65" s="127"/>
    </row>
    <row r="66" spans="20:21" ht="12.75" x14ac:dyDescent="0.2">
      <c r="T66" s="127"/>
      <c r="U66" s="127"/>
    </row>
    <row r="67" spans="20:21" ht="12.75" x14ac:dyDescent="0.2">
      <c r="T67" s="127"/>
      <c r="U67" s="127"/>
    </row>
    <row r="68" spans="20:21" ht="12.75" x14ac:dyDescent="0.2">
      <c r="T68" s="127"/>
      <c r="U68" s="127"/>
    </row>
    <row r="69" spans="20:21" ht="12.75" x14ac:dyDescent="0.2">
      <c r="T69" s="127"/>
      <c r="U69" s="127"/>
    </row>
    <row r="70" spans="20:21" ht="12.75" x14ac:dyDescent="0.2">
      <c r="T70" s="127"/>
      <c r="U70" s="127"/>
    </row>
    <row r="71" spans="20:21" ht="12.75" x14ac:dyDescent="0.2">
      <c r="T71" s="127"/>
      <c r="U71" s="127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X64"/>
  <sheetViews>
    <sheetView topLeftCell="A15" workbookViewId="0">
      <selection activeCell="D34" sqref="D34"/>
    </sheetView>
  </sheetViews>
  <sheetFormatPr defaultColWidth="8.85546875" defaultRowHeight="15" x14ac:dyDescent="0.25"/>
  <cols>
    <col min="3" max="3" width="10.7109375" customWidth="1"/>
    <col min="4" max="4" width="13.42578125" customWidth="1"/>
    <col min="7" max="7" width="15.7109375" customWidth="1"/>
    <col min="11" max="11" width="13.42578125" customWidth="1"/>
    <col min="15" max="15" width="13.85546875" bestFit="1" customWidth="1"/>
    <col min="16" max="16" width="12" bestFit="1" customWidth="1"/>
  </cols>
  <sheetData>
    <row r="1" spans="1:50" x14ac:dyDescent="0.25">
      <c r="A1" s="33" t="s">
        <v>12</v>
      </c>
      <c r="B1" s="33"/>
      <c r="C1" s="34" t="s">
        <v>13</v>
      </c>
      <c r="D1" s="33"/>
      <c r="E1" s="33" t="s">
        <v>14</v>
      </c>
      <c r="F1" s="33"/>
      <c r="G1" s="33"/>
      <c r="H1" s="33"/>
      <c r="I1" s="33"/>
      <c r="J1" s="33"/>
      <c r="K1" s="33"/>
      <c r="L1" s="33"/>
      <c r="M1" s="33"/>
      <c r="N1" s="33"/>
      <c r="O1" s="24"/>
      <c r="P1" s="24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</row>
    <row r="2" spans="1:50" x14ac:dyDescent="0.25">
      <c r="A2" s="24" t="s">
        <v>15</v>
      </c>
      <c r="B2" s="24"/>
      <c r="C2" s="29" t="s">
        <v>16</v>
      </c>
      <c r="D2" s="30"/>
      <c r="E2" s="30" t="s">
        <v>17</v>
      </c>
      <c r="F2" s="30"/>
      <c r="G2" s="30" t="s">
        <v>18</v>
      </c>
      <c r="H2" s="30"/>
      <c r="I2" s="30" t="s">
        <v>52</v>
      </c>
      <c r="J2" s="30"/>
      <c r="K2" s="35" t="s">
        <v>19</v>
      </c>
      <c r="L2" s="30" t="s">
        <v>20</v>
      </c>
      <c r="M2" s="30"/>
      <c r="N2" s="36" t="s">
        <v>20</v>
      </c>
      <c r="O2" s="30" t="s">
        <v>21</v>
      </c>
      <c r="P2" s="37" t="s">
        <v>6</v>
      </c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</row>
    <row r="3" spans="1:50" x14ac:dyDescent="0.25">
      <c r="A3" s="27" t="s">
        <v>22</v>
      </c>
      <c r="B3" s="24"/>
      <c r="C3" s="38" t="s">
        <v>23</v>
      </c>
      <c r="D3" s="39" t="s">
        <v>24</v>
      </c>
      <c r="E3" s="39" t="s">
        <v>23</v>
      </c>
      <c r="F3" s="39" t="s">
        <v>24</v>
      </c>
      <c r="G3" s="39" t="s">
        <v>23</v>
      </c>
      <c r="H3" s="39" t="s">
        <v>24</v>
      </c>
      <c r="I3" s="39" t="s">
        <v>23</v>
      </c>
      <c r="J3" s="39" t="s">
        <v>24</v>
      </c>
      <c r="K3" s="40"/>
      <c r="L3" s="39" t="s">
        <v>23</v>
      </c>
      <c r="M3" s="39" t="s">
        <v>24</v>
      </c>
      <c r="N3" s="41" t="s">
        <v>25</v>
      </c>
      <c r="O3" s="39"/>
      <c r="P3" s="42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</row>
    <row r="4" spans="1:50" x14ac:dyDescent="0.25">
      <c r="A4" s="24" t="s">
        <v>26</v>
      </c>
      <c r="B4" s="24"/>
      <c r="C4" s="43">
        <f>[2]NH!BS45</f>
        <v>19.249929556741087</v>
      </c>
      <c r="D4" s="43">
        <f>[2]NH!BT45</f>
        <v>0</v>
      </c>
      <c r="E4" s="43">
        <f>[2]NH!BU45</f>
        <v>25.117923955564216</v>
      </c>
      <c r="F4" s="43">
        <f>[2]NH!BV45</f>
        <v>0</v>
      </c>
      <c r="G4" s="43">
        <f>[2]NH!BW45</f>
        <v>29.148241783567798</v>
      </c>
      <c r="H4" s="43">
        <f>[2]NH!BX45</f>
        <v>0</v>
      </c>
      <c r="I4" s="43">
        <f>[2]NH!BY45</f>
        <v>8.2094096238108474</v>
      </c>
      <c r="J4" s="43">
        <f>[2]NH!BZ45</f>
        <v>0</v>
      </c>
      <c r="K4" s="43">
        <f>[2]NH!CA45</f>
        <v>0</v>
      </c>
      <c r="L4" s="44">
        <f>C4+E4+G4+I4</f>
        <v>81.725504919683942</v>
      </c>
      <c r="M4" s="44">
        <f>D4+F4+H4+J4</f>
        <v>0</v>
      </c>
      <c r="N4" s="45">
        <f>SUM(L4:M4)</f>
        <v>81.725504919683942</v>
      </c>
      <c r="O4" s="46">
        <f>[2]NH!CB45</f>
        <v>14393.510089652953</v>
      </c>
      <c r="P4" s="47">
        <f>(O4-(C12*C$19)-(E12*E$19)-(F12*F$19)-(H12*H$19+I12*I$19+J12*J$19)-(C23*C$30)-((D23)*D$30)-((E23)*E$30)-((F23+G23+H23)*F$30)-((I23+J23+K23)*I$30)-(L23*L$30)-(M23*M$30)-(N23*N$30)-(K4*C$30))/1000</f>
        <v>14.331372055408981</v>
      </c>
      <c r="Q4" s="21"/>
      <c r="R4" s="21"/>
      <c r="S4" s="21"/>
      <c r="T4" s="21"/>
      <c r="U4" s="22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49"/>
      <c r="AT4" s="49"/>
      <c r="AU4" s="49"/>
      <c r="AV4" s="21"/>
      <c r="AW4" s="49"/>
      <c r="AX4" s="26"/>
    </row>
    <row r="5" spans="1:50" x14ac:dyDescent="0.25">
      <c r="A5" s="24" t="s">
        <v>27</v>
      </c>
      <c r="B5" s="24"/>
      <c r="C5" s="43">
        <f>[2]S!BS45</f>
        <v>2.0697466384116505</v>
      </c>
      <c r="D5" s="43">
        <f>[2]S!BT45</f>
        <v>97.505770201179615</v>
      </c>
      <c r="E5" s="43">
        <f>[2]S!BU45</f>
        <v>2.3350955869824683</v>
      </c>
      <c r="F5" s="43">
        <f>[2]S!BV45</f>
        <v>9.6634816350387993</v>
      </c>
      <c r="G5" s="43">
        <f>[2]S!BW45</f>
        <v>2.9027010379899676</v>
      </c>
      <c r="H5" s="43">
        <f>[2]S!BX45</f>
        <v>1.1208297658113386</v>
      </c>
      <c r="I5" s="43">
        <f>[2]S!BY45</f>
        <v>0.89645179775169925</v>
      </c>
      <c r="J5" s="43">
        <f>[2]S!BZ45</f>
        <v>0</v>
      </c>
      <c r="K5" s="43">
        <f>[2]S!CA45</f>
        <v>0</v>
      </c>
      <c r="L5" s="44">
        <f t="shared" ref="L5:M8" si="0">C5+E5+G5+I5</f>
        <v>8.2039950611357852</v>
      </c>
      <c r="M5" s="44">
        <f t="shared" si="0"/>
        <v>108.29008160202976</v>
      </c>
      <c r="N5" s="45">
        <f t="shared" ref="N5:N8" si="1">SUM(L5:M5)</f>
        <v>116.49407666316554</v>
      </c>
      <c r="O5" s="46">
        <f>[2]S!CB45</f>
        <v>14414.268767491427</v>
      </c>
      <c r="P5" s="47">
        <f>(O5-(C13*C$19)-(E13*E$19)-(F13*F$19)-(H13*H$19+I13*I$19+J13*J$19)-(C24*C$30)-((D24)*D$30)-((E24)*E$30)-((F24+G24+H24)*F$30)-((I24+J24+K24)*I$30)-(L24*L$30)-(M24*M$30)-(N24*N$30)-(K5*C$30))/1000</f>
        <v>14.343656153717316</v>
      </c>
      <c r="Q5" s="21"/>
      <c r="R5" s="21"/>
      <c r="S5" s="21"/>
      <c r="T5" s="21"/>
      <c r="U5" s="22"/>
      <c r="V5" s="50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49"/>
      <c r="AT5" s="49"/>
      <c r="AU5" s="49"/>
      <c r="AV5" s="21"/>
      <c r="AW5" s="49"/>
      <c r="AX5" s="26"/>
    </row>
    <row r="6" spans="1:50" x14ac:dyDescent="0.25">
      <c r="A6" s="24" t="s">
        <v>28</v>
      </c>
      <c r="B6" s="24"/>
      <c r="C6" s="43">
        <f>[2]HGD!BS45</f>
        <v>1.9400166651249104</v>
      </c>
      <c r="D6" s="43">
        <f>[2]HGD!BT45</f>
        <v>44.577384847062412</v>
      </c>
      <c r="E6" s="43">
        <f>[2]HGD!BU45</f>
        <v>2.5665056998412181</v>
      </c>
      <c r="F6" s="43">
        <f>[2]HGD!BV45</f>
        <v>4.0625081412982516</v>
      </c>
      <c r="G6" s="43">
        <f>[2]HGD!BW45</f>
        <v>3.1674957793019032</v>
      </c>
      <c r="H6" s="43">
        <f>[2]HGD!BX45</f>
        <v>0.4948010382334122</v>
      </c>
      <c r="I6" s="43">
        <f>[2]HGD!BY45</f>
        <v>0.73611036239431971</v>
      </c>
      <c r="J6" s="43">
        <f>[2]HGD!BZ45</f>
        <v>0</v>
      </c>
      <c r="K6" s="43">
        <f>[2]HGD!CA45</f>
        <v>0</v>
      </c>
      <c r="L6" s="44">
        <f t="shared" si="0"/>
        <v>8.4101285066623515</v>
      </c>
      <c r="M6" s="44">
        <f t="shared" si="0"/>
        <v>49.134694026594076</v>
      </c>
      <c r="N6" s="45">
        <f t="shared" si="1"/>
        <v>57.544822533256429</v>
      </c>
      <c r="O6" s="46">
        <f>[2]HGD!CB45</f>
        <v>14624.612492709231</v>
      </c>
      <c r="P6" s="47">
        <f t="shared" ref="P6:P8" si="2">(O6-(C14*C$19)-(E14*E$19)-(F14*F$19)-(H14*H$19+I14*I$19+J14*J$19)-(C25*C$30)-((D25)*D$30)-((E25)*E$30)-((F25+G25+H25)*F$30)-((I25+J25+K25)*I$30)-(L25*L$30)-(M25*M$30)-(N25*N$30)-(K6*C$30))/1000</f>
        <v>14.582023632101128</v>
      </c>
      <c r="Q6" s="21"/>
      <c r="R6" s="21"/>
      <c r="S6" s="21"/>
      <c r="T6" s="21"/>
      <c r="U6" s="22"/>
      <c r="V6" s="50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49"/>
      <c r="AX6" s="26"/>
    </row>
    <row r="7" spans="1:50" x14ac:dyDescent="0.25">
      <c r="A7" s="24" t="s">
        <v>29</v>
      </c>
      <c r="B7" s="24"/>
      <c r="C7" s="43">
        <f>[2]LGD!BS45</f>
        <v>0</v>
      </c>
      <c r="D7" s="43">
        <f>[2]LGD!BT45</f>
        <v>0</v>
      </c>
      <c r="E7" s="43">
        <f>[2]LGD!BU45</f>
        <v>0</v>
      </c>
      <c r="F7" s="43">
        <f>[2]LGD!BV45</f>
        <v>0</v>
      </c>
      <c r="G7" s="43">
        <f>[2]LGD!BW45</f>
        <v>0</v>
      </c>
      <c r="H7" s="43">
        <f>[2]LGD!BX45</f>
        <v>0</v>
      </c>
      <c r="I7" s="43">
        <f>[2]LGD!BY45</f>
        <v>0</v>
      </c>
      <c r="J7" s="43">
        <f>[2]LGD!BZ45</f>
        <v>0</v>
      </c>
      <c r="K7" s="43">
        <f>[2]LGD!CA45</f>
        <v>0</v>
      </c>
      <c r="L7" s="44">
        <f t="shared" si="0"/>
        <v>0</v>
      </c>
      <c r="M7" s="44">
        <f t="shared" si="0"/>
        <v>0</v>
      </c>
      <c r="N7" s="45">
        <f>SUM(L7:M7)</f>
        <v>0</v>
      </c>
      <c r="O7" s="46">
        <f>[2]LGD!CB45</f>
        <v>0</v>
      </c>
      <c r="P7" s="47">
        <f t="shared" si="2"/>
        <v>0</v>
      </c>
      <c r="Q7" s="21"/>
      <c r="R7" s="21"/>
      <c r="S7" s="21"/>
      <c r="T7" s="21"/>
      <c r="U7" s="22"/>
      <c r="V7" s="50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5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49"/>
      <c r="AX7" s="26"/>
    </row>
    <row r="8" spans="1:50" x14ac:dyDescent="0.25">
      <c r="A8" s="24" t="s">
        <v>30</v>
      </c>
      <c r="B8" s="24"/>
      <c r="C8" s="52">
        <f>[2]BE!BS45</f>
        <v>1.6482607225811581</v>
      </c>
      <c r="D8" s="52">
        <f>[2]BE!BT45</f>
        <v>5.740714392276332</v>
      </c>
      <c r="E8" s="52">
        <f>[2]BE!BU45</f>
        <v>2.00129044846696</v>
      </c>
      <c r="F8" s="52">
        <f>[2]BE!BV45</f>
        <v>0.58781369594719568</v>
      </c>
      <c r="G8" s="52">
        <f>[2]BE!BW45</f>
        <v>2.6893686868618603</v>
      </c>
      <c r="H8" s="52">
        <f>[2]BE!BX45</f>
        <v>0.12253941024933813</v>
      </c>
      <c r="I8" s="52">
        <f>[2]BE!BY45</f>
        <v>0.68700039400881774</v>
      </c>
      <c r="J8" s="52">
        <f>[2]BE!BZ45</f>
        <v>0</v>
      </c>
      <c r="K8" s="52">
        <f>[2]BE!CA45</f>
        <v>0</v>
      </c>
      <c r="L8" s="53">
        <f t="shared" si="0"/>
        <v>7.0259202519187962</v>
      </c>
      <c r="M8" s="53">
        <f t="shared" si="0"/>
        <v>6.4510674984728658</v>
      </c>
      <c r="N8" s="54">
        <f t="shared" si="1"/>
        <v>13.476987750391661</v>
      </c>
      <c r="O8" s="55">
        <f>[2]BE!CB45</f>
        <v>14756.552872691316</v>
      </c>
      <c r="P8" s="47">
        <f t="shared" si="2"/>
        <v>14.711085541311279</v>
      </c>
      <c r="Q8" s="21"/>
      <c r="R8" s="21"/>
      <c r="S8" s="21"/>
      <c r="T8" s="21"/>
      <c r="U8" s="22"/>
      <c r="V8" s="50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5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49"/>
      <c r="AX8" s="26"/>
    </row>
    <row r="9" spans="1:50" x14ac:dyDescent="0.25">
      <c r="A9" s="24"/>
      <c r="B9" s="24"/>
      <c r="C9" s="38"/>
      <c r="D9" s="42"/>
      <c r="E9" s="24"/>
      <c r="F9" s="24"/>
      <c r="G9" s="42"/>
      <c r="H9" s="24"/>
      <c r="I9" s="24"/>
      <c r="J9" s="24"/>
      <c r="K9" s="42"/>
      <c r="L9" s="56" t="s">
        <v>31</v>
      </c>
      <c r="M9" s="24"/>
      <c r="N9" s="24"/>
      <c r="O9" s="24"/>
      <c r="P9" s="24"/>
      <c r="Q9" s="21"/>
      <c r="R9" s="21"/>
      <c r="S9" s="21"/>
      <c r="T9" s="21"/>
      <c r="U9" s="22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</row>
    <row r="10" spans="1:50" x14ac:dyDescent="0.25">
      <c r="A10" s="33"/>
      <c r="B10" s="33"/>
      <c r="C10" s="57" t="s">
        <v>32</v>
      </c>
      <c r="D10" s="58" t="s">
        <v>5</v>
      </c>
      <c r="E10" s="57" t="s">
        <v>33</v>
      </c>
      <c r="F10" s="33" t="s">
        <v>34</v>
      </c>
      <c r="G10" s="58" t="s">
        <v>5</v>
      </c>
      <c r="H10" s="57" t="s">
        <v>35</v>
      </c>
      <c r="I10" s="33"/>
      <c r="J10" s="33"/>
      <c r="K10" s="58" t="s">
        <v>5</v>
      </c>
      <c r="L10" s="59" t="s">
        <v>5</v>
      </c>
      <c r="M10" s="24"/>
      <c r="N10" s="24"/>
      <c r="O10" s="24"/>
      <c r="P10" s="24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</row>
    <row r="11" spans="1:50" x14ac:dyDescent="0.25">
      <c r="A11" s="24"/>
      <c r="B11" s="24"/>
      <c r="C11" s="38"/>
      <c r="D11" s="42"/>
      <c r="E11" s="38"/>
      <c r="F11" s="39"/>
      <c r="G11" s="42"/>
      <c r="H11" s="38" t="s">
        <v>36</v>
      </c>
      <c r="I11" s="39" t="s">
        <v>37</v>
      </c>
      <c r="J11" s="32" t="s">
        <v>53</v>
      </c>
      <c r="K11" s="42"/>
      <c r="L11" s="56"/>
      <c r="M11" s="24"/>
      <c r="N11" s="24"/>
      <c r="O11" s="24"/>
      <c r="P11" s="24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</row>
    <row r="12" spans="1:50" x14ac:dyDescent="0.25">
      <c r="A12" s="24" t="s">
        <v>0</v>
      </c>
      <c r="B12" s="24"/>
      <c r="C12" s="60">
        <f>[2]NH!CD45</f>
        <v>0</v>
      </c>
      <c r="D12" s="61">
        <f>C12*C$18</f>
        <v>0</v>
      </c>
      <c r="E12" s="60">
        <f>[2]NH!CE45</f>
        <v>0</v>
      </c>
      <c r="F12" s="60">
        <f>[2]NH!CF45</f>
        <v>0</v>
      </c>
      <c r="G12" s="62">
        <f>E12*E$18+F12*F$18</f>
        <v>0</v>
      </c>
      <c r="H12" s="60">
        <f>(E12)*[2]Variables!$C$31</f>
        <v>0</v>
      </c>
      <c r="I12" s="60">
        <f>(E12*3.55+F12+C12)*[2]Variables!$C$29</f>
        <v>0</v>
      </c>
      <c r="J12" s="60">
        <f>(E12)*[2]Variables!$C$30</f>
        <v>0</v>
      </c>
      <c r="K12" s="63">
        <f>H12*H$18+I12*I$18+J12*J$18</f>
        <v>0</v>
      </c>
      <c r="L12" s="64">
        <f>K4*L$18</f>
        <v>0</v>
      </c>
      <c r="M12" s="24"/>
      <c r="N12" s="24"/>
      <c r="O12" s="86"/>
      <c r="P12" s="86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</row>
    <row r="13" spans="1:50" x14ac:dyDescent="0.25">
      <c r="A13" s="24" t="s">
        <v>38</v>
      </c>
      <c r="B13" s="24"/>
      <c r="C13" s="65">
        <f>[2]S!CD45</f>
        <v>4219.7054687343116</v>
      </c>
      <c r="D13" s="61">
        <f>C13*C$18</f>
        <v>2827202.6640519886</v>
      </c>
      <c r="E13" s="60">
        <f>[2]S!CE45</f>
        <v>0</v>
      </c>
      <c r="F13" s="60">
        <f>[2]S!CF45</f>
        <v>0</v>
      </c>
      <c r="G13" s="62">
        <f>E13*E$18+F13*F$18</f>
        <v>0</v>
      </c>
      <c r="H13" s="60">
        <f>(E13)*[2]Variables!$C$31</f>
        <v>0</v>
      </c>
      <c r="I13" s="60">
        <f>(E13*3.55+F13+C13)*[2]Variables!$C$29</f>
        <v>2.109852734367156</v>
      </c>
      <c r="J13" s="60">
        <f>(E13)*[2]Variables!$C$30</f>
        <v>0</v>
      </c>
      <c r="K13" s="63">
        <f>H13*H$18+I13*I$18+J13*J$18</f>
        <v>60242.625124385406</v>
      </c>
      <c r="L13" s="64">
        <f>K5*L$18</f>
        <v>0</v>
      </c>
      <c r="M13" s="24"/>
      <c r="N13" s="66"/>
      <c r="O13" s="86"/>
      <c r="P13" s="86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</row>
    <row r="14" spans="1:50" x14ac:dyDescent="0.25">
      <c r="A14" s="24" t="s">
        <v>10</v>
      </c>
      <c r="B14" s="24"/>
      <c r="C14" s="65">
        <f>[2]HGD!CD45</f>
        <v>7063.2485409818973</v>
      </c>
      <c r="D14" s="61">
        <f>C14*C$18</f>
        <v>4732376.5224578716</v>
      </c>
      <c r="E14" s="67">
        <f>[2]HGD!CE45</f>
        <v>123.81537648267957</v>
      </c>
      <c r="F14" s="67">
        <f>[2]HGD!CF45</f>
        <v>45.110574872306174</v>
      </c>
      <c r="G14" s="62">
        <f>E14*E$18+F14*F$18</f>
        <v>742713.89906178741</v>
      </c>
      <c r="H14" s="60">
        <f>(E14)*[2]Variables!$C$31</f>
        <v>6.1907688241339791</v>
      </c>
      <c r="I14" s="60">
        <f>(E14*3.55+F14+C14)*[2]Variables!$C$29</f>
        <v>3.7739518511838579</v>
      </c>
      <c r="J14" s="60">
        <f>(E14)*[2]Variables!$C$30</f>
        <v>1.2381537648267957</v>
      </c>
      <c r="K14" s="63">
        <f>H14*H$18+I14*I$18+J14*J$18</f>
        <v>115275.71686688099</v>
      </c>
      <c r="L14" s="64">
        <f>K6*L$18</f>
        <v>0</v>
      </c>
      <c r="M14" s="24"/>
      <c r="N14" s="66"/>
      <c r="O14" s="86"/>
      <c r="P14" s="86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</row>
    <row r="15" spans="1:50" x14ac:dyDescent="0.25">
      <c r="A15" s="24" t="s">
        <v>9</v>
      </c>
      <c r="B15" s="24"/>
      <c r="C15" s="65">
        <f>[2]LGD!CD45</f>
        <v>0</v>
      </c>
      <c r="D15" s="61">
        <f>C15*C$18</f>
        <v>0</v>
      </c>
      <c r="E15" s="67">
        <f>[2]LGD!CE45</f>
        <v>0</v>
      </c>
      <c r="F15" s="67">
        <f>[2]LGD!CF45</f>
        <v>0</v>
      </c>
      <c r="G15" s="62">
        <f>E15*E$18+F15*F$18</f>
        <v>0</v>
      </c>
      <c r="H15" s="60">
        <f>(E15)*[2]Variables!$C$31</f>
        <v>0</v>
      </c>
      <c r="I15" s="60">
        <f>(E15*3.55+F15+C15)*[2]Variables!$C$29</f>
        <v>0</v>
      </c>
      <c r="J15" s="60">
        <f>(E15)*[2]Variables!$C$30</f>
        <v>0</v>
      </c>
      <c r="K15" s="63">
        <f>H15*H$18+I15*I$18+J15*J$18</f>
        <v>0</v>
      </c>
      <c r="L15" s="64">
        <f>K7*L$18</f>
        <v>0</v>
      </c>
      <c r="M15" s="24"/>
      <c r="N15" s="66"/>
      <c r="O15" s="86"/>
      <c r="P15" s="86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</row>
    <row r="16" spans="1:50" x14ac:dyDescent="0.25">
      <c r="A16" s="24" t="s">
        <v>39</v>
      </c>
      <c r="B16" s="24"/>
      <c r="C16" s="65">
        <f>[2]BE!CD45</f>
        <v>8016.4966412215235</v>
      </c>
      <c r="D16" s="61">
        <f>C16*C$18</f>
        <v>5371052.7496184204</v>
      </c>
      <c r="E16" s="67">
        <f>[2]BE!CE45</f>
        <v>1000</v>
      </c>
      <c r="F16" s="67">
        <f>[2]BE!CF45</f>
        <v>512.81622374619315</v>
      </c>
      <c r="G16" s="62">
        <f>E16*E$18+F16*F$18</f>
        <v>6148820.0184311476</v>
      </c>
      <c r="H16" s="60">
        <f>(E16)*[2]Variables!$C$31</f>
        <v>50</v>
      </c>
      <c r="I16" s="60">
        <f>(E16*3.55+F16+C16)*[2]Variables!$C$29</f>
        <v>6.0396564324838584</v>
      </c>
      <c r="J16" s="60">
        <f>(E16)*[2]Variables!$C$30</f>
        <v>10</v>
      </c>
      <c r="K16" s="63">
        <f>H16*H$18+I16*I$18+J16*J$18</f>
        <v>233170.3101167116</v>
      </c>
      <c r="L16" s="64">
        <f>K8*L$18</f>
        <v>0</v>
      </c>
      <c r="M16" s="24"/>
      <c r="N16" s="66"/>
      <c r="O16" s="86"/>
      <c r="P16" s="86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</row>
    <row r="17" spans="1:31" x14ac:dyDescent="0.25">
      <c r="A17" s="24"/>
      <c r="B17" s="24"/>
      <c r="C17" s="38"/>
      <c r="D17" s="42"/>
      <c r="E17" s="38"/>
      <c r="F17" s="68"/>
      <c r="G17" s="69"/>
      <c r="H17" s="70"/>
      <c r="I17" s="39"/>
      <c r="J17" s="39"/>
      <c r="K17" s="42"/>
      <c r="L17" s="56"/>
      <c r="M17" s="24"/>
      <c r="N17" s="66"/>
      <c r="O17" s="66"/>
      <c r="P17" s="66"/>
      <c r="Q17" s="24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 spans="1:31" x14ac:dyDescent="0.25">
      <c r="A18" s="71" t="s">
        <v>40</v>
      </c>
      <c r="B18" s="71"/>
      <c r="C18" s="72">
        <f>[2]Variables!B5</f>
        <v>670</v>
      </c>
      <c r="D18" s="73"/>
      <c r="E18" s="74">
        <f>[2]Variables!C3</f>
        <v>5629.85</v>
      </c>
      <c r="F18" s="75">
        <f>[2]Variables!B4</f>
        <v>1012</v>
      </c>
      <c r="G18" s="76"/>
      <c r="H18" s="74">
        <f>[2]Variables!B7</f>
        <v>1012</v>
      </c>
      <c r="I18" s="75">
        <f>[2]Variables!B8</f>
        <v>28553</v>
      </c>
      <c r="J18" s="75">
        <f>[2]Variables!B7</f>
        <v>1012</v>
      </c>
      <c r="K18" s="77"/>
      <c r="L18" s="74">
        <v>1967</v>
      </c>
      <c r="M18" s="78"/>
      <c r="N18" s="24"/>
      <c r="O18" s="24"/>
      <c r="P18" s="24"/>
      <c r="Q18" s="24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 spans="1:31" x14ac:dyDescent="0.25">
      <c r="A19" s="79" t="s">
        <v>41</v>
      </c>
      <c r="B19" s="79"/>
      <c r="C19" s="80">
        <f>[2]Variables!D23</f>
        <v>8.2191780821917802E-4</v>
      </c>
      <c r="D19" s="81"/>
      <c r="E19" s="80">
        <f>[2]Variables!D24</f>
        <v>2.3589041095890408E-2</v>
      </c>
      <c r="F19" s="82">
        <f>[2]Variables!E24</f>
        <v>5.7534246575342458E-3</v>
      </c>
      <c r="G19" s="83"/>
      <c r="H19" s="80">
        <f>I19</f>
        <v>4.6027397260273967E-2</v>
      </c>
      <c r="I19" s="82">
        <f>[2]Variables!E25</f>
        <v>4.6027397260273967E-2</v>
      </c>
      <c r="J19" s="82">
        <f>[2]Variables!D26</f>
        <v>5.7534246575342458E-3</v>
      </c>
      <c r="K19" s="84"/>
      <c r="L19" s="85"/>
      <c r="M19" s="86"/>
      <c r="N19" s="24"/>
      <c r="O19" s="24"/>
      <c r="P19" s="24"/>
      <c r="Q19" s="24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 spans="1:31" x14ac:dyDescent="0.25">
      <c r="A20" s="24"/>
      <c r="B20" s="24"/>
      <c r="C20" s="28" t="s">
        <v>42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 spans="1:31" x14ac:dyDescent="0.25">
      <c r="A21" s="24"/>
      <c r="B21" s="24"/>
      <c r="C21" s="29" t="s">
        <v>16</v>
      </c>
      <c r="D21" s="30" t="s">
        <v>16</v>
      </c>
      <c r="E21" s="30" t="s">
        <v>16</v>
      </c>
      <c r="F21" s="30" t="s">
        <v>17</v>
      </c>
      <c r="G21" s="30" t="s">
        <v>17</v>
      </c>
      <c r="H21" s="30" t="s">
        <v>17</v>
      </c>
      <c r="I21" s="30" t="s">
        <v>18</v>
      </c>
      <c r="J21" s="30" t="s">
        <v>18</v>
      </c>
      <c r="K21" s="30" t="s">
        <v>18</v>
      </c>
      <c r="L21" s="30" t="s">
        <v>52</v>
      </c>
      <c r="M21" s="30" t="s">
        <v>52</v>
      </c>
      <c r="N21" s="30" t="s">
        <v>52</v>
      </c>
      <c r="O21" s="87" t="s">
        <v>43</v>
      </c>
      <c r="P21" s="88" t="s">
        <v>20</v>
      </c>
      <c r="Q21" s="24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 spans="1:31" ht="26.25" x14ac:dyDescent="0.25">
      <c r="A22" s="24"/>
      <c r="B22" s="24"/>
      <c r="C22" s="31" t="s">
        <v>44</v>
      </c>
      <c r="D22" s="32" t="s">
        <v>45</v>
      </c>
      <c r="E22" s="32" t="s">
        <v>54</v>
      </c>
      <c r="F22" s="32" t="s">
        <v>44</v>
      </c>
      <c r="G22" s="32" t="s">
        <v>45</v>
      </c>
      <c r="H22" s="32" t="s">
        <v>54</v>
      </c>
      <c r="I22" s="32" t="s">
        <v>44</v>
      </c>
      <c r="J22" s="32" t="s">
        <v>45</v>
      </c>
      <c r="K22" s="32" t="s">
        <v>54</v>
      </c>
      <c r="L22" s="32" t="s">
        <v>44</v>
      </c>
      <c r="M22" s="32" t="s">
        <v>45</v>
      </c>
      <c r="N22" s="32" t="s">
        <v>54</v>
      </c>
      <c r="O22" s="89"/>
      <c r="P22" s="56"/>
      <c r="Q22" s="24"/>
      <c r="R22" s="21"/>
      <c r="S22" s="21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21"/>
      <c r="AE22" s="21"/>
    </row>
    <row r="23" spans="1:31" x14ac:dyDescent="0.25">
      <c r="A23" s="24" t="s">
        <v>0</v>
      </c>
      <c r="B23" s="24"/>
      <c r="C23" s="43">
        <f>[2]NH!CK45</f>
        <v>11.797788682979165</v>
      </c>
      <c r="D23" s="43">
        <f>[2]NH!CL45</f>
        <v>63.111637076348821</v>
      </c>
      <c r="E23" s="43">
        <f>[2]NH!CN45</f>
        <v>14.995429831497496</v>
      </c>
      <c r="F23" s="43">
        <f>[2]NH!CO45</f>
        <v>11.797081452840153</v>
      </c>
      <c r="G23" s="43">
        <f>[2]NH!CP45</f>
        <v>44.232396614424303</v>
      </c>
      <c r="H23" s="43">
        <f>[2]NH!CR45</f>
        <v>19.675888778919187</v>
      </c>
      <c r="I23" s="43">
        <f>[2]NH!CS45</f>
        <v>5.6934218932550476</v>
      </c>
      <c r="J23" s="43">
        <f>[2]NH!CT45</f>
        <v>13.987910575831799</v>
      </c>
      <c r="K23" s="43">
        <f>[2]NH!CV45</f>
        <v>18.586597598800921</v>
      </c>
      <c r="L23" s="43">
        <f>[2]NH!$CW$45</f>
        <v>3.4355419645115681</v>
      </c>
      <c r="M23" s="43">
        <f>[2]NH!$CX$45</f>
        <v>13.588357155952048</v>
      </c>
      <c r="N23" s="43">
        <f>[2]NH!$CZ$45</f>
        <v>6.0335473213346784</v>
      </c>
      <c r="O23" s="91">
        <f>SUMPRODUCT(C23:N23,C$29:N$29)</f>
        <v>7221085.0501804119</v>
      </c>
      <c r="P23" s="92">
        <f>O23+K12+G12+D12+L12</f>
        <v>7221085.0501804119</v>
      </c>
      <c r="Q23" s="24"/>
      <c r="R23" s="21"/>
      <c r="S23" s="21"/>
      <c r="T23" s="90"/>
      <c r="U23" s="90"/>
      <c r="V23" s="93"/>
      <c r="W23" s="94"/>
      <c r="X23" s="95"/>
      <c r="Y23" s="96"/>
      <c r="Z23" s="93"/>
      <c r="AA23" s="96"/>
      <c r="AB23" s="96"/>
      <c r="AC23" s="90"/>
      <c r="AD23" s="21"/>
      <c r="AE23" s="23"/>
    </row>
    <row r="24" spans="1:31" x14ac:dyDescent="0.25">
      <c r="A24" s="24" t="s">
        <v>38</v>
      </c>
      <c r="B24" s="24"/>
      <c r="C24" s="43">
        <f>[2]S!CK45</f>
        <v>92.728724897409222</v>
      </c>
      <c r="D24" s="43">
        <f>[2]S!CL45</f>
        <v>571.33952370592772</v>
      </c>
      <c r="E24" s="43">
        <f>[2]S!CN45</f>
        <v>78.314211987232028</v>
      </c>
      <c r="F24" s="43">
        <f>[2]S!CO45</f>
        <v>9.882589601197747</v>
      </c>
      <c r="G24" s="43">
        <f>[2]S!CP45</f>
        <v>40.770746349586119</v>
      </c>
      <c r="H24" s="43">
        <f>[2]S!CR45</f>
        <v>9.9377152575400522</v>
      </c>
      <c r="I24" s="43">
        <f>[2]S!CS45</f>
        <v>1.4928550627288313</v>
      </c>
      <c r="J24" s="43">
        <f>[2]S!CT45</f>
        <v>3.13153836495793</v>
      </c>
      <c r="K24" s="43">
        <f>[2]S!CV45</f>
        <v>2.8129273357317439</v>
      </c>
      <c r="L24" s="43">
        <f>[2]S!$CW$45</f>
        <v>0.27967806495306197</v>
      </c>
      <c r="M24" s="43">
        <f>[2]S!$CX$45</f>
        <v>0.77437299397600767</v>
      </c>
      <c r="N24" s="43">
        <f>[2]S!$CZ$45</f>
        <v>0.6520815089564258</v>
      </c>
      <c r="O24" s="91">
        <f t="shared" ref="O24:O27" si="3">SUMPRODUCT(C24:N24,C$29:N$29)</f>
        <v>14960366.018872634</v>
      </c>
      <c r="P24" s="92">
        <f>O24+K13+G13+D13+L13</f>
        <v>17847811.308049008</v>
      </c>
      <c r="Q24" s="24"/>
      <c r="R24" s="21"/>
      <c r="S24" s="21"/>
      <c r="T24" s="90"/>
      <c r="U24" s="90"/>
      <c r="V24" s="93"/>
      <c r="W24" s="94"/>
      <c r="X24" s="95"/>
      <c r="Y24" s="96"/>
      <c r="Z24" s="97"/>
      <c r="AA24" s="96"/>
      <c r="AB24" s="96"/>
      <c r="AC24" s="90"/>
      <c r="AD24" s="21"/>
      <c r="AE24" s="23"/>
    </row>
    <row r="25" spans="1:31" x14ac:dyDescent="0.25">
      <c r="A25" s="24" t="s">
        <v>10</v>
      </c>
      <c r="B25" s="24"/>
      <c r="C25" s="43">
        <f>[2]HGD!CK45</f>
        <v>43.145782198205559</v>
      </c>
      <c r="D25" s="43">
        <f>[2]HGD!CL45</f>
        <v>260.26006807192465</v>
      </c>
      <c r="E25" s="43">
        <f>[2]HGD!CN45</f>
        <v>36.75810892778663</v>
      </c>
      <c r="F25" s="43">
        <f>[2]HGD!CO45</f>
        <v>4.7328785557549615</v>
      </c>
      <c r="G25" s="43">
        <f>[2]HGD!CP45</f>
        <v>19.276393491181864</v>
      </c>
      <c r="H25" s="43">
        <f>[2]HGD!CR45</f>
        <v>5.3311663660900956</v>
      </c>
      <c r="I25" s="43">
        <f>[2]HGD!CS45</f>
        <v>0.99116769620679468</v>
      </c>
      <c r="J25" s="43">
        <f>[2]HGD!CT45</f>
        <v>2.5397737521203751</v>
      </c>
      <c r="K25" s="43">
        <f>[2]HGD!CV45</f>
        <v>2.4910672635074373</v>
      </c>
      <c r="L25" s="43">
        <f>[2]HGD!$CW$45</f>
        <v>0.21184306466999608</v>
      </c>
      <c r="M25" s="43">
        <f>[2]HGD!$CX$45</f>
        <v>0.657442741141123</v>
      </c>
      <c r="N25" s="43">
        <f>[2]HGD!$CZ$45</f>
        <v>0.53349439595496295</v>
      </c>
      <c r="O25" s="91">
        <f t="shared" si="3"/>
        <v>7171176.9657846401</v>
      </c>
      <c r="P25" s="92">
        <f>O25+K14+G14+D14+L14</f>
        <v>12761543.104171179</v>
      </c>
      <c r="Q25" s="24"/>
      <c r="R25" s="21"/>
      <c r="S25" s="21"/>
      <c r="T25" s="90"/>
      <c r="U25" s="90"/>
      <c r="V25" s="93"/>
      <c r="W25" s="94"/>
      <c r="X25" s="95"/>
      <c r="Y25" s="96"/>
      <c r="Z25" s="97"/>
      <c r="AA25" s="96"/>
      <c r="AB25" s="96"/>
      <c r="AC25" s="90"/>
      <c r="AD25" s="21"/>
      <c r="AE25" s="23"/>
    </row>
    <row r="26" spans="1:31" x14ac:dyDescent="0.25">
      <c r="A26" s="24" t="s">
        <v>9</v>
      </c>
      <c r="B26" s="24"/>
      <c r="C26" s="43">
        <f>[2]LGD!CK45</f>
        <v>0</v>
      </c>
      <c r="D26" s="43">
        <f>[2]LGD!CL45</f>
        <v>0</v>
      </c>
      <c r="E26" s="43">
        <f>[2]LGD!CN45</f>
        <v>0</v>
      </c>
      <c r="F26" s="43">
        <f>[2]LGD!CO45</f>
        <v>0</v>
      </c>
      <c r="G26" s="43">
        <f>[2]LGD!CP45</f>
        <v>0</v>
      </c>
      <c r="H26" s="43">
        <f>[2]LGD!CR45</f>
        <v>0</v>
      </c>
      <c r="I26" s="43">
        <f>[2]LGD!CS45</f>
        <v>0</v>
      </c>
      <c r="J26" s="43">
        <f>[2]LGD!CT45</f>
        <v>0</v>
      </c>
      <c r="K26" s="43">
        <f>[2]LGD!CV45</f>
        <v>0</v>
      </c>
      <c r="L26" s="43">
        <f>[2]LGD!$CW$45</f>
        <v>0</v>
      </c>
      <c r="M26" s="43">
        <f>[2]LGD!$CX$45</f>
        <v>0</v>
      </c>
      <c r="N26" s="43">
        <f>[2]LGD!$CZ$45</f>
        <v>0</v>
      </c>
      <c r="O26" s="91">
        <f t="shared" si="3"/>
        <v>0</v>
      </c>
      <c r="P26" s="92">
        <f>O26+K15+G15+D15+L15</f>
        <v>0</v>
      </c>
      <c r="Q26" s="24"/>
      <c r="R26" s="21"/>
      <c r="S26" s="21"/>
      <c r="T26" s="90"/>
      <c r="U26" s="90"/>
      <c r="V26" s="93"/>
      <c r="W26" s="94"/>
      <c r="X26" s="95"/>
      <c r="Y26" s="96"/>
      <c r="Z26" s="97"/>
      <c r="AA26" s="96"/>
      <c r="AB26" s="96"/>
      <c r="AC26" s="90"/>
      <c r="AD26" s="21"/>
      <c r="AE26" s="23"/>
    </row>
    <row r="27" spans="1:31" x14ac:dyDescent="0.25">
      <c r="A27" s="24" t="s">
        <v>39</v>
      </c>
      <c r="B27" s="24"/>
      <c r="C27" s="43">
        <f>[2]BE!CK45</f>
        <v>6.4015109532196091</v>
      </c>
      <c r="D27" s="43">
        <f>[2]BE!CL45</f>
        <v>41.485092839322384</v>
      </c>
      <c r="E27" s="43">
        <f>[2]BE!CN45</f>
        <v>5.7347843814168789</v>
      </c>
      <c r="F27" s="43">
        <f>[2]BE!CO45</f>
        <v>1.5172586113326896</v>
      </c>
      <c r="G27" s="43">
        <f>[2]BE!CP45</f>
        <v>6.5565447266062273</v>
      </c>
      <c r="H27" s="43">
        <f>[2]BE!CR45</f>
        <v>2.066762132980958</v>
      </c>
      <c r="I27" s="43">
        <f>[2]BE!CS45</f>
        <v>0.71040440332744403</v>
      </c>
      <c r="J27" s="43">
        <f>[2]BE!CT45</f>
        <v>1.8298999434334853</v>
      </c>
      <c r="K27" s="43">
        <f>[2]BE!CV45</f>
        <v>1.8178196678389933</v>
      </c>
      <c r="L27" s="43">
        <f>[2]BE!$CW$45</f>
        <v>0.27161247418807094</v>
      </c>
      <c r="M27" s="43">
        <f>[2]BE!$CX$45</f>
        <v>1.1317189077425094</v>
      </c>
      <c r="N27" s="43">
        <f>[2]BE!$CZ$45</f>
        <v>0.47313542196089892</v>
      </c>
      <c r="O27" s="91">
        <f t="shared" si="3"/>
        <v>1480494.8375274041</v>
      </c>
      <c r="P27" s="92">
        <f>O27+K16+G16+D16+L16</f>
        <v>13233537.915693684</v>
      </c>
      <c r="Q27" s="24"/>
      <c r="R27" s="21"/>
      <c r="S27" s="21"/>
      <c r="T27" s="90"/>
      <c r="U27" s="90"/>
      <c r="V27" s="93"/>
      <c r="W27" s="94"/>
      <c r="X27" s="95"/>
      <c r="Y27" s="96"/>
      <c r="Z27" s="97"/>
      <c r="AA27" s="96"/>
      <c r="AB27" s="96"/>
      <c r="AC27" s="90"/>
      <c r="AD27" s="21"/>
      <c r="AE27" s="23"/>
    </row>
    <row r="28" spans="1:31" x14ac:dyDescent="0.25">
      <c r="A28" s="24"/>
      <c r="B28" s="24"/>
      <c r="C28" s="38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42"/>
      <c r="P28" s="56"/>
      <c r="Q28" s="24"/>
      <c r="R28" s="21"/>
      <c r="S28" s="21"/>
      <c r="T28" s="90"/>
      <c r="U28" s="90"/>
      <c r="V28" s="93"/>
      <c r="W28" s="94"/>
      <c r="X28" s="93"/>
      <c r="Y28" s="90"/>
      <c r="Z28" s="90"/>
      <c r="AA28" s="90"/>
      <c r="AB28" s="90"/>
      <c r="AC28" s="90"/>
      <c r="AD28" s="21"/>
      <c r="AE28" s="21"/>
    </row>
    <row r="29" spans="1:31" x14ac:dyDescent="0.25">
      <c r="A29" s="71" t="s">
        <v>40</v>
      </c>
      <c r="B29" s="71"/>
      <c r="C29" s="72">
        <f>[2]Variables!B10</f>
        <v>58997</v>
      </c>
      <c r="D29" s="98">
        <v>4080</v>
      </c>
      <c r="E29" s="98">
        <f>[2]Variables!B14</f>
        <v>64704</v>
      </c>
      <c r="F29" s="98">
        <f>[2]Variables!B11</f>
        <v>75295</v>
      </c>
      <c r="G29" s="98">
        <v>4080</v>
      </c>
      <c r="H29" s="98">
        <f>[2]Variables!B15</f>
        <v>77742</v>
      </c>
      <c r="I29" s="98">
        <v>57169</v>
      </c>
      <c r="J29" s="98">
        <v>4080</v>
      </c>
      <c r="K29" s="98">
        <f>[2]Variables!B16</f>
        <v>85212</v>
      </c>
      <c r="L29" s="98">
        <f t="shared" ref="L29:N30" si="4">AVERAGE(C29,F29,I29)</f>
        <v>63820.333333333336</v>
      </c>
      <c r="M29" s="98">
        <f t="shared" si="4"/>
        <v>4080</v>
      </c>
      <c r="N29" s="98">
        <f t="shared" si="4"/>
        <v>75886</v>
      </c>
      <c r="O29" s="99"/>
      <c r="P29" s="56"/>
      <c r="Q29" s="24"/>
      <c r="R29" s="21"/>
      <c r="S29" s="21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21"/>
      <c r="AE29" s="21"/>
    </row>
    <row r="30" spans="1:31" x14ac:dyDescent="0.25">
      <c r="A30" s="79" t="s">
        <v>41</v>
      </c>
      <c r="B30" s="79"/>
      <c r="C30" s="100">
        <v>0.16200000000000003</v>
      </c>
      <c r="D30" s="101">
        <v>0.04</v>
      </c>
      <c r="E30" s="101">
        <v>0.04</v>
      </c>
      <c r="F30" s="101">
        <v>0.34599999999999997</v>
      </c>
      <c r="G30" s="101">
        <f>F30</f>
        <v>0.34599999999999997</v>
      </c>
      <c r="H30" s="101">
        <f>G30</f>
        <v>0.34599999999999997</v>
      </c>
      <c r="I30" s="101">
        <v>0.60499999999999998</v>
      </c>
      <c r="J30" s="101">
        <f>I30</f>
        <v>0.60499999999999998</v>
      </c>
      <c r="K30" s="101">
        <f>J30</f>
        <v>0.60499999999999998</v>
      </c>
      <c r="L30" s="158">
        <f t="shared" si="4"/>
        <v>0.371</v>
      </c>
      <c r="M30" s="158">
        <f t="shared" si="4"/>
        <v>0.33033333333333331</v>
      </c>
      <c r="N30" s="158">
        <f t="shared" si="4"/>
        <v>0.33033333333333331</v>
      </c>
      <c r="O30" s="84"/>
      <c r="P30" s="102"/>
      <c r="Q30" s="24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 spans="1:31" x14ac:dyDescent="0.25">
      <c r="A31" s="24"/>
      <c r="B31" s="24"/>
      <c r="C31" s="24">
        <f>1-C30</f>
        <v>0.83799999999999997</v>
      </c>
      <c r="D31" s="24">
        <f t="shared" ref="D31:K31" si="5">1-D30</f>
        <v>0.96</v>
      </c>
      <c r="E31" s="24">
        <f t="shared" si="5"/>
        <v>0.96</v>
      </c>
      <c r="F31" s="24">
        <f t="shared" si="5"/>
        <v>0.65400000000000003</v>
      </c>
      <c r="G31" s="24">
        <f t="shared" si="5"/>
        <v>0.65400000000000003</v>
      </c>
      <c r="H31" s="24">
        <f t="shared" si="5"/>
        <v>0.65400000000000003</v>
      </c>
      <c r="I31" s="24">
        <f t="shared" si="5"/>
        <v>0.39500000000000002</v>
      </c>
      <c r="J31" s="24">
        <f t="shared" si="5"/>
        <v>0.39500000000000002</v>
      </c>
      <c r="K31" s="24">
        <f t="shared" si="5"/>
        <v>0.39500000000000002</v>
      </c>
      <c r="L31" s="24">
        <f>1-J30</f>
        <v>0.39500000000000002</v>
      </c>
      <c r="M31" s="24">
        <f>1-J30</f>
        <v>0.39500000000000002</v>
      </c>
      <c r="N31" s="24">
        <f>1-K30</f>
        <v>0.39500000000000002</v>
      </c>
      <c r="O31" s="24"/>
      <c r="P31" s="24"/>
      <c r="Q31" s="24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 spans="1:3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 spans="1:17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</row>
    <row r="34" spans="1:17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86"/>
      <c r="Q34" s="24"/>
    </row>
    <row r="35" spans="1:17" x14ac:dyDescent="0.25">
      <c r="A35" s="103"/>
      <c r="B35" s="103"/>
      <c r="C35" s="103" t="s">
        <v>5</v>
      </c>
      <c r="D35" s="103" t="s">
        <v>46</v>
      </c>
      <c r="E35" s="103"/>
      <c r="F35" s="103" t="s">
        <v>47</v>
      </c>
      <c r="G35" s="103"/>
      <c r="H35" s="103"/>
      <c r="I35" s="103"/>
      <c r="J35" s="103"/>
      <c r="K35" s="103"/>
      <c r="L35" s="103"/>
      <c r="M35" s="103"/>
      <c r="N35" s="103"/>
      <c r="O35" s="24"/>
      <c r="P35" s="86"/>
      <c r="Q35" s="24"/>
    </row>
    <row r="36" spans="1:17" x14ac:dyDescent="0.25">
      <c r="A36" s="104" t="s">
        <v>0</v>
      </c>
      <c r="B36" s="103"/>
      <c r="C36" s="128">
        <f>P23/1000</f>
        <v>7221.0850501804116</v>
      </c>
      <c r="D36" s="129">
        <f>P4</f>
        <v>14.331372055408981</v>
      </c>
      <c r="E36" s="103"/>
      <c r="F36" s="103"/>
      <c r="G36" s="103"/>
      <c r="H36" s="103"/>
      <c r="I36" s="103"/>
      <c r="J36" s="105"/>
      <c r="K36" s="106"/>
      <c r="L36" s="107"/>
      <c r="M36" s="108"/>
      <c r="N36" s="108"/>
      <c r="O36" s="24"/>
      <c r="P36" s="86"/>
      <c r="Q36" s="24"/>
    </row>
    <row r="37" spans="1:17" x14ac:dyDescent="0.25">
      <c r="A37" s="103" t="s">
        <v>10</v>
      </c>
      <c r="B37" s="103"/>
      <c r="C37" s="128">
        <f>P25/1000</f>
        <v>12761.54310417118</v>
      </c>
      <c r="D37" s="129">
        <f>P6</f>
        <v>14.582023632101128</v>
      </c>
      <c r="E37" s="103"/>
      <c r="F37" s="106">
        <f>C37-C$36</f>
        <v>5540.4580539907683</v>
      </c>
      <c r="G37" s="109">
        <f>D37-D$36</f>
        <v>0.25065157669214777</v>
      </c>
      <c r="H37" s="110">
        <f>F37/G37</f>
        <v>22104.221832985324</v>
      </c>
      <c r="I37" s="111"/>
      <c r="J37" s="112"/>
      <c r="K37" s="106"/>
      <c r="L37" s="113"/>
      <c r="M37" s="109"/>
      <c r="N37" s="114"/>
      <c r="O37" s="24"/>
      <c r="P37" s="86"/>
      <c r="Q37" s="24"/>
    </row>
    <row r="38" spans="1:17" x14ac:dyDescent="0.25">
      <c r="A38" s="103" t="s">
        <v>39</v>
      </c>
      <c r="B38" s="103"/>
      <c r="C38" s="128">
        <f>P27/1000</f>
        <v>13233.537915693683</v>
      </c>
      <c r="D38" s="129">
        <f>P8</f>
        <v>14.711085541311279</v>
      </c>
      <c r="E38" s="103"/>
      <c r="F38" s="106">
        <f t="shared" ref="F38:G38" si="6">C38-C$36</f>
        <v>6012.4528655132717</v>
      </c>
      <c r="G38" s="109">
        <f t="shared" si="6"/>
        <v>0.37971348590229859</v>
      </c>
      <c r="H38" s="110">
        <f>F38/G38</f>
        <v>15834.183111053089</v>
      </c>
      <c r="I38" s="111"/>
      <c r="J38" s="112"/>
      <c r="K38" s="109"/>
      <c r="L38" s="113"/>
      <c r="M38" s="109"/>
      <c r="N38" s="114"/>
      <c r="O38" s="24"/>
      <c r="P38" s="24"/>
      <c r="Q38" s="24"/>
    </row>
    <row r="39" spans="1:17" x14ac:dyDescent="0.25">
      <c r="A39" s="103" t="s">
        <v>38</v>
      </c>
      <c r="B39" s="103"/>
      <c r="C39" s="128">
        <f>P24/1000</f>
        <v>17847.811308049007</v>
      </c>
      <c r="D39" s="129">
        <f>P5</f>
        <v>14.343656153717316</v>
      </c>
      <c r="E39" s="103"/>
      <c r="F39" s="106">
        <f>C39-C$36</f>
        <v>10626.726257868595</v>
      </c>
      <c r="G39" s="109">
        <f>D39-D$36</f>
        <v>1.228409830833499E-2</v>
      </c>
      <c r="H39" s="110">
        <f>F39/G39</f>
        <v>865079.8773450196</v>
      </c>
      <c r="I39" s="111"/>
      <c r="J39" s="112"/>
      <c r="K39" s="109"/>
      <c r="L39" s="113"/>
      <c r="M39" s="109"/>
      <c r="N39" s="107"/>
      <c r="O39" s="24"/>
      <c r="P39" s="24"/>
      <c r="Q39" s="24"/>
    </row>
    <row r="40" spans="1:17" x14ac:dyDescent="0.25">
      <c r="A40" s="24"/>
      <c r="B40" s="24"/>
      <c r="C40" s="24"/>
      <c r="D40" s="24"/>
      <c r="E40" s="24"/>
      <c r="F40" s="24"/>
      <c r="G40" s="24"/>
      <c r="H40" s="24"/>
      <c r="I40" s="111"/>
      <c r="J40" s="112"/>
      <c r="K40" s="106"/>
      <c r="L40" s="113"/>
      <c r="M40" s="109"/>
      <c r="N40" s="114"/>
      <c r="O40" s="24"/>
      <c r="P40" s="24"/>
      <c r="Q40" s="24"/>
    </row>
    <row r="41" spans="1:17" x14ac:dyDescent="0.25">
      <c r="A41" s="103"/>
      <c r="B41" s="103"/>
      <c r="C41" s="103"/>
      <c r="D41" s="103"/>
      <c r="E41" s="103"/>
      <c r="F41" s="103"/>
      <c r="G41" s="103"/>
      <c r="H41" s="103"/>
      <c r="I41" s="103"/>
      <c r="J41" s="130"/>
      <c r="K41" s="108"/>
      <c r="L41" s="130"/>
      <c r="M41" s="130"/>
      <c r="N41" s="130"/>
      <c r="O41" s="24"/>
      <c r="P41" s="24"/>
      <c r="Q41" s="24"/>
    </row>
    <row r="42" spans="1:17" x14ac:dyDescent="0.25">
      <c r="A42" s="103"/>
      <c r="B42" s="103"/>
      <c r="C42" s="103"/>
      <c r="D42" s="103"/>
      <c r="E42" s="103"/>
      <c r="F42" s="103"/>
      <c r="G42" s="103"/>
      <c r="H42" s="103"/>
      <c r="I42" s="103"/>
      <c r="J42" s="19"/>
      <c r="K42" s="108"/>
      <c r="L42" s="115"/>
      <c r="M42" s="108"/>
      <c r="N42" s="108"/>
      <c r="O42" s="24"/>
      <c r="P42" s="24"/>
      <c r="Q42" s="24"/>
    </row>
    <row r="43" spans="1:17" x14ac:dyDescent="0.25">
      <c r="A43" s="104"/>
      <c r="B43" s="103"/>
      <c r="C43" s="116"/>
      <c r="D43" s="117"/>
      <c r="E43" s="103"/>
      <c r="F43" s="103"/>
      <c r="G43" s="103"/>
      <c r="H43" s="103"/>
      <c r="I43" s="103"/>
      <c r="J43" s="20"/>
      <c r="K43" s="116"/>
      <c r="L43" s="118"/>
      <c r="M43" s="103"/>
      <c r="N43" s="103"/>
      <c r="O43" s="24"/>
      <c r="P43" s="24"/>
      <c r="Q43" s="24"/>
    </row>
    <row r="44" spans="1:17" x14ac:dyDescent="0.25">
      <c r="A44" s="103"/>
      <c r="B44" s="103"/>
      <c r="C44" s="116"/>
      <c r="D44" s="117"/>
      <c r="E44" s="103"/>
      <c r="F44" s="116"/>
      <c r="G44" s="129"/>
      <c r="H44" s="119"/>
      <c r="I44" s="111"/>
      <c r="J44" s="120"/>
      <c r="K44" s="116"/>
      <c r="L44" s="118"/>
      <c r="M44" s="121"/>
      <c r="N44" s="128"/>
      <c r="O44" s="24"/>
      <c r="P44" s="122"/>
      <c r="Q44" s="24"/>
    </row>
    <row r="45" spans="1:17" x14ac:dyDescent="0.25">
      <c r="A45" s="103"/>
      <c r="B45" s="103"/>
      <c r="C45" s="116"/>
      <c r="D45" s="117"/>
      <c r="E45" s="103"/>
      <c r="F45" s="116"/>
      <c r="G45" s="129"/>
      <c r="H45" s="119"/>
      <c r="I45" s="111"/>
      <c r="J45" s="120"/>
      <c r="K45" s="116"/>
      <c r="L45" s="118"/>
      <c r="M45" s="121"/>
      <c r="N45" s="128"/>
      <c r="O45" s="24"/>
      <c r="P45" s="24"/>
      <c r="Q45" s="24"/>
    </row>
    <row r="46" spans="1:17" x14ac:dyDescent="0.25">
      <c r="A46" s="103"/>
      <c r="B46" s="103"/>
      <c r="C46" s="116"/>
      <c r="D46" s="117"/>
      <c r="E46" s="103"/>
      <c r="F46" s="116"/>
      <c r="G46" s="129"/>
      <c r="H46" s="119"/>
      <c r="I46" s="111"/>
      <c r="J46" s="103"/>
      <c r="K46" s="116"/>
      <c r="L46" s="117"/>
      <c r="M46" s="121"/>
      <c r="N46" s="128"/>
      <c r="O46" s="24"/>
      <c r="P46" s="24"/>
      <c r="Q46" s="21"/>
    </row>
    <row r="47" spans="1:17" x14ac:dyDescent="0.25">
      <c r="A47" s="103"/>
      <c r="B47" s="103"/>
      <c r="C47" s="116"/>
      <c r="D47" s="117"/>
      <c r="E47" s="103"/>
      <c r="F47" s="116"/>
      <c r="G47" s="129"/>
      <c r="H47" s="119"/>
      <c r="I47" s="111"/>
      <c r="J47" s="103"/>
      <c r="K47" s="116"/>
      <c r="L47" s="117"/>
      <c r="M47" s="121"/>
      <c r="N47" s="128"/>
      <c r="O47" s="24"/>
      <c r="P47" s="24"/>
      <c r="Q47" s="21"/>
    </row>
    <row r="49" spans="1:1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</row>
    <row r="50" spans="1:1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</row>
    <row r="51" spans="1:1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</row>
    <row r="52" spans="1:1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</row>
    <row r="53" spans="1:1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</row>
    <row r="54" spans="1:1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</row>
    <row r="55" spans="1:1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</row>
    <row r="56" spans="1:1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</row>
    <row r="57" spans="1:16" x14ac:dyDescent="0.25">
      <c r="A57" s="27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</row>
    <row r="58" spans="1:16" x14ac:dyDescent="0.25">
      <c r="A58" s="24"/>
      <c r="B58" s="24"/>
      <c r="C58" s="123"/>
      <c r="D58" s="124"/>
      <c r="E58" s="124"/>
      <c r="F58" s="124"/>
      <c r="G58" s="124"/>
      <c r="H58" s="124"/>
      <c r="I58" s="124"/>
      <c r="J58" s="124"/>
      <c r="K58" s="124"/>
      <c r="L58" s="124"/>
      <c r="M58" s="123"/>
      <c r="N58" s="123"/>
      <c r="O58" s="123"/>
      <c r="P58" s="125"/>
    </row>
    <row r="59" spans="1:1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</row>
    <row r="60" spans="1:1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</row>
    <row r="61" spans="1:1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</row>
    <row r="62" spans="1:1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</row>
    <row r="63" spans="1:1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</row>
    <row r="64" spans="1:1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B71"/>
  <sheetViews>
    <sheetView topLeftCell="A10" zoomScale="85" zoomScaleNormal="85" zoomScalePageLayoutView="85" workbookViewId="0">
      <selection activeCell="D23" sqref="D23:D27"/>
    </sheetView>
  </sheetViews>
  <sheetFormatPr defaultColWidth="8.85546875" defaultRowHeight="15" x14ac:dyDescent="0.25"/>
  <cols>
    <col min="1" max="1" width="20.7109375" style="24" customWidth="1"/>
    <col min="2" max="2" width="4.7109375" style="24" customWidth="1"/>
    <col min="3" max="3" width="13.28515625" style="24" customWidth="1"/>
    <col min="4" max="4" width="14" style="24" customWidth="1"/>
    <col min="5" max="5" width="11.28515625" style="24" bestFit="1" customWidth="1"/>
    <col min="6" max="6" width="12.140625" style="24" customWidth="1"/>
    <col min="7" max="7" width="13.42578125" style="24" bestFit="1" customWidth="1"/>
    <col min="8" max="8" width="13.28515625" style="24" customWidth="1"/>
    <col min="9" max="9" width="13.28515625" style="24" bestFit="1" customWidth="1"/>
    <col min="10" max="10" width="12.42578125" style="24" customWidth="1"/>
    <col min="11" max="11" width="14.42578125" style="24" customWidth="1"/>
    <col min="12" max="12" width="14" style="24" customWidth="1"/>
    <col min="13" max="13" width="12.85546875" style="24" customWidth="1"/>
    <col min="14" max="14" width="13.28515625" style="24" customWidth="1"/>
    <col min="15" max="15" width="16.42578125" style="24" customWidth="1"/>
    <col min="16" max="16" width="16.28515625" style="24" bestFit="1" customWidth="1"/>
    <col min="17" max="17" width="11" style="24" bestFit="1" customWidth="1"/>
    <col min="18" max="18" width="14.42578125" style="24" customWidth="1"/>
    <col min="19" max="19" width="14.42578125" style="24" bestFit="1" customWidth="1"/>
    <col min="20" max="20" width="15.140625" style="126" customWidth="1"/>
    <col min="21" max="21" width="13.42578125" style="126" bestFit="1" customWidth="1"/>
    <col min="22" max="22" width="15.140625" style="24" customWidth="1"/>
    <col min="23" max="23" width="11" style="24" bestFit="1" customWidth="1"/>
    <col min="24" max="24" width="9.85546875" style="24" bestFit="1" customWidth="1"/>
    <col min="25" max="25" width="10.85546875" style="24" bestFit="1" customWidth="1"/>
    <col min="26" max="26" width="11" style="24" bestFit="1" customWidth="1"/>
    <col min="27" max="27" width="10" style="24" bestFit="1" customWidth="1"/>
    <col min="28" max="28" width="11" style="24" bestFit="1" customWidth="1"/>
    <col min="29" max="29" width="12.7109375" style="24" customWidth="1"/>
    <col min="30" max="30" width="11" style="24" bestFit="1" customWidth="1"/>
    <col min="31" max="31" width="10" style="24" bestFit="1" customWidth="1"/>
    <col min="32" max="32" width="11" style="24" bestFit="1" customWidth="1"/>
    <col min="33" max="33" width="11" style="24" customWidth="1"/>
    <col min="34" max="34" width="11" style="24" bestFit="1" customWidth="1"/>
    <col min="35" max="35" width="12.140625" style="24" bestFit="1" customWidth="1"/>
    <col min="36" max="36" width="11" style="24" bestFit="1" customWidth="1"/>
    <col min="37" max="37" width="11" style="24" customWidth="1"/>
    <col min="38" max="38" width="13.7109375" style="24" bestFit="1" customWidth="1"/>
    <col min="39" max="40" width="11" style="24" bestFit="1" customWidth="1"/>
    <col min="41" max="41" width="9.42578125" style="24" bestFit="1" customWidth="1"/>
    <col min="42" max="42" width="11" style="24" bestFit="1" customWidth="1"/>
    <col min="43" max="43" width="9.42578125" style="24" bestFit="1" customWidth="1"/>
    <col min="44" max="44" width="8.42578125" style="24" bestFit="1" customWidth="1"/>
    <col min="45" max="45" width="11" style="24" bestFit="1" customWidth="1"/>
    <col min="46" max="48" width="11" style="24" customWidth="1"/>
    <col min="49" max="49" width="8.85546875" style="24"/>
    <col min="50" max="50" width="15.7109375" style="24" bestFit="1" customWidth="1"/>
    <col min="51" max="51" width="18" style="24" bestFit="1" customWidth="1"/>
    <col min="52" max="52" width="8.85546875" style="24"/>
    <col min="53" max="53" width="11.7109375" style="24" customWidth="1"/>
    <col min="54" max="16384" width="8.85546875" style="24"/>
  </cols>
  <sheetData>
    <row r="1" spans="1:54" x14ac:dyDescent="0.25">
      <c r="A1" s="33" t="s">
        <v>12</v>
      </c>
      <c r="B1" s="33"/>
      <c r="C1" s="34" t="s">
        <v>13</v>
      </c>
      <c r="D1" s="33"/>
      <c r="E1" s="33" t="s">
        <v>14</v>
      </c>
      <c r="F1" s="33"/>
      <c r="G1" s="33"/>
      <c r="H1" s="33"/>
      <c r="I1" s="33"/>
      <c r="J1" s="33"/>
      <c r="K1" s="33"/>
      <c r="L1" s="33"/>
      <c r="M1" s="33"/>
      <c r="N1" s="33"/>
    </row>
    <row r="2" spans="1:54" x14ac:dyDescent="0.25">
      <c r="A2" s="24" t="s">
        <v>15</v>
      </c>
      <c r="C2" s="29" t="s">
        <v>16</v>
      </c>
      <c r="D2" s="30"/>
      <c r="E2" s="30" t="s">
        <v>17</v>
      </c>
      <c r="F2" s="30"/>
      <c r="G2" s="30" t="s">
        <v>18</v>
      </c>
      <c r="H2" s="30"/>
      <c r="I2" s="30" t="s">
        <v>52</v>
      </c>
      <c r="J2" s="30"/>
      <c r="K2" s="35" t="s">
        <v>19</v>
      </c>
      <c r="L2" s="30" t="s">
        <v>20</v>
      </c>
      <c r="M2" s="30"/>
      <c r="N2" s="36" t="s">
        <v>20</v>
      </c>
      <c r="O2" s="30" t="s">
        <v>21</v>
      </c>
      <c r="P2" s="37" t="s">
        <v>6</v>
      </c>
    </row>
    <row r="3" spans="1:54" x14ac:dyDescent="0.25">
      <c r="A3" s="27" t="s">
        <v>22</v>
      </c>
      <c r="C3" s="38" t="s">
        <v>23</v>
      </c>
      <c r="D3" s="39" t="s">
        <v>24</v>
      </c>
      <c r="E3" s="39" t="s">
        <v>23</v>
      </c>
      <c r="F3" s="39" t="s">
        <v>24</v>
      </c>
      <c r="G3" s="39" t="s">
        <v>23</v>
      </c>
      <c r="H3" s="39" t="s">
        <v>24</v>
      </c>
      <c r="I3" s="39" t="s">
        <v>23</v>
      </c>
      <c r="J3" s="39" t="s">
        <v>24</v>
      </c>
      <c r="K3" s="40"/>
      <c r="L3" s="39" t="s">
        <v>23</v>
      </c>
      <c r="M3" s="39" t="s">
        <v>24</v>
      </c>
      <c r="N3" s="41" t="s">
        <v>25</v>
      </c>
      <c r="O3" s="39"/>
      <c r="P3" s="42"/>
    </row>
    <row r="4" spans="1:54" x14ac:dyDescent="0.25">
      <c r="A4" s="24" t="s">
        <v>26</v>
      </c>
      <c r="C4" s="43">
        <f>[3]NH!BS45</f>
        <v>14.215033733548118</v>
      </c>
      <c r="D4" s="43">
        <f>[3]NH!BT45</f>
        <v>0</v>
      </c>
      <c r="E4" s="43">
        <f>[3]NH!BU45</f>
        <v>14.703295704112755</v>
      </c>
      <c r="F4" s="43">
        <f>[3]NH!BV45</f>
        <v>0</v>
      </c>
      <c r="G4" s="43">
        <f>[3]NH!BW45</f>
        <v>16.202390910275632</v>
      </c>
      <c r="H4" s="43">
        <f>[3]NH!BX45</f>
        <v>0</v>
      </c>
      <c r="I4" s="43">
        <f>[3]NH!BY45</f>
        <v>0</v>
      </c>
      <c r="J4" s="43">
        <f>[3]NH!BZ45</f>
        <v>0</v>
      </c>
      <c r="K4" s="43">
        <f>[3]NH!CA45</f>
        <v>0</v>
      </c>
      <c r="L4" s="44">
        <f>C4+E4+G4+I4</f>
        <v>45.120720347936505</v>
      </c>
      <c r="M4" s="44">
        <f>D4+F4+H4+J4</f>
        <v>0</v>
      </c>
      <c r="N4" s="45">
        <f>SUM(L4:M4)</f>
        <v>45.120720347936505</v>
      </c>
      <c r="O4" s="46">
        <f>[3]NH!CB45</f>
        <v>14847.411587433629</v>
      </c>
      <c r="P4" s="47">
        <f>(O4-(C12*C$19)-(E12*E$19)-(F12*F$19)-(H12*H$19+I12*I$19+J12*J$19)-(C23*C$30)-((D23)*D$30)-((E23)*E$30)-((F23+G23+H23)*F$30)-((I23+J23+K23)*I$30)-(L23*L$30)-(M23*M$30)-(N23*N$30)-(K4*C$30))/1000</f>
        <v>14.817627268085841</v>
      </c>
      <c r="Q4" s="48"/>
      <c r="Y4" s="22"/>
      <c r="AW4" s="49"/>
      <c r="AX4" s="49"/>
      <c r="AY4" s="49"/>
      <c r="BA4" s="49"/>
      <c r="BB4" s="26"/>
    </row>
    <row r="5" spans="1:54" x14ac:dyDescent="0.25">
      <c r="A5" s="24" t="s">
        <v>27</v>
      </c>
      <c r="C5" s="43">
        <f>[3]S!BS45</f>
        <v>5.7350605493166151</v>
      </c>
      <c r="D5" s="43">
        <f>[3]S!BT45</f>
        <v>32.049302551513797</v>
      </c>
      <c r="E5" s="43">
        <f>[3]S!BU45</f>
        <v>3.4294852114200172</v>
      </c>
      <c r="F5" s="43">
        <f>[3]S!BV45</f>
        <v>4.3212923739979772</v>
      </c>
      <c r="G5" s="43">
        <f>[3]S!BW45</f>
        <v>3.0298595620195812</v>
      </c>
      <c r="H5" s="43">
        <f>[3]S!BX45</f>
        <v>0.23186584239130195</v>
      </c>
      <c r="I5" s="43">
        <f>[3]S!BY45</f>
        <v>0</v>
      </c>
      <c r="J5" s="43">
        <f>[3]S!BZ45</f>
        <v>0</v>
      </c>
      <c r="K5" s="43">
        <f>[3]S!CA45</f>
        <v>18.27173494398604</v>
      </c>
      <c r="L5" s="44">
        <f t="shared" ref="L5:M8" si="0">C5+E5+G5+I5</f>
        <v>12.194405322756214</v>
      </c>
      <c r="M5" s="44">
        <f t="shared" si="0"/>
        <v>36.602460767903075</v>
      </c>
      <c r="N5" s="45">
        <f t="shared" ref="N5:N8" si="1">SUM(L5:M5)</f>
        <v>48.796866090659293</v>
      </c>
      <c r="O5" s="46">
        <f>[3]S!CB45</f>
        <v>14923.956562928422</v>
      </c>
      <c r="P5" s="47">
        <f>(O5-(C13*C$19)-(E13*E$19)-(F13*F$19)-(H13*H$19+I13*I$19+J13*J$19)-(C24*C$30)-((D24)*D$30)-((E24)*E$30)-((F24+G24+H24)*F$30)-((I24+J24+K24)*I$30)-(L24*L$30)-(M24*M$30)-(N24*N$30)-(K5*C$30))/1000</f>
        <v>14.890610026551123</v>
      </c>
      <c r="Q5" s="48"/>
      <c r="Y5" s="22"/>
      <c r="Z5" s="50"/>
      <c r="AW5" s="49"/>
      <c r="AX5" s="49"/>
      <c r="AY5" s="49"/>
      <c r="BA5" s="49"/>
      <c r="BB5" s="26"/>
    </row>
    <row r="6" spans="1:54" x14ac:dyDescent="0.25">
      <c r="A6" s="24" t="s">
        <v>28</v>
      </c>
      <c r="C6" s="43">
        <f>[3]HGD!BS45</f>
        <v>5.4115421802231554</v>
      </c>
      <c r="D6" s="43">
        <f>[3]HGD!BT45</f>
        <v>8.2137237258293059</v>
      </c>
      <c r="E6" s="43">
        <f>[3]HGD!BU45</f>
        <v>4.0180244474818885</v>
      </c>
      <c r="F6" s="43">
        <f>[3]HGD!BV45</f>
        <v>1.7351585727980936</v>
      </c>
      <c r="G6" s="43">
        <f>[3]HGD!BW45</f>
        <v>4.6319650574921916</v>
      </c>
      <c r="H6" s="43">
        <f>[3]HGD!BX45</f>
        <v>0.22566579930438374</v>
      </c>
      <c r="I6" s="43">
        <f>[3]HGD!BY45</f>
        <v>0</v>
      </c>
      <c r="J6" s="43">
        <f>[3]HGD!BZ45</f>
        <v>0</v>
      </c>
      <c r="K6" s="43">
        <f>[3]HGD!CA45</f>
        <v>5.3591861918370594</v>
      </c>
      <c r="L6" s="44">
        <f t="shared" si="0"/>
        <v>14.061531685197235</v>
      </c>
      <c r="M6" s="44">
        <f t="shared" si="0"/>
        <v>10.174548097931783</v>
      </c>
      <c r="N6" s="45">
        <f t="shared" si="1"/>
        <v>24.236079783129018</v>
      </c>
      <c r="O6" s="46">
        <f>[3]HGD!CB45</f>
        <v>15029.440530819116</v>
      </c>
      <c r="P6" s="47">
        <f t="shared" ref="P6:P8" si="2">(O6-(C14*C$19)-(E14*E$19)-(F14*F$19)-(H14*H$19+I14*I$19+J14*J$19)-(C25*C$30)-((D25)*D$30)-((E25)*E$30)-((F25+G25+H25)*F$30)-((I25+J25+K25)*I$30)-(L25*L$30)-(M25*M$30)-(N25*N$30)-(K6*C$30))/1000</f>
        <v>15.003201603877956</v>
      </c>
      <c r="Q6" s="48"/>
      <c r="Y6" s="22"/>
      <c r="Z6" s="50"/>
      <c r="BA6" s="49"/>
      <c r="BB6" s="26"/>
    </row>
    <row r="7" spans="1:54" x14ac:dyDescent="0.25">
      <c r="A7" s="24" t="s">
        <v>29</v>
      </c>
      <c r="C7" s="43">
        <f>[3]LGD!BS45</f>
        <v>3.7816450061770239</v>
      </c>
      <c r="D7" s="43">
        <f>[3]LGD!BT45</f>
        <v>6.404222502682777</v>
      </c>
      <c r="E7" s="43">
        <f>[3]LGD!BU45</f>
        <v>2.6185721009725627</v>
      </c>
      <c r="F7" s="43">
        <f>[3]LGD!BV45</f>
        <v>1.4894719373791223</v>
      </c>
      <c r="G7" s="43">
        <f>[3]LGD!BW45</f>
        <v>4.0152962797198324</v>
      </c>
      <c r="H7" s="43">
        <f>[3]LGD!BX45</f>
        <v>0.31777487103481239</v>
      </c>
      <c r="I7" s="43">
        <f>[3]LGD!BY45</f>
        <v>0</v>
      </c>
      <c r="J7" s="43">
        <f>[3]LGD!BZ45</f>
        <v>0</v>
      </c>
      <c r="K7" s="43">
        <f>[3]LGD!CA45</f>
        <v>2.9716320725707597</v>
      </c>
      <c r="L7" s="44">
        <f t="shared" si="0"/>
        <v>10.415513386869419</v>
      </c>
      <c r="M7" s="44">
        <f t="shared" si="0"/>
        <v>8.2114693110967121</v>
      </c>
      <c r="N7" s="45">
        <f>SUM(L7:M7)</f>
        <v>18.626982697966131</v>
      </c>
      <c r="O7" s="46">
        <f>[3]LGD!CB45</f>
        <v>15064.434853555482</v>
      </c>
      <c r="P7" s="47">
        <f t="shared" si="2"/>
        <v>15.032472512833706</v>
      </c>
      <c r="Q7" s="48"/>
      <c r="Y7" s="22"/>
      <c r="Z7" s="50"/>
      <c r="AM7" s="51"/>
      <c r="BA7" s="49"/>
      <c r="BB7" s="26"/>
    </row>
    <row r="8" spans="1:54" x14ac:dyDescent="0.25">
      <c r="A8" s="24" t="s">
        <v>30</v>
      </c>
      <c r="C8" s="52">
        <f>[3]BE!BS45</f>
        <v>1.1920343191151526</v>
      </c>
      <c r="D8" s="52">
        <f>[3]BE!BT45</f>
        <v>6.7703532776575557</v>
      </c>
      <c r="E8" s="52">
        <f>[3]BE!BU45</f>
        <v>0.51674827079747609</v>
      </c>
      <c r="F8" s="52">
        <f>[3]BE!BV45</f>
        <v>1.6767991094506995</v>
      </c>
      <c r="G8" s="52">
        <f>[3]BE!BW45</f>
        <v>3.0603730963176439</v>
      </c>
      <c r="H8" s="52">
        <f>[3]BE!BX45</f>
        <v>0.55540193135801286</v>
      </c>
      <c r="I8" s="52">
        <f>[3]BE!BY45</f>
        <v>0</v>
      </c>
      <c r="J8" s="52">
        <f>[3]BE!BZ45</f>
        <v>0</v>
      </c>
      <c r="K8" s="52">
        <f>[3]BE!CA45</f>
        <v>2.5590174335942373</v>
      </c>
      <c r="L8" s="53">
        <f t="shared" si="0"/>
        <v>4.7691556862302722</v>
      </c>
      <c r="M8" s="53">
        <f t="shared" si="0"/>
        <v>9.0025543184662684</v>
      </c>
      <c r="N8" s="54">
        <f t="shared" si="1"/>
        <v>13.771710004696541</v>
      </c>
      <c r="O8" s="55">
        <f>[3]BE!CB45</f>
        <v>15098.450818073077</v>
      </c>
      <c r="P8" s="47">
        <f t="shared" si="2"/>
        <v>15.044801223598785</v>
      </c>
      <c r="Q8" s="48"/>
      <c r="Y8" s="22"/>
      <c r="Z8" s="50"/>
      <c r="AM8" s="51"/>
      <c r="BA8" s="49"/>
      <c r="BB8" s="26"/>
    </row>
    <row r="9" spans="1:54" x14ac:dyDescent="0.25">
      <c r="C9" s="38"/>
      <c r="D9" s="42"/>
      <c r="G9" s="42"/>
      <c r="K9" s="42"/>
      <c r="L9" s="56" t="s">
        <v>31</v>
      </c>
      <c r="Y9" s="22"/>
    </row>
    <row r="10" spans="1:54" x14ac:dyDescent="0.25">
      <c r="A10" s="33"/>
      <c r="B10" s="33"/>
      <c r="C10" s="57" t="s">
        <v>32</v>
      </c>
      <c r="D10" s="58" t="s">
        <v>5</v>
      </c>
      <c r="E10" s="57" t="s">
        <v>33</v>
      </c>
      <c r="F10" s="33" t="s">
        <v>34</v>
      </c>
      <c r="G10" s="58" t="s">
        <v>5</v>
      </c>
      <c r="H10" s="57" t="s">
        <v>35</v>
      </c>
      <c r="I10" s="33"/>
      <c r="J10" s="33"/>
      <c r="K10" s="58" t="s">
        <v>5</v>
      </c>
      <c r="L10" s="59" t="s">
        <v>5</v>
      </c>
    </row>
    <row r="11" spans="1:54" x14ac:dyDescent="0.25">
      <c r="C11" s="38"/>
      <c r="D11" s="42"/>
      <c r="E11" s="38"/>
      <c r="F11" s="39"/>
      <c r="G11" s="42"/>
      <c r="H11" s="38" t="s">
        <v>36</v>
      </c>
      <c r="I11" s="39" t="s">
        <v>37</v>
      </c>
      <c r="J11" s="32" t="s">
        <v>53</v>
      </c>
      <c r="K11" s="42"/>
      <c r="L11" s="56"/>
    </row>
    <row r="12" spans="1:54" x14ac:dyDescent="0.25">
      <c r="A12" s="24" t="s">
        <v>0</v>
      </c>
      <c r="C12" s="60">
        <f>[3]NH!CD45</f>
        <v>0</v>
      </c>
      <c r="D12" s="61">
        <f>C12*C$18</f>
        <v>0</v>
      </c>
      <c r="E12" s="60">
        <f>[3]NH!CE45</f>
        <v>0</v>
      </c>
      <c r="F12" s="60">
        <f>[3]NH!CF45</f>
        <v>0</v>
      </c>
      <c r="G12" s="62">
        <f>E12*E$18+F12*F$18</f>
        <v>0</v>
      </c>
      <c r="H12" s="60">
        <f>E12*[3]Variables!$C$31</f>
        <v>0</v>
      </c>
      <c r="I12" s="60">
        <f>(E12*3.55+F12+C12)*[3]Variables!$C$29</f>
        <v>0</v>
      </c>
      <c r="J12" s="60">
        <f>(E12)*[3]Variables!$C$30</f>
        <v>0</v>
      </c>
      <c r="K12" s="63">
        <f>H12*H$18+I12*I$18+J12*J$18</f>
        <v>0</v>
      </c>
      <c r="L12" s="64">
        <f>K4*L$18</f>
        <v>0</v>
      </c>
      <c r="O12" s="86"/>
      <c r="P12" s="86"/>
    </row>
    <row r="13" spans="1:54" x14ac:dyDescent="0.25">
      <c r="A13" s="24" t="s">
        <v>38</v>
      </c>
      <c r="C13" s="65">
        <f>[3]S!CD45</f>
        <v>6359.7403604528572</v>
      </c>
      <c r="D13" s="61">
        <f>C13*C$18</f>
        <v>4261026.0415034145</v>
      </c>
      <c r="E13" s="60">
        <f>[3]S!CE45</f>
        <v>0</v>
      </c>
      <c r="F13" s="60">
        <f>[3]S!CF45</f>
        <v>0</v>
      </c>
      <c r="G13" s="62">
        <f>E13*E$18+F13*F$18</f>
        <v>0</v>
      </c>
      <c r="H13" s="60">
        <f>E13*[3]Variables!$C$31</f>
        <v>0</v>
      </c>
      <c r="I13" s="60">
        <f>(E13*3.55+F13+C13)*[3]Variables!$C$29</f>
        <v>3.1798701802264286</v>
      </c>
      <c r="J13" s="60">
        <f>(E13)*[3]Variables!$C$30</f>
        <v>0</v>
      </c>
      <c r="K13" s="63">
        <f>H13*H$18+I13*I$18+J13*J$18</f>
        <v>90794.833256005222</v>
      </c>
      <c r="L13" s="64">
        <f>K5*L$18</f>
        <v>35940.502634820543</v>
      </c>
      <c r="N13" s="66"/>
      <c r="O13" s="86"/>
      <c r="P13" s="86"/>
    </row>
    <row r="14" spans="1:54" x14ac:dyDescent="0.25">
      <c r="A14" s="24" t="s">
        <v>10</v>
      </c>
      <c r="C14" s="65">
        <f>[3]HGD!CD45</f>
        <v>5105.6934977973497</v>
      </c>
      <c r="D14" s="61">
        <f>C14*C$18</f>
        <v>3420814.6435242244</v>
      </c>
      <c r="E14" s="67">
        <f>[3]HGD!CE45</f>
        <v>171.17399091618668</v>
      </c>
      <c r="F14" s="67">
        <f>[3]HGD!CF45</f>
        <v>300.27513051759678</v>
      </c>
      <c r="G14" s="62">
        <f>E14*E$18+F14*F$18</f>
        <v>1267562.3248433017</v>
      </c>
      <c r="H14" s="60">
        <f>E14*[3]Variables!$C$31</f>
        <v>8.5586995458093345</v>
      </c>
      <c r="I14" s="60">
        <f>(E14*3.55+F14+C14)*[3]Variables!$C$29</f>
        <v>3.0068181480337044</v>
      </c>
      <c r="J14" s="60">
        <f>(E14)*[3]Variables!$C$30</f>
        <v>1.7117399091618668</v>
      </c>
      <c r="K14" s="63">
        <f>H14*H$18+I14*I$18+J14*J$18</f>
        <v>96247.363309237204</v>
      </c>
      <c r="L14" s="64">
        <f>K6*L$18</f>
        <v>10541.519239343495</v>
      </c>
      <c r="N14" s="66"/>
      <c r="O14" s="86"/>
      <c r="P14" s="86"/>
    </row>
    <row r="15" spans="1:54" x14ac:dyDescent="0.25">
      <c r="A15" s="24" t="s">
        <v>9</v>
      </c>
      <c r="C15" s="65">
        <f>[3]LGD!CD45</f>
        <v>4913.620662003088</v>
      </c>
      <c r="D15" s="61">
        <f>C15*C$18</f>
        <v>3292125.8435420687</v>
      </c>
      <c r="E15" s="67">
        <f>[3]LGD!CE45</f>
        <v>394.87469743075002</v>
      </c>
      <c r="F15" s="67">
        <f>[3]LGD!CF45</f>
        <v>565.80083892645416</v>
      </c>
      <c r="G15" s="62">
        <f>E15*E$18+F15*F$18</f>
        <v>2795675.7643240797</v>
      </c>
      <c r="H15" s="60">
        <f>E15*[3]Variables!$C$31</f>
        <v>19.743734871537502</v>
      </c>
      <c r="I15" s="60">
        <f>(E15*3.55+F15+C15)*[3]Variables!$C$29</f>
        <v>3.4406133384043525</v>
      </c>
      <c r="J15" s="60">
        <f>(E15)*[3]Variables!$C$30</f>
        <v>3.9487469743075003</v>
      </c>
      <c r="K15" s="63">
        <f>H15*H$18+I15*I$18+J15*J$18</f>
        <v>122216.62427945463</v>
      </c>
      <c r="L15" s="64">
        <f>K7*L$18</f>
        <v>5845.2002867466845</v>
      </c>
      <c r="N15" s="66"/>
      <c r="O15" s="86"/>
      <c r="P15" s="86"/>
    </row>
    <row r="16" spans="1:54" x14ac:dyDescent="0.25">
      <c r="A16" s="24" t="s">
        <v>39</v>
      </c>
      <c r="C16" s="65">
        <f>[3]BE!CD45</f>
        <v>6370.6937679285411</v>
      </c>
      <c r="D16" s="61">
        <f>C16*C$18</f>
        <v>4268364.8245121222</v>
      </c>
      <c r="E16" s="67">
        <f>[3]BE!CE45</f>
        <v>1000</v>
      </c>
      <c r="F16" s="67">
        <f>[3]BE!CF45</f>
        <v>1298.0409493065438</v>
      </c>
      <c r="G16" s="62">
        <f>E16*E$18+F16*F$18</f>
        <v>6943467.4406982223</v>
      </c>
      <c r="H16" s="60">
        <f>E16*[3]Variables!$C$31</f>
        <v>50</v>
      </c>
      <c r="I16" s="60">
        <f>(E16*3.55+F16+C16)*[3]Variables!$C$29</f>
        <v>5.6093673586175425</v>
      </c>
      <c r="J16" s="60">
        <f>(E16)*[3]Variables!$C$30</f>
        <v>10</v>
      </c>
      <c r="K16" s="63">
        <f>H16*H$18+I16*I$18+J16*J$18</f>
        <v>220884.26619060669</v>
      </c>
      <c r="L16" s="64">
        <f>K8*L$18</f>
        <v>5033.587291879865</v>
      </c>
      <c r="N16" s="66"/>
      <c r="O16" s="86"/>
      <c r="P16" s="86"/>
    </row>
    <row r="17" spans="1:35" x14ac:dyDescent="0.25">
      <c r="C17" s="38"/>
      <c r="D17" s="42"/>
      <c r="E17" s="38"/>
      <c r="F17" s="68"/>
      <c r="G17" s="69"/>
      <c r="H17" s="70"/>
      <c r="I17" s="39"/>
      <c r="J17" s="39"/>
      <c r="K17" s="42"/>
      <c r="L17" s="56"/>
      <c r="N17" s="66"/>
      <c r="O17" s="66"/>
      <c r="P17" s="66"/>
      <c r="T17" s="24"/>
      <c r="U17" s="24"/>
    </row>
    <row r="18" spans="1:35" x14ac:dyDescent="0.25">
      <c r="A18" s="71" t="s">
        <v>40</v>
      </c>
      <c r="B18" s="71"/>
      <c r="C18" s="72">
        <f>[3]Variables!B5</f>
        <v>670</v>
      </c>
      <c r="D18" s="73"/>
      <c r="E18" s="74">
        <f>[3]Variables!C3</f>
        <v>5629.85</v>
      </c>
      <c r="F18" s="75">
        <f>[3]Variables!B4</f>
        <v>1012</v>
      </c>
      <c r="G18" s="76"/>
      <c r="H18" s="74">
        <f>[3]Variables!B7</f>
        <v>1012</v>
      </c>
      <c r="I18" s="75">
        <f>[3]Variables!B8</f>
        <v>28553</v>
      </c>
      <c r="J18" s="75">
        <f>[3]Variables!B7</f>
        <v>1012</v>
      </c>
      <c r="K18" s="77"/>
      <c r="L18" s="74">
        <v>1967</v>
      </c>
      <c r="M18" s="78"/>
      <c r="T18" s="24"/>
      <c r="U18" s="24"/>
    </row>
    <row r="19" spans="1:35" x14ac:dyDescent="0.25">
      <c r="A19" s="79" t="s">
        <v>41</v>
      </c>
      <c r="B19" s="79"/>
      <c r="C19" s="80">
        <f>[3]Variables!D23</f>
        <v>8.2191780821917802E-4</v>
      </c>
      <c r="D19" s="81"/>
      <c r="E19" s="80">
        <f>[3]Variables!D24</f>
        <v>2.3589041095890408E-2</v>
      </c>
      <c r="F19" s="82">
        <f>[3]Variables!E24</f>
        <v>5.7534246575342458E-3</v>
      </c>
      <c r="G19" s="83"/>
      <c r="H19" s="80">
        <f>[3]Variables!D25</f>
        <v>5.7534246575342458E-3</v>
      </c>
      <c r="I19" s="82">
        <f>[3]Variables!E25</f>
        <v>4.6027397260273967E-2</v>
      </c>
      <c r="J19" s="82">
        <f>[3]Variables!D26</f>
        <v>5.7534246575342458E-3</v>
      </c>
      <c r="K19" s="84"/>
      <c r="L19" s="85"/>
      <c r="M19" s="86"/>
      <c r="R19" s="25"/>
      <c r="T19" s="24"/>
      <c r="U19" s="24"/>
    </row>
    <row r="20" spans="1:35" ht="12.75" x14ac:dyDescent="0.2">
      <c r="C20" s="28" t="s">
        <v>42</v>
      </c>
      <c r="T20" s="24"/>
      <c r="U20" s="24"/>
    </row>
    <row r="21" spans="1:35" x14ac:dyDescent="0.25">
      <c r="C21" s="29" t="s">
        <v>16</v>
      </c>
      <c r="D21" s="30" t="s">
        <v>16</v>
      </c>
      <c r="E21" s="30" t="s">
        <v>16</v>
      </c>
      <c r="F21" s="30" t="s">
        <v>17</v>
      </c>
      <c r="G21" s="30" t="s">
        <v>17</v>
      </c>
      <c r="H21" s="30" t="s">
        <v>17</v>
      </c>
      <c r="I21" s="30" t="s">
        <v>18</v>
      </c>
      <c r="J21" s="30" t="s">
        <v>18</v>
      </c>
      <c r="K21" s="30" t="s">
        <v>18</v>
      </c>
      <c r="L21" s="30" t="s">
        <v>52</v>
      </c>
      <c r="M21" s="30" t="s">
        <v>52</v>
      </c>
      <c r="N21" s="30" t="s">
        <v>52</v>
      </c>
      <c r="O21" s="87" t="s">
        <v>43</v>
      </c>
      <c r="P21" s="88" t="s">
        <v>20</v>
      </c>
      <c r="U21" s="24"/>
    </row>
    <row r="22" spans="1:35" ht="26.25" x14ac:dyDescent="0.25">
      <c r="C22" s="31" t="s">
        <v>44</v>
      </c>
      <c r="D22" s="32" t="s">
        <v>45</v>
      </c>
      <c r="E22" s="32" t="s">
        <v>54</v>
      </c>
      <c r="F22" s="32" t="s">
        <v>44</v>
      </c>
      <c r="G22" s="32" t="s">
        <v>45</v>
      </c>
      <c r="H22" s="32" t="s">
        <v>54</v>
      </c>
      <c r="I22" s="32" t="s">
        <v>44</v>
      </c>
      <c r="J22" s="32" t="s">
        <v>45</v>
      </c>
      <c r="K22" s="32" t="s">
        <v>54</v>
      </c>
      <c r="L22" s="32" t="s">
        <v>44</v>
      </c>
      <c r="M22" s="32" t="s">
        <v>45</v>
      </c>
      <c r="N22" s="32" t="s">
        <v>54</v>
      </c>
      <c r="O22" s="89"/>
      <c r="P22" s="56"/>
      <c r="U22" s="24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</row>
    <row r="23" spans="1:35" x14ac:dyDescent="0.25">
      <c r="A23" s="24" t="s">
        <v>0</v>
      </c>
      <c r="C23" s="43">
        <f>[3]NH!CK45</f>
        <v>9.1494505731402267</v>
      </c>
      <c r="D23" s="43">
        <f>[3]NH!CL45</f>
        <v>56.584376071213583</v>
      </c>
      <c r="E23" s="43">
        <f>[3]NH!CN45</f>
        <v>10.526645623538604</v>
      </c>
      <c r="F23" s="43">
        <f>[3]NH!CO45</f>
        <v>6.8644541754573591</v>
      </c>
      <c r="G23" s="43">
        <f>[3]NH!CP45</f>
        <v>24.269171626041906</v>
      </c>
      <c r="H23" s="43">
        <f>[3]NH!CR45</f>
        <v>10.927339816656209</v>
      </c>
      <c r="I23" s="43">
        <f>[3]NH!CS45</f>
        <v>2.6570732736418043</v>
      </c>
      <c r="J23" s="43">
        <f>[3]NH!CT45</f>
        <v>5.6111108845633497</v>
      </c>
      <c r="K23" s="43">
        <f>[3]NH!CV45</f>
        <v>10.020366888519305</v>
      </c>
      <c r="L23" s="43">
        <f>[3]NH!$CW$45</f>
        <v>0</v>
      </c>
      <c r="M23" s="43">
        <f>[3]NH!$CX$45</f>
        <v>0</v>
      </c>
      <c r="N23" s="43">
        <f>[3]NH!$CZ$45</f>
        <v>0</v>
      </c>
      <c r="O23" s="91">
        <f>SUMPRODUCT(C23:N23,C$29:N$29)</f>
        <v>3945812.0753557011</v>
      </c>
      <c r="P23" s="92">
        <f>O23+K12+G12+D12+L12</f>
        <v>3945812.0753557011</v>
      </c>
      <c r="U23" s="24"/>
      <c r="X23" s="127"/>
      <c r="Y23" s="127"/>
      <c r="Z23" s="93"/>
      <c r="AA23" s="94"/>
      <c r="AB23" s="95"/>
      <c r="AC23" s="96"/>
      <c r="AD23" s="93"/>
      <c r="AE23" s="96"/>
      <c r="AF23" s="96"/>
      <c r="AG23" s="127"/>
      <c r="AI23" s="23"/>
    </row>
    <row r="24" spans="1:35" x14ac:dyDescent="0.25">
      <c r="A24" s="24" t="s">
        <v>38</v>
      </c>
      <c r="C24" s="43">
        <f>[3]S!CK45</f>
        <v>33.12562231973655</v>
      </c>
      <c r="D24" s="43">
        <f>[3]S!CL45</f>
        <v>187.8980731834331</v>
      </c>
      <c r="E24" s="43">
        <f>[3]S!CN45</f>
        <v>30.248204965772885</v>
      </c>
      <c r="F24" s="43">
        <f>[3]S!CO45</f>
        <v>5.2050797464347971</v>
      </c>
      <c r="G24" s="43">
        <f>[3]S!CP45</f>
        <v>13.786239949701219</v>
      </c>
      <c r="H24" s="43">
        <f>[3]S!CR45</f>
        <v>6.4910289047819036</v>
      </c>
      <c r="I24" s="43">
        <f>[3]S!CS45</f>
        <v>0.60048617769950696</v>
      </c>
      <c r="J24" s="43">
        <f>[3]S!CT45</f>
        <v>0.78270958458448792</v>
      </c>
      <c r="K24" s="43">
        <f>[3]S!CV45</f>
        <v>2.0942848207944267</v>
      </c>
      <c r="L24" s="43">
        <f>[3]S!$CW$45</f>
        <v>0</v>
      </c>
      <c r="M24" s="43">
        <f>[3]S!$CX$45</f>
        <v>0</v>
      </c>
      <c r="N24" s="43">
        <f>[3]S!$CZ$45</f>
        <v>0</v>
      </c>
      <c r="O24" s="91">
        <f>SUMPRODUCT(C24:N24,C$29:N$29)</f>
        <v>5846887.0878569586</v>
      </c>
      <c r="P24" s="92">
        <f>O24+K13+G13+D13+L13</f>
        <v>10234648.4652512</v>
      </c>
      <c r="U24" s="24"/>
      <c r="X24" s="127"/>
      <c r="Y24" s="127"/>
      <c r="Z24" s="93"/>
      <c r="AA24" s="94"/>
      <c r="AB24" s="95"/>
      <c r="AC24" s="96"/>
      <c r="AD24" s="97"/>
      <c r="AE24" s="96"/>
      <c r="AF24" s="96"/>
      <c r="AG24" s="127"/>
      <c r="AI24" s="23"/>
    </row>
    <row r="25" spans="1:35" x14ac:dyDescent="0.25">
      <c r="A25" s="24" t="s">
        <v>10</v>
      </c>
      <c r="C25" s="43">
        <f>[3]HGD!CK45</f>
        <v>10.930474288774992</v>
      </c>
      <c r="D25" s="43">
        <f>[3]HGD!CL45</f>
        <v>65.707692457672323</v>
      </c>
      <c r="E25" s="43">
        <f>[3]HGD!CN45</f>
        <v>10.597749676263019</v>
      </c>
      <c r="F25" s="43">
        <f>[3]HGD!CO45</f>
        <v>3.3213220683870821</v>
      </c>
      <c r="G25" s="43">
        <f>[3]HGD!CP45</f>
        <v>9.6235457386403702</v>
      </c>
      <c r="H25" s="43">
        <f>[3]HGD!CR45</f>
        <v>4.5869170198612972</v>
      </c>
      <c r="I25" s="43">
        <f>[3]HGD!CS45</f>
        <v>1.1805786772839268</v>
      </c>
      <c r="J25" s="43">
        <f>[3]HGD!CT45</f>
        <v>2.7184506016049483</v>
      </c>
      <c r="K25" s="43">
        <f>[3]HGD!CV45</f>
        <v>3.2454326045224313</v>
      </c>
      <c r="L25" s="43">
        <f>[3]HGD!$CW$45</f>
        <v>0</v>
      </c>
      <c r="M25" s="43">
        <f>[3]HGD!$CX$45</f>
        <v>0</v>
      </c>
      <c r="N25" s="43">
        <f>[3]HGD!$CZ$45</f>
        <v>0</v>
      </c>
      <c r="O25" s="91">
        <f>SUMPRODUCT(C25:N25,C$29:N$29)</f>
        <v>2599742.0705587571</v>
      </c>
      <c r="P25" s="92">
        <f>O25+K14+G14+D14+L14</f>
        <v>7394907.9214748647</v>
      </c>
      <c r="U25" s="24"/>
      <c r="X25" s="127"/>
      <c r="Y25" s="127"/>
      <c r="Z25" s="93"/>
      <c r="AA25" s="94"/>
      <c r="AB25" s="95"/>
      <c r="AC25" s="96"/>
      <c r="AD25" s="97"/>
      <c r="AE25" s="96"/>
      <c r="AF25" s="96"/>
      <c r="AG25" s="127"/>
      <c r="AI25" s="23"/>
    </row>
    <row r="26" spans="1:35" x14ac:dyDescent="0.25">
      <c r="A26" s="24" t="s">
        <v>9</v>
      </c>
      <c r="C26" s="43">
        <f>[3]LGD!CK45</f>
        <v>8.3371146276936887</v>
      </c>
      <c r="D26" s="43">
        <f>[3]LGD!CL45</f>
        <v>52.841506437256854</v>
      </c>
      <c r="E26" s="43">
        <f>[3]LGD!CN45</f>
        <v>7.8666891456754655</v>
      </c>
      <c r="F26" s="43">
        <f>[3]LGD!CO45</f>
        <v>2.4612831414064922</v>
      </c>
      <c r="G26" s="43">
        <f>[3]LGD!CP45</f>
        <v>8.2577814443908633</v>
      </c>
      <c r="H26" s="43">
        <f>[3]LGD!CR45</f>
        <v>3.2577059507047625</v>
      </c>
      <c r="I26" s="43">
        <f>[3]LGD!CS45</f>
        <v>1.5836049395122156</v>
      </c>
      <c r="J26" s="43">
        <f>[3]LGD!CT45</f>
        <v>5.1838118644282716</v>
      </c>
      <c r="K26" s="43">
        <f>[3]LGD!CV45</f>
        <v>3.0883809694517264</v>
      </c>
      <c r="L26" s="43">
        <f>[3]LGD!$CW$45</f>
        <v>0</v>
      </c>
      <c r="M26" s="43">
        <f>[3]LGD!$CX$45</f>
        <v>0</v>
      </c>
      <c r="N26" s="43">
        <f>[3]LGD!$CZ$45</f>
        <v>0</v>
      </c>
      <c r="O26" s="91">
        <f>SUMPRODUCT(C26:N26,C$29:N$29)</f>
        <v>2063589.173243606</v>
      </c>
      <c r="P26" s="92">
        <f>O26+K15+G15+D15+L15</f>
        <v>8279452.6056759572</v>
      </c>
      <c r="U26" s="24"/>
      <c r="X26" s="127"/>
      <c r="Y26" s="127"/>
      <c r="Z26" s="93"/>
      <c r="AA26" s="94"/>
      <c r="AB26" s="95"/>
      <c r="AC26" s="96"/>
      <c r="AD26" s="97"/>
      <c r="AE26" s="96"/>
      <c r="AF26" s="96"/>
      <c r="AG26" s="127"/>
      <c r="AI26" s="23"/>
    </row>
    <row r="27" spans="1:35" x14ac:dyDescent="0.25">
      <c r="A27" s="24" t="s">
        <v>39</v>
      </c>
      <c r="C27" s="43">
        <f>[3]BE!CK45</f>
        <v>6.9925170639009036</v>
      </c>
      <c r="D27" s="43">
        <f>[3]BE!CL45</f>
        <v>45.77678092215443</v>
      </c>
      <c r="E27" s="43">
        <f>[3]BE!CN45</f>
        <v>6.1983796519940384</v>
      </c>
      <c r="F27" s="43">
        <f>[3]BE!CO45</f>
        <v>1.6581320285922114</v>
      </c>
      <c r="G27" s="43">
        <f>[3]BE!CP45</f>
        <v>8.1290435212649843</v>
      </c>
      <c r="H27" s="43">
        <f>[3]BE!CR45</f>
        <v>1.7680226559301739</v>
      </c>
      <c r="I27" s="43">
        <f>[3]BE!CS45</f>
        <v>2.3314317995117175</v>
      </c>
      <c r="J27" s="43">
        <f>[3]BE!CT45</f>
        <v>9.8325533463523289</v>
      </c>
      <c r="K27" s="43">
        <f>[3]BE!CV45</f>
        <v>2.9241838881696665</v>
      </c>
      <c r="L27" s="43">
        <f>[3]BE!$CW$45</f>
        <v>0</v>
      </c>
      <c r="M27" s="43">
        <f>[3]BE!$CX$45</f>
        <v>0</v>
      </c>
      <c r="N27" s="43">
        <f>[3]BE!$CZ$45</f>
        <v>0</v>
      </c>
      <c r="O27" s="91">
        <f>SUMPRODUCT(C27:N27,C$29:N$29)</f>
        <v>1718409.9180390257</v>
      </c>
      <c r="P27" s="92">
        <f>O27+K16+G16+D16+L16</f>
        <v>13156160.036731856</v>
      </c>
      <c r="U27" s="24"/>
      <c r="X27" s="127"/>
      <c r="Y27" s="127"/>
      <c r="Z27" s="93"/>
      <c r="AA27" s="94"/>
      <c r="AB27" s="95"/>
      <c r="AC27" s="96"/>
      <c r="AD27" s="97"/>
      <c r="AE27" s="96"/>
      <c r="AF27" s="96"/>
      <c r="AG27" s="127"/>
      <c r="AI27" s="23"/>
    </row>
    <row r="28" spans="1:35" x14ac:dyDescent="0.25">
      <c r="C28" s="38"/>
      <c r="O28" s="42"/>
      <c r="P28" s="56"/>
      <c r="U28" s="24"/>
      <c r="X28" s="127"/>
      <c r="Y28" s="127"/>
      <c r="Z28" s="93"/>
      <c r="AA28" s="94"/>
      <c r="AB28" s="93"/>
      <c r="AC28" s="127"/>
      <c r="AD28" s="127"/>
      <c r="AE28" s="127"/>
      <c r="AF28" s="127"/>
      <c r="AG28" s="127"/>
    </row>
    <row r="29" spans="1:35" x14ac:dyDescent="0.25">
      <c r="A29" s="71" t="s">
        <v>40</v>
      </c>
      <c r="B29" s="71"/>
      <c r="C29" s="72">
        <f>[3]Variables!B10</f>
        <v>58997</v>
      </c>
      <c r="D29" s="98">
        <v>4080</v>
      </c>
      <c r="E29" s="98">
        <f>[3]Variables!B14</f>
        <v>64704</v>
      </c>
      <c r="F29" s="98">
        <f>[3]Variables!B11</f>
        <v>75295</v>
      </c>
      <c r="G29" s="98">
        <v>4080</v>
      </c>
      <c r="H29" s="98">
        <f>[3]Variables!B15</f>
        <v>77742</v>
      </c>
      <c r="I29" s="98">
        <v>57169</v>
      </c>
      <c r="J29" s="98">
        <v>4080</v>
      </c>
      <c r="K29" s="98">
        <f>[3]Variables!B16</f>
        <v>85212</v>
      </c>
      <c r="L29" s="98">
        <f t="shared" ref="L29:N30" si="3">AVERAGE(C29,F29,I29)</f>
        <v>63820.333333333336</v>
      </c>
      <c r="M29" s="98">
        <f t="shared" si="3"/>
        <v>4080</v>
      </c>
      <c r="N29" s="98">
        <f t="shared" si="3"/>
        <v>75886</v>
      </c>
      <c r="O29" s="99"/>
      <c r="P29" s="56"/>
      <c r="U29" s="24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</row>
    <row r="30" spans="1:35" x14ac:dyDescent="0.25">
      <c r="A30" s="79" t="s">
        <v>41</v>
      </c>
      <c r="B30" s="79"/>
      <c r="C30" s="100">
        <v>0.16200000000000003</v>
      </c>
      <c r="D30" s="101">
        <v>0.04</v>
      </c>
      <c r="E30" s="101">
        <v>0.04</v>
      </c>
      <c r="F30" s="101">
        <v>0.34599999999999997</v>
      </c>
      <c r="G30" s="101">
        <f>F30</f>
        <v>0.34599999999999997</v>
      </c>
      <c r="H30" s="101">
        <f>G30</f>
        <v>0.34599999999999997</v>
      </c>
      <c r="I30" s="101">
        <v>0.60499999999999998</v>
      </c>
      <c r="J30" s="101">
        <f>I30</f>
        <v>0.60499999999999998</v>
      </c>
      <c r="K30" s="101">
        <f>J30</f>
        <v>0.60499999999999998</v>
      </c>
      <c r="L30" s="158">
        <f t="shared" si="3"/>
        <v>0.371</v>
      </c>
      <c r="M30" s="158">
        <f t="shared" si="3"/>
        <v>0.33033333333333331</v>
      </c>
      <c r="N30" s="158">
        <f t="shared" si="3"/>
        <v>0.33033333333333331</v>
      </c>
      <c r="O30" s="84"/>
      <c r="P30" s="102"/>
      <c r="U30" s="24"/>
    </row>
    <row r="31" spans="1:35" ht="12.75" x14ac:dyDescent="0.2">
      <c r="C31" s="24">
        <f>1-C30</f>
        <v>0.83799999999999997</v>
      </c>
      <c r="D31" s="24">
        <f t="shared" ref="D31:K31" si="4">1-D30</f>
        <v>0.96</v>
      </c>
      <c r="E31" s="24">
        <f t="shared" si="4"/>
        <v>0.96</v>
      </c>
      <c r="F31" s="24">
        <f t="shared" si="4"/>
        <v>0.65400000000000003</v>
      </c>
      <c r="G31" s="24">
        <f t="shared" si="4"/>
        <v>0.65400000000000003</v>
      </c>
      <c r="H31" s="24">
        <f t="shared" si="4"/>
        <v>0.65400000000000003</v>
      </c>
      <c r="I31" s="24">
        <f t="shared" si="4"/>
        <v>0.39500000000000002</v>
      </c>
      <c r="J31" s="24">
        <f t="shared" si="4"/>
        <v>0.39500000000000002</v>
      </c>
      <c r="K31" s="24">
        <f t="shared" si="4"/>
        <v>0.39500000000000002</v>
      </c>
      <c r="L31" s="24">
        <f>1-J30</f>
        <v>0.39500000000000002</v>
      </c>
      <c r="M31" s="24">
        <f>1-J30</f>
        <v>0.39500000000000002</v>
      </c>
      <c r="N31" s="24">
        <f>1-K30</f>
        <v>0.39500000000000002</v>
      </c>
      <c r="T31" s="24"/>
      <c r="U31" s="24"/>
    </row>
    <row r="32" spans="1:35" ht="12.75" x14ac:dyDescent="0.2">
      <c r="T32" s="24"/>
      <c r="U32" s="24"/>
    </row>
    <row r="33" spans="1:21" ht="12.75" x14ac:dyDescent="0.2">
      <c r="Q33" s="51"/>
      <c r="R33" s="51"/>
      <c r="S33" s="51"/>
      <c r="T33" s="24"/>
      <c r="U33" s="24"/>
    </row>
    <row r="34" spans="1:21" ht="12.75" x14ac:dyDescent="0.2">
      <c r="P34" s="86"/>
      <c r="T34" s="24"/>
      <c r="U34" s="24"/>
    </row>
    <row r="35" spans="1:21" ht="12.75" x14ac:dyDescent="0.2">
      <c r="A35" s="103"/>
      <c r="B35" s="103"/>
      <c r="C35" s="103" t="s">
        <v>5</v>
      </c>
      <c r="D35" s="103" t="s">
        <v>46</v>
      </c>
      <c r="E35" s="103"/>
      <c r="F35" s="103" t="s">
        <v>47</v>
      </c>
      <c r="G35" s="103"/>
      <c r="H35" s="103"/>
      <c r="I35" s="103"/>
      <c r="J35" s="103"/>
      <c r="K35" s="103"/>
      <c r="L35" s="103"/>
      <c r="M35" s="103"/>
      <c r="N35" s="103"/>
      <c r="P35" s="86"/>
      <c r="T35" s="24"/>
      <c r="U35" s="24"/>
    </row>
    <row r="36" spans="1:21" ht="12.75" x14ac:dyDescent="0.2">
      <c r="A36" s="104" t="s">
        <v>0</v>
      </c>
      <c r="B36" s="103"/>
      <c r="C36" s="128">
        <f>P23/1000</f>
        <v>3945.8120753557009</v>
      </c>
      <c r="D36" s="129">
        <f>P4</f>
        <v>14.817627268085841</v>
      </c>
      <c r="E36" s="103"/>
      <c r="F36" s="103"/>
      <c r="G36" s="103"/>
      <c r="H36" s="103"/>
      <c r="I36" s="103"/>
      <c r="J36" s="105"/>
      <c r="K36" s="106"/>
      <c r="L36" s="107"/>
      <c r="M36" s="108"/>
      <c r="N36" s="108"/>
      <c r="P36" s="86"/>
      <c r="T36" s="24"/>
      <c r="U36" s="24"/>
    </row>
    <row r="37" spans="1:21" ht="12.75" x14ac:dyDescent="0.2">
      <c r="A37" s="88" t="s">
        <v>10</v>
      </c>
      <c r="B37" s="88"/>
      <c r="C37" s="159">
        <f>P25/1000</f>
        <v>7394.9079214748645</v>
      </c>
      <c r="D37" s="160">
        <f>P6</f>
        <v>15.003201603877956</v>
      </c>
      <c r="E37" s="88"/>
      <c r="F37" s="161">
        <f>C37-C$36</f>
        <v>3449.0958461191635</v>
      </c>
      <c r="G37" s="162">
        <f>D37-D$36</f>
        <v>0.18557433579211491</v>
      </c>
      <c r="H37" s="163">
        <f>F37/G37</f>
        <v>18586.060574577124</v>
      </c>
      <c r="I37" s="111"/>
      <c r="J37" s="112"/>
      <c r="K37" s="106"/>
      <c r="L37" s="113"/>
      <c r="M37" s="109"/>
      <c r="N37" s="114"/>
      <c r="P37" s="86"/>
      <c r="T37" s="24"/>
      <c r="U37" s="24"/>
    </row>
    <row r="38" spans="1:21" ht="12.75" x14ac:dyDescent="0.2">
      <c r="A38" s="103" t="s">
        <v>9</v>
      </c>
      <c r="B38" s="103"/>
      <c r="C38" s="128">
        <f>P26/1000</f>
        <v>8279.4526056759569</v>
      </c>
      <c r="D38" s="128">
        <f>P7</f>
        <v>15.032472512833706</v>
      </c>
      <c r="E38" s="103"/>
      <c r="F38" s="161">
        <f>C38-C$37</f>
        <v>884.54468420109242</v>
      </c>
      <c r="G38" s="162">
        <f>D38-D$37</f>
        <v>2.927090895575013E-2</v>
      </c>
      <c r="H38" s="164">
        <f>F38/G38</f>
        <v>30219.242099324281</v>
      </c>
      <c r="I38" s="165"/>
      <c r="J38" s="112"/>
      <c r="K38" s="109"/>
      <c r="L38" s="113"/>
      <c r="M38" s="109"/>
      <c r="N38" s="114"/>
      <c r="T38" s="24"/>
      <c r="U38" s="24"/>
    </row>
    <row r="39" spans="1:21" ht="12.75" x14ac:dyDescent="0.2">
      <c r="A39" s="102" t="s">
        <v>38</v>
      </c>
      <c r="B39" s="102"/>
      <c r="C39" s="166">
        <f>P24/1000</f>
        <v>10234.648465251199</v>
      </c>
      <c r="D39" s="167">
        <f>P5</f>
        <v>14.890610026551123</v>
      </c>
      <c r="E39" s="102"/>
      <c r="F39" s="161">
        <f>C39-C$38</f>
        <v>1955.1958595752421</v>
      </c>
      <c r="G39" s="162">
        <f>D39-D$38</f>
        <v>-0.14186248628258369</v>
      </c>
      <c r="H39" s="164"/>
      <c r="I39" s="111"/>
      <c r="J39" s="112"/>
      <c r="K39" s="109"/>
      <c r="L39" s="113"/>
      <c r="M39" s="109"/>
      <c r="N39" s="107"/>
      <c r="T39" s="24"/>
      <c r="U39" s="24"/>
    </row>
    <row r="40" spans="1:21" ht="12.75" x14ac:dyDescent="0.2">
      <c r="A40" s="103" t="s">
        <v>39</v>
      </c>
      <c r="B40" s="103"/>
      <c r="C40" s="128">
        <f>P27/1000</f>
        <v>13156.160036731855</v>
      </c>
      <c r="D40" s="129">
        <f>P8</f>
        <v>15.044801223598785</v>
      </c>
      <c r="E40" s="103"/>
      <c r="F40" s="161">
        <f>C40-C$38</f>
        <v>4876.7074310558983</v>
      </c>
      <c r="G40" s="162">
        <f>D40-D$38</f>
        <v>1.232871076507891E-2</v>
      </c>
      <c r="H40" s="164">
        <f t="shared" ref="H40" si="5">F40/G40</f>
        <v>395556.9664971928</v>
      </c>
      <c r="I40" s="111"/>
      <c r="J40" s="112"/>
      <c r="K40" s="106"/>
      <c r="L40" s="113"/>
      <c r="M40" s="109"/>
      <c r="N40" s="114"/>
      <c r="T40" s="24"/>
      <c r="U40" s="24"/>
    </row>
    <row r="41" spans="1:21" ht="12.75" x14ac:dyDescent="0.2">
      <c r="A41" s="103"/>
      <c r="B41" s="103"/>
      <c r="C41" s="103"/>
      <c r="D41" s="103"/>
      <c r="E41" s="103"/>
      <c r="F41" s="103"/>
      <c r="G41" s="162"/>
      <c r="H41" s="103"/>
      <c r="I41" s="103"/>
      <c r="J41" s="130"/>
      <c r="K41" s="108"/>
      <c r="L41" s="130"/>
      <c r="M41" s="130"/>
      <c r="N41" s="130"/>
      <c r="T41" s="24"/>
      <c r="U41" s="24"/>
    </row>
    <row r="42" spans="1:21" ht="12.75" x14ac:dyDescent="0.2">
      <c r="A42" s="103"/>
      <c r="B42" s="103"/>
      <c r="C42" s="103"/>
      <c r="D42" s="103"/>
      <c r="E42" s="103"/>
      <c r="F42" s="103"/>
      <c r="G42" s="103"/>
      <c r="H42" s="103"/>
      <c r="I42" s="103"/>
      <c r="J42" s="19"/>
      <c r="K42" s="108"/>
      <c r="L42" s="115"/>
      <c r="M42" s="108"/>
      <c r="N42" s="108"/>
      <c r="T42" s="24"/>
      <c r="U42" s="24"/>
    </row>
    <row r="43" spans="1:21" ht="12.75" x14ac:dyDescent="0.2">
      <c r="A43" s="104"/>
      <c r="B43" s="103"/>
      <c r="C43" s="116"/>
      <c r="D43" s="117"/>
      <c r="E43" s="103"/>
      <c r="F43" s="103"/>
      <c r="G43" s="103"/>
      <c r="H43" s="103"/>
      <c r="I43" s="103"/>
      <c r="J43" s="20"/>
      <c r="K43" s="116"/>
      <c r="L43" s="118"/>
      <c r="M43" s="103"/>
      <c r="N43" s="103"/>
      <c r="T43" s="24"/>
      <c r="U43" s="24"/>
    </row>
    <row r="44" spans="1:21" ht="12.75" x14ac:dyDescent="0.2">
      <c r="A44" s="103"/>
      <c r="B44" s="103"/>
      <c r="C44" s="116"/>
      <c r="D44" s="117"/>
      <c r="E44" s="103"/>
      <c r="F44" s="116"/>
      <c r="G44" s="129"/>
      <c r="H44" s="119"/>
      <c r="I44" s="111"/>
      <c r="J44" s="120"/>
      <c r="K44" s="116"/>
      <c r="L44" s="118"/>
      <c r="M44" s="121"/>
      <c r="N44" s="128"/>
      <c r="P44" s="122"/>
      <c r="T44" s="24"/>
      <c r="U44" s="24"/>
    </row>
    <row r="45" spans="1:21" ht="12.75" x14ac:dyDescent="0.2">
      <c r="A45" s="103"/>
      <c r="B45" s="103"/>
      <c r="C45" s="116"/>
      <c r="D45" s="117"/>
      <c r="E45" s="103"/>
      <c r="F45" s="116"/>
      <c r="G45" s="129"/>
      <c r="H45" s="119"/>
      <c r="I45" s="111"/>
      <c r="J45" s="120"/>
      <c r="K45" s="116"/>
      <c r="L45" s="118"/>
      <c r="M45" s="121"/>
      <c r="N45" s="128"/>
      <c r="T45" s="24"/>
      <c r="U45" s="24"/>
    </row>
    <row r="46" spans="1:21" s="126" customFormat="1" x14ac:dyDescent="0.25">
      <c r="A46" s="103"/>
      <c r="B46" s="103"/>
      <c r="C46" s="116"/>
      <c r="D46" s="117"/>
      <c r="E46" s="103"/>
      <c r="F46" s="116"/>
      <c r="G46" s="129"/>
      <c r="H46" s="119"/>
      <c r="I46" s="111"/>
      <c r="J46" s="103"/>
      <c r="K46" s="116"/>
      <c r="L46" s="117"/>
      <c r="M46" s="121"/>
      <c r="N46" s="128"/>
      <c r="O46" s="24"/>
      <c r="P46" s="24"/>
      <c r="Q46" s="24"/>
      <c r="R46" s="24"/>
      <c r="S46" s="24"/>
    </row>
    <row r="47" spans="1:21" s="126" customFormat="1" x14ac:dyDescent="0.25">
      <c r="A47" s="103"/>
      <c r="B47" s="103"/>
      <c r="C47" s="116"/>
      <c r="D47" s="117"/>
      <c r="E47" s="103"/>
      <c r="F47" s="116"/>
      <c r="G47" s="129"/>
      <c r="H47" s="119"/>
      <c r="I47" s="111"/>
      <c r="J47" s="103"/>
      <c r="K47" s="116"/>
      <c r="L47" s="117"/>
      <c r="M47" s="121"/>
      <c r="N47" s="128"/>
      <c r="O47" s="24"/>
      <c r="P47" s="24"/>
      <c r="Q47" s="24"/>
      <c r="R47" s="24"/>
      <c r="S47" s="24"/>
    </row>
    <row r="49" spans="1:16" s="24" customFormat="1" ht="12.75" x14ac:dyDescent="0.2"/>
    <row r="50" spans="1:16" s="24" customFormat="1" ht="12.75" x14ac:dyDescent="0.2"/>
    <row r="51" spans="1:16" s="24" customFormat="1" ht="12.75" x14ac:dyDescent="0.2"/>
    <row r="52" spans="1:16" s="24" customFormat="1" ht="12.75" x14ac:dyDescent="0.2"/>
    <row r="53" spans="1:16" s="24" customFormat="1" ht="12.75" x14ac:dyDescent="0.2"/>
    <row r="54" spans="1:16" s="24" customFormat="1" ht="12.75" x14ac:dyDescent="0.2"/>
    <row r="55" spans="1:16" s="24" customFormat="1" ht="12.75" x14ac:dyDescent="0.2"/>
    <row r="56" spans="1:16" s="24" customFormat="1" ht="12.75" x14ac:dyDescent="0.2"/>
    <row r="57" spans="1:16" s="24" customFormat="1" ht="12.75" x14ac:dyDescent="0.2">
      <c r="A57" s="27"/>
    </row>
    <row r="58" spans="1:16" s="24" customFormat="1" ht="12.75" x14ac:dyDescent="0.2">
      <c r="C58" s="123"/>
      <c r="D58" s="124"/>
      <c r="E58" s="124"/>
      <c r="F58" s="124"/>
      <c r="G58" s="124"/>
      <c r="H58" s="124"/>
      <c r="I58" s="124"/>
      <c r="J58" s="124"/>
      <c r="K58" s="124"/>
      <c r="L58" s="124"/>
      <c r="M58" s="123"/>
      <c r="N58" s="123"/>
      <c r="O58" s="123"/>
      <c r="P58" s="125"/>
    </row>
    <row r="59" spans="1:16" s="24" customFormat="1" ht="12.75" x14ac:dyDescent="0.2"/>
    <row r="60" spans="1:16" s="24" customFormat="1" ht="12.75" x14ac:dyDescent="0.2"/>
    <row r="61" spans="1:16" s="24" customFormat="1" ht="12.75" x14ac:dyDescent="0.2"/>
    <row r="62" spans="1:16" s="24" customFormat="1" ht="12.75" x14ac:dyDescent="0.2"/>
    <row r="63" spans="1:16" s="24" customFormat="1" ht="12.75" x14ac:dyDescent="0.2"/>
    <row r="64" spans="1:16" s="24" customFormat="1" ht="12.75" x14ac:dyDescent="0.2"/>
    <row r="65" s="24" customFormat="1" ht="12.75" x14ac:dyDescent="0.2"/>
    <row r="66" s="24" customFormat="1" ht="12.75" x14ac:dyDescent="0.2"/>
    <row r="67" s="24" customFormat="1" ht="12.75" x14ac:dyDescent="0.2"/>
    <row r="68" s="24" customFormat="1" ht="12.75" x14ac:dyDescent="0.2"/>
    <row r="69" s="24" customFormat="1" ht="12.75" x14ac:dyDescent="0.2"/>
    <row r="70" s="24" customFormat="1" ht="12.75" x14ac:dyDescent="0.2"/>
    <row r="71" s="24" customFormat="1" ht="12.75" x14ac:dyDescent="0.2"/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35"/>
  <sheetViews>
    <sheetView topLeftCell="A13" workbookViewId="0">
      <selection activeCell="K13" sqref="K13"/>
    </sheetView>
  </sheetViews>
  <sheetFormatPr defaultColWidth="8.85546875" defaultRowHeight="15" x14ac:dyDescent="0.25"/>
  <cols>
    <col min="1" max="1" width="42.42578125" customWidth="1"/>
    <col min="2" max="2" width="61.42578125" customWidth="1"/>
  </cols>
  <sheetData>
    <row r="1" spans="1:3" x14ac:dyDescent="0.25">
      <c r="A1" s="131" t="s">
        <v>55</v>
      </c>
      <c r="B1" s="131" t="s">
        <v>56</v>
      </c>
      <c r="C1" s="126"/>
    </row>
    <row r="2" spans="1:3" x14ac:dyDescent="0.25">
      <c r="A2" s="131" t="s">
        <v>57</v>
      </c>
      <c r="B2" s="131">
        <v>1967</v>
      </c>
      <c r="C2" s="126"/>
    </row>
    <row r="3" spans="1:3" x14ac:dyDescent="0.25">
      <c r="A3" s="131" t="s">
        <v>58</v>
      </c>
      <c r="B3" s="131">
        <v>4548</v>
      </c>
      <c r="C3" s="130">
        <v>5629.85</v>
      </c>
    </row>
    <row r="4" spans="1:3" x14ac:dyDescent="0.25">
      <c r="A4" s="131" t="s">
        <v>59</v>
      </c>
      <c r="B4" s="131">
        <v>1012</v>
      </c>
      <c r="C4" s="126"/>
    </row>
    <row r="5" spans="1:3" x14ac:dyDescent="0.25">
      <c r="A5" s="131" t="s">
        <v>60</v>
      </c>
      <c r="B5" s="131">
        <v>670</v>
      </c>
      <c r="C5" s="126"/>
    </row>
    <row r="6" spans="1:3" x14ac:dyDescent="0.25">
      <c r="A6" s="131" t="s">
        <v>61</v>
      </c>
      <c r="B6" s="131">
        <v>1012</v>
      </c>
      <c r="C6" s="126"/>
    </row>
    <row r="7" spans="1:3" x14ac:dyDescent="0.25">
      <c r="A7" s="131" t="s">
        <v>36</v>
      </c>
      <c r="B7" s="131">
        <v>1012</v>
      </c>
      <c r="C7" s="126"/>
    </row>
    <row r="8" spans="1:3" x14ac:dyDescent="0.25">
      <c r="A8" s="131" t="s">
        <v>48</v>
      </c>
      <c r="B8" s="131">
        <v>28553</v>
      </c>
      <c r="C8" s="126"/>
    </row>
    <row r="9" spans="1:3" x14ac:dyDescent="0.25">
      <c r="A9" s="131" t="s">
        <v>62</v>
      </c>
      <c r="B9" s="131">
        <v>8792</v>
      </c>
      <c r="C9" s="126"/>
    </row>
    <row r="10" spans="1:3" x14ac:dyDescent="0.25">
      <c r="A10" s="131" t="s">
        <v>63</v>
      </c>
      <c r="B10" s="131">
        <v>58997</v>
      </c>
      <c r="C10" s="126"/>
    </row>
    <row r="11" spans="1:3" x14ac:dyDescent="0.25">
      <c r="A11" s="131" t="s">
        <v>64</v>
      </c>
      <c r="B11" s="131">
        <v>75295</v>
      </c>
      <c r="C11" s="126"/>
    </row>
    <row r="12" spans="1:3" x14ac:dyDescent="0.25">
      <c r="A12" s="131" t="s">
        <v>65</v>
      </c>
      <c r="B12" s="131">
        <v>57169</v>
      </c>
      <c r="C12" s="126"/>
    </row>
    <row r="13" spans="1:3" ht="25.5" x14ac:dyDescent="0.25">
      <c r="A13" s="131" t="s">
        <v>66</v>
      </c>
      <c r="B13" s="131">
        <v>4080</v>
      </c>
      <c r="C13" s="126"/>
    </row>
    <row r="14" spans="1:3" x14ac:dyDescent="0.25">
      <c r="A14" s="131" t="s">
        <v>67</v>
      </c>
      <c r="B14" s="131">
        <v>64704</v>
      </c>
      <c r="C14" s="126"/>
    </row>
    <row r="15" spans="1:3" x14ac:dyDescent="0.25">
      <c r="A15" s="131" t="s">
        <v>68</v>
      </c>
      <c r="B15" s="131">
        <v>77742</v>
      </c>
      <c r="C15" s="126"/>
    </row>
    <row r="16" spans="1:3" x14ac:dyDescent="0.25">
      <c r="A16" s="131" t="s">
        <v>69</v>
      </c>
      <c r="B16" s="131">
        <v>85212</v>
      </c>
      <c r="C16" s="126"/>
    </row>
    <row r="17" spans="1:5" x14ac:dyDescent="0.25">
      <c r="A17" s="127"/>
      <c r="B17" s="127"/>
      <c r="C17" s="127"/>
      <c r="D17" s="126"/>
      <c r="E17" s="126"/>
    </row>
    <row r="18" spans="1:5" x14ac:dyDescent="0.25">
      <c r="A18" s="131" t="s">
        <v>70</v>
      </c>
      <c r="B18" s="131" t="s">
        <v>46</v>
      </c>
      <c r="C18" s="131" t="s">
        <v>71</v>
      </c>
      <c r="D18" s="126"/>
      <c r="E18" s="126"/>
    </row>
    <row r="19" spans="1:5" ht="38.25" x14ac:dyDescent="0.25">
      <c r="A19" s="131" t="s">
        <v>72</v>
      </c>
      <c r="B19" s="131">
        <v>0.83799999999999997</v>
      </c>
      <c r="C19" s="131" t="s">
        <v>73</v>
      </c>
      <c r="D19" s="126"/>
      <c r="E19" s="126"/>
    </row>
    <row r="20" spans="1:5" x14ac:dyDescent="0.25">
      <c r="A20" s="131" t="s">
        <v>74</v>
      </c>
      <c r="B20" s="131">
        <v>0.65400000000000003</v>
      </c>
      <c r="C20" s="131"/>
      <c r="D20" s="126"/>
      <c r="E20" s="126"/>
    </row>
    <row r="21" spans="1:5" x14ac:dyDescent="0.25">
      <c r="A21" s="131" t="s">
        <v>75</v>
      </c>
      <c r="B21" s="131">
        <v>0.39500000000000002</v>
      </c>
      <c r="C21" s="131"/>
      <c r="D21" s="126"/>
      <c r="E21" s="126"/>
    </row>
    <row r="22" spans="1:5" x14ac:dyDescent="0.25">
      <c r="A22" s="131" t="s">
        <v>76</v>
      </c>
      <c r="B22" s="131">
        <v>0.629</v>
      </c>
      <c r="C22" s="131"/>
      <c r="D22" s="126"/>
      <c r="E22" s="126"/>
    </row>
    <row r="23" spans="1:5" ht="25.5" x14ac:dyDescent="0.25">
      <c r="A23" s="131" t="s">
        <v>60</v>
      </c>
      <c r="B23" s="131" t="s">
        <v>77</v>
      </c>
      <c r="C23" s="131" t="s">
        <v>49</v>
      </c>
      <c r="D23" s="130">
        <v>8.2191780821917802E-4</v>
      </c>
      <c r="E23" s="126"/>
    </row>
    <row r="24" spans="1:5" ht="114.75" x14ac:dyDescent="0.25">
      <c r="A24" s="131" t="s">
        <v>78</v>
      </c>
      <c r="B24" s="131" t="s">
        <v>79</v>
      </c>
      <c r="C24" s="131" t="s">
        <v>80</v>
      </c>
      <c r="D24" s="130">
        <v>3.3698630136986298E-3</v>
      </c>
      <c r="E24" s="130">
        <v>8.2191780821917802E-4</v>
      </c>
    </row>
    <row r="25" spans="1:5" ht="25.5" x14ac:dyDescent="0.25">
      <c r="A25" s="131" t="s">
        <v>81</v>
      </c>
      <c r="B25" s="131" t="s">
        <v>82</v>
      </c>
      <c r="C25" s="131" t="s">
        <v>51</v>
      </c>
      <c r="D25" s="130">
        <v>6.5753424657534242E-3</v>
      </c>
      <c r="E25" s="126"/>
    </row>
    <row r="26" spans="1:5" ht="25.5" x14ac:dyDescent="0.25">
      <c r="A26" s="131" t="s">
        <v>83</v>
      </c>
      <c r="B26" s="131" t="s">
        <v>84</v>
      </c>
      <c r="C26" s="131" t="s">
        <v>50</v>
      </c>
      <c r="D26" s="130">
        <v>8.2191780821917802E-4</v>
      </c>
      <c r="E26" s="126"/>
    </row>
    <row r="27" spans="1:5" x14ac:dyDescent="0.25">
      <c r="A27" s="127"/>
      <c r="B27" s="127"/>
      <c r="C27" s="127" t="s">
        <v>85</v>
      </c>
      <c r="D27" s="126"/>
      <c r="E27" s="126"/>
    </row>
    <row r="28" spans="1:5" x14ac:dyDescent="0.25">
      <c r="A28" s="130" t="s">
        <v>48</v>
      </c>
      <c r="B28" s="127"/>
      <c r="C28" s="127">
        <v>5.0000000000000001E-4</v>
      </c>
      <c r="D28" s="126"/>
      <c r="E28" s="126"/>
    </row>
    <row r="29" spans="1:5" x14ac:dyDescent="0.25">
      <c r="A29" s="127"/>
      <c r="B29" s="127"/>
      <c r="C29" s="127"/>
      <c r="D29" s="126"/>
      <c r="E29" s="126"/>
    </row>
    <row r="30" spans="1:5" x14ac:dyDescent="0.25">
      <c r="A30" s="132" t="s">
        <v>86</v>
      </c>
      <c r="B30" s="127"/>
      <c r="C30" s="127"/>
      <c r="D30" s="126"/>
      <c r="E30" s="126"/>
    </row>
    <row r="31" spans="1:5" x14ac:dyDescent="0.25">
      <c r="A31" s="127"/>
      <c r="B31" s="127"/>
      <c r="C31" s="127"/>
      <c r="D31" s="126"/>
      <c r="E31" s="126"/>
    </row>
    <row r="32" spans="1:5" x14ac:dyDescent="0.25">
      <c r="A32" s="127"/>
      <c r="B32" s="127"/>
      <c r="C32" s="127"/>
      <c r="D32" s="126"/>
      <c r="E32" s="126"/>
    </row>
    <row r="33" spans="1:3" x14ac:dyDescent="0.25">
      <c r="A33" s="127"/>
      <c r="B33" s="131"/>
      <c r="C33" s="131"/>
    </row>
    <row r="34" spans="1:3" x14ac:dyDescent="0.25">
      <c r="A34" s="127"/>
      <c r="B34" s="127"/>
      <c r="C34" s="127"/>
    </row>
    <row r="35" spans="1:3" x14ac:dyDescent="0.25">
      <c r="A35" s="127"/>
      <c r="B35" s="127"/>
      <c r="C35" s="12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 CEA</vt:lpstr>
      <vt:lpstr>MGH</vt:lpstr>
      <vt:lpstr>FHCRC</vt:lpstr>
      <vt:lpstr>ErasmusUW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Inadomi, John</dc:creator>
  <cp:lastModifiedBy>S. Kroep</cp:lastModifiedBy>
  <dcterms:created xsi:type="dcterms:W3CDTF">2015-09-28T18:35:41Z</dcterms:created>
  <dcterms:modified xsi:type="dcterms:W3CDTF">2016-03-14T11:02:21Z</dcterms:modified>
</cp:coreProperties>
</file>