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\soms-annual-reports\datasets\"/>
    </mc:Choice>
  </mc:AlternateContent>
  <xr:revisionPtr revIDLastSave="0" documentId="13_ncr:1_{6DF1F372-235B-4790-8780-0E53921A7BEB}" xr6:coauthVersionLast="47" xr6:coauthVersionMax="47" xr10:uidLastSave="{00000000-0000-0000-0000-000000000000}"/>
  <bookViews>
    <workbookView xWindow="-120" yWindow="-120" windowWidth="29040" windowHeight="15720" xr2:uid="{B510D0BA-197F-4598-9521-D0B5B0DC7F5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6" i="1" l="1"/>
  <c r="G15" i="1"/>
  <c r="G14" i="1"/>
  <c r="G13" i="1"/>
  <c r="G12" i="1"/>
  <c r="G11" i="1"/>
  <c r="G10" i="1"/>
  <c r="G9" i="1"/>
  <c r="G8" i="1"/>
  <c r="G7" i="1"/>
  <c r="G6" i="1"/>
  <c r="G5" i="1"/>
  <c r="G28" i="1"/>
  <c r="G27" i="1"/>
  <c r="G26" i="1"/>
  <c r="G25" i="1"/>
  <c r="G24" i="1"/>
  <c r="G23" i="1"/>
  <c r="G22" i="1"/>
  <c r="G21" i="1"/>
  <c r="G20" i="1"/>
  <c r="G19" i="1"/>
  <c r="G18" i="1"/>
  <c r="G17" i="1"/>
  <c r="A18" i="1"/>
  <c r="A19" i="1"/>
  <c r="A20" i="1"/>
  <c r="A21" i="1"/>
  <c r="A22" i="1"/>
  <c r="A23" i="1"/>
  <c r="A24" i="1"/>
  <c r="A25" i="1"/>
  <c r="A26" i="1"/>
  <c r="A27" i="1"/>
  <c r="A28" i="1"/>
  <c r="E28" i="1"/>
  <c r="E27" i="1"/>
  <c r="E26" i="1"/>
  <c r="E25" i="1"/>
  <c r="E24" i="1"/>
  <c r="E23" i="1"/>
  <c r="E22" i="1"/>
  <c r="E21" i="1"/>
  <c r="E20" i="1"/>
  <c r="E19" i="1"/>
  <c r="E18" i="1"/>
  <c r="E17" i="1"/>
  <c r="B2" i="1"/>
  <c r="D28" i="1"/>
  <c r="D27" i="1"/>
  <c r="D26" i="1"/>
  <c r="D25" i="1"/>
  <c r="D24" i="1"/>
  <c r="D23" i="1"/>
  <c r="D22" i="1"/>
  <c r="D21" i="1"/>
  <c r="D20" i="1"/>
  <c r="D19" i="1"/>
  <c r="D18" i="1"/>
  <c r="D17" i="1"/>
  <c r="D2" i="1"/>
  <c r="C28" i="1"/>
  <c r="C27" i="1"/>
  <c r="C26" i="1"/>
  <c r="C25" i="1"/>
  <c r="C24" i="1"/>
  <c r="C23" i="1"/>
  <c r="C22" i="1"/>
  <c r="C21" i="1"/>
  <c r="C20" i="1"/>
  <c r="C19" i="1"/>
  <c r="C18" i="1"/>
  <c r="C17" i="1"/>
  <c r="D16" i="1"/>
  <c r="E16" i="1"/>
  <c r="B28" i="1"/>
  <c r="B27" i="1"/>
  <c r="B26" i="1"/>
  <c r="B25" i="1"/>
  <c r="B24" i="1"/>
  <c r="B23" i="1"/>
  <c r="B22" i="1"/>
  <c r="B21" i="1"/>
  <c r="B20" i="1"/>
  <c r="B19" i="1"/>
  <c r="B18" i="1"/>
  <c r="B17" i="1"/>
  <c r="A16" i="1"/>
  <c r="A17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E15" i="1"/>
  <c r="D15" i="1"/>
  <c r="E14" i="1"/>
  <c r="D14" i="1"/>
  <c r="E13" i="1"/>
  <c r="D13" i="1"/>
  <c r="E12" i="1"/>
  <c r="D12" i="1"/>
  <c r="E11" i="1"/>
  <c r="D11" i="1"/>
  <c r="E10" i="1"/>
  <c r="D10" i="1"/>
  <c r="E9" i="1"/>
  <c r="D9" i="1"/>
  <c r="E8" i="1"/>
  <c r="D8" i="1"/>
  <c r="E7" i="1"/>
  <c r="D7" i="1"/>
  <c r="E6" i="1"/>
  <c r="D6" i="1"/>
  <c r="E5" i="1"/>
  <c r="D5" i="1"/>
  <c r="C16" i="1"/>
  <c r="C15" i="1"/>
  <c r="C14" i="1"/>
  <c r="C13" i="1"/>
  <c r="C12" i="1"/>
  <c r="C11" i="1"/>
  <c r="C10" i="1"/>
  <c r="C9" i="1"/>
  <c r="C8" i="1"/>
  <c r="C7" i="1"/>
  <c r="C6" i="1"/>
  <c r="C5" i="1"/>
  <c r="B16" i="1"/>
  <c r="B15" i="1"/>
  <c r="B14" i="1"/>
  <c r="B13" i="1"/>
  <c r="B12" i="1"/>
  <c r="B11" i="1"/>
  <c r="B10" i="1"/>
  <c r="B9" i="1"/>
  <c r="B8" i="1"/>
  <c r="B7" i="1"/>
  <c r="B6" i="1"/>
  <c r="B5" i="1"/>
  <c r="A2" i="1"/>
  <c r="C2" i="1"/>
  <c r="E2" i="1"/>
  <c r="F2" i="1"/>
  <c r="G2" i="1"/>
  <c r="A3" i="1"/>
  <c r="B3" i="1"/>
  <c r="C3" i="1"/>
  <c r="D3" i="1"/>
  <c r="E3" i="1"/>
  <c r="F3" i="1"/>
  <c r="G3" i="1"/>
  <c r="A4" i="1"/>
  <c r="B4" i="1"/>
  <c r="C4" i="1"/>
  <c r="D4" i="1"/>
  <c r="E4" i="1"/>
  <c r="F4" i="1"/>
  <c r="G4" i="1"/>
  <c r="A5" i="1"/>
  <c r="A6" i="1"/>
  <c r="A7" i="1"/>
  <c r="A8" i="1"/>
  <c r="A9" i="1"/>
  <c r="A10" i="1"/>
  <c r="A11" i="1"/>
  <c r="A12" i="1"/>
  <c r="A13" i="1"/>
  <c r="A14" i="1"/>
  <c r="A15" i="1"/>
</calcChain>
</file>

<file path=xl/sharedStrings.xml><?xml version="1.0" encoding="utf-8"?>
<sst xmlns="http://schemas.openxmlformats.org/spreadsheetml/2006/main" count="25" uniqueCount="9">
  <si>
    <t>2020</t>
  </si>
  <si>
    <t>2022</t>
  </si>
  <si>
    <t>OP</t>
  </si>
  <si>
    <t>ROTA</t>
  </si>
  <si>
    <t>ROE</t>
  </si>
  <si>
    <t>TL</t>
  </si>
  <si>
    <t>DTAR</t>
  </si>
  <si>
    <t>CR</t>
  </si>
  <si>
    <t>ROI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</si>
</sst>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10DE3-69D2-4E2F-8B01-83A73E93F500}">
  <dimension ref="A1:I28"/>
  <sheetViews>
    <sheetView tabSelected="1" workbookViewId="0">
      <selection activeCell="N25" sqref="N25"/>
    </sheetView>
  </sheetViews>
  <sheetFormatPr defaultRowHeight="15" x14ac:dyDescent="0.25"/>
  <cols>
    <col min="1" max="1" width="8.7109375" customWidth="1"/>
    <col min="7" max="7" width="10.28515625" customWidth="1"/>
    <col min="8" max="8" width="9.42578125" style="3" bestFit="1" customWidth="1"/>
    <col min="9" max="9" width="9.140625" style="2"/>
  </cols>
  <sheetData>
    <row r="1" spans="1:9" x14ac:dyDescent="0.2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</row>
    <row r="2" spans="1:9" x14ac:dyDescent="0.25">
      <c r="A2" s="1">
        <f>249263454947/5433508833578</f>
        <v>4.5875227699383056E-2</v>
      </c>
      <c r="B2" s="1">
        <f>249263454947/3960978683647</f>
        <v>6.2929764296912383E-2</v>
      </c>
      <c r="C2" s="1">
        <f>71354752574/882347572555</f>
        <v>8.0869211627543972E-2</v>
      </c>
      <c r="D2" s="1">
        <f>3078631111092/5433508833578</f>
        <v>0.56660092131748718</v>
      </c>
      <c r="E2" s="1">
        <f>3078631111092/3960978683647</f>
        <v>0.77724000984963793</v>
      </c>
      <c r="F2" s="1">
        <f>3115072168841/2227303210086</f>
        <v>1.3985846896528837</v>
      </c>
      <c r="G2" s="1">
        <f>(5433508833578-SUM(60946742000, 66414018588, 56416023595, 5915433077, 5730000000))/SUM(60946742000, 66414018588, 56416023595, 5915433077, 5730000000)</f>
        <v>26.803946295159335</v>
      </c>
      <c r="H2" s="4">
        <v>1</v>
      </c>
      <c r="I2" s="2">
        <v>2018</v>
      </c>
    </row>
    <row r="3" spans="1:9" x14ac:dyDescent="0.25">
      <c r="A3" s="1">
        <f>158701992670/6157619315277</f>
        <v>2.5773271218027676E-2</v>
      </c>
      <c r="B3" s="1">
        <f>158701992670/4298837364037</f>
        <v>3.6917421905201912E-2</v>
      </c>
      <c r="C3" s="1">
        <f>-521467827960/395659221270</f>
        <v>-1.3179721334085817</v>
      </c>
      <c r="D3" s="1">
        <f>3903178142767/6157619315277</f>
        <v>0.63387779317296356</v>
      </c>
      <c r="E3" s="1">
        <f>3903178142767/4298837364037</f>
        <v>0.90796134215730373</v>
      </c>
      <c r="F3" s="1">
        <f>302329846725/3081662799321</f>
        <v>9.8106076625779443E-2</v>
      </c>
      <c r="G3" s="1">
        <f>(6157619315277-SUM(91259730973, 23184272365, 9117193297, 3940000000, 1920000000))/SUM(91259730973, 23184272365, 9117193297, 3940000000, 1920000000)</f>
        <v>46.578136158352947</v>
      </c>
      <c r="H3" s="4">
        <v>1</v>
      </c>
      <c r="I3" s="2" t="s">
        <v>0</v>
      </c>
    </row>
    <row r="4" spans="1:9" x14ac:dyDescent="0.25">
      <c r="A4" s="1">
        <f>309044518624/7809976522248</f>
        <v>3.9570479852741675E-2</v>
      </c>
      <c r="B4" s="1">
        <f>309044518624/4217064302659</f>
        <v>7.3284279404783353E-2</v>
      </c>
      <c r="C4" s="1">
        <f>147565480524/161752569294</f>
        <v>0.91229141625433052</v>
      </c>
      <c r="D4" s="1">
        <f>4055311733365/7809976522248</f>
        <v>0.51924762152777015</v>
      </c>
      <c r="E4" s="1">
        <f>4055311733365/4217064302659</f>
        <v>0.96164332396069707</v>
      </c>
      <c r="F4" s="1">
        <f>3001327114972/3353753528335</f>
        <v>0.89491582777761092</v>
      </c>
      <c r="G4" s="1">
        <f>(7809976522248-SUM(460000, 197150000, 14662416898, 14691589478))/SUM(460000, 197150000, 14662416898, 14691589478)</f>
        <v>263.2825496540616</v>
      </c>
      <c r="H4" s="4">
        <v>1</v>
      </c>
      <c r="I4" s="2" t="s">
        <v>1</v>
      </c>
    </row>
    <row r="5" spans="1:9" x14ac:dyDescent="0.25">
      <c r="A5" s="1">
        <f>23158770091/1487298121359</f>
        <v>1.557103431949404E-2</v>
      </c>
      <c r="B5" s="1">
        <f>23158770091/855696370699</f>
        <v>2.7064237834831646E-2</v>
      </c>
      <c r="C5" s="1">
        <f>12771986497/720853322191</f>
        <v>1.7717871450158743E-2</v>
      </c>
      <c r="D5" s="1">
        <f>134843048508/1487298121359</f>
        <v>9.0663093411823076E-2</v>
      </c>
      <c r="E5" s="1">
        <f>134843048508/855696370699</f>
        <v>0.15758282157706197</v>
      </c>
      <c r="F5" s="1">
        <f>836046426726/132248571423</f>
        <v>6.3217803998191169</v>
      </c>
      <c r="G5" s="1">
        <f>(1487298121359-SUM(117540071065,152045455))/SUM(117540071065,152045455)</f>
        <v>11.637194107272734</v>
      </c>
      <c r="H5" s="4">
        <v>2</v>
      </c>
      <c r="I5" s="2">
        <v>2018</v>
      </c>
    </row>
    <row r="6" spans="1:9" x14ac:dyDescent="0.25">
      <c r="A6" s="1">
        <f>22473251437/3687861850042</f>
        <v>6.0938430859995632E-3</v>
      </c>
      <c r="B6" s="1">
        <f>22473251437/1154965011840</f>
        <v>1.9457949986898194E-2</v>
      </c>
      <c r="C6" s="1">
        <f>64754265416/720853322191</f>
        <v>8.98300159305397E-2</v>
      </c>
      <c r="D6" s="1">
        <f>272970178915/3687861850042</f>
        <v>7.4018547878058727E-2</v>
      </c>
      <c r="E6" s="1">
        <f>272970178915/1154965011840</f>
        <v>0.23634497678862604</v>
      </c>
      <c r="F6" s="1">
        <f>967321260042/244030808271</f>
        <v>3.9639308941999434</v>
      </c>
      <c r="G6" s="1">
        <f>(3687861850042-SUM(29700000000,20117983750,18217068877))/SUM(29700000000,20117983750,18217068877)</f>
        <v>53.205320752239068</v>
      </c>
      <c r="H6" s="4">
        <v>2</v>
      </c>
      <c r="I6" s="2" t="s">
        <v>0</v>
      </c>
    </row>
    <row r="7" spans="1:9" x14ac:dyDescent="0.25">
      <c r="A7" s="1">
        <f>12335863129/4868380395335</f>
        <v>2.5338741279996367E-3</v>
      </c>
      <c r="B7" s="1">
        <f>12335863129/2337996948614</f>
        <v>5.2762528780513967E-3</v>
      </c>
      <c r="C7" s="1">
        <f>8196551501/2149664222842</f>
        <v>3.8129450236482096E-3</v>
      </c>
      <c r="D7" s="1">
        <f>188332725772/4868380395335</f>
        <v>3.868488295459923E-2</v>
      </c>
      <c r="E7" s="1">
        <f>188332725772/2337996948614</f>
        <v>8.0553024623768857E-2</v>
      </c>
      <c r="F7" s="1">
        <f>2122401225916/176810002246</f>
        <v>12.00385271735392</v>
      </c>
      <c r="G7" s="1">
        <f>(4868380395335-SUM(152360114000,15889266415,884794663))/SUM(152360114000,15889266415,884794663)</f>
        <v>27.784131847332674</v>
      </c>
      <c r="H7" s="4">
        <v>2</v>
      </c>
      <c r="I7" s="2" t="s">
        <v>1</v>
      </c>
    </row>
    <row r="8" spans="1:9" x14ac:dyDescent="0.25">
      <c r="A8" s="1">
        <f>321442996/8959710884</f>
        <v>3.5876492016502885E-2</v>
      </c>
      <c r="B8" s="1">
        <f>321442996/19525411684</f>
        <v>1.6462802485409558E-2</v>
      </c>
      <c r="C8" s="1">
        <f>-2170443556/8196551501</f>
        <v>-0.26479959965300048</v>
      </c>
      <c r="D8" s="1">
        <f>4061078369/8959710884</f>
        <v>0.45325997920894517</v>
      </c>
      <c r="E8" s="1">
        <f>4061078369/19525411684</f>
        <v>0.2079893850498338</v>
      </c>
      <c r="F8" s="1">
        <f>9818543808/2273024715</f>
        <v>4.3195939503895806</v>
      </c>
      <c r="G8" s="1">
        <f>(8959710884-SUM(479285550,575283566,132595243,627888007,1593540117,5031761))/SUM(479285550,575283566,132595243,627888007,1593540117,5031761)</f>
        <v>1.6246916015282438</v>
      </c>
      <c r="H8" s="4">
        <v>3</v>
      </c>
      <c r="I8" s="2">
        <v>2018</v>
      </c>
    </row>
    <row r="9" spans="1:9" x14ac:dyDescent="0.25">
      <c r="A9" s="1">
        <f>1295523177/11936381982</f>
        <v>0.10853566675007904</v>
      </c>
      <c r="B9" s="1">
        <f>1295523177/17884145634</f>
        <v>7.243975773363466E-2</v>
      </c>
      <c r="C9" s="1">
        <f>1898383037/12399039151</f>
        <v>0.15310727015866329</v>
      </c>
      <c r="D9" s="1">
        <f>5485106483/11936381982</f>
        <v>0.45952839740480084</v>
      </c>
      <c r="E9" s="1">
        <f>5485106483/17884145634</f>
        <v>0.30670218165592017</v>
      </c>
      <c r="F9" s="1">
        <f>7330342675/2864848927</f>
        <v>2.558718753339694</v>
      </c>
      <c r="G9" s="1">
        <f>(11936381982-SUM(235568620,300239900,238510685,68685560,68685560,381000547,589240280,8500000))/SUM(235568620,300239900,238510685,68685560,68685560,381000547,589240280,8500000)</f>
        <v>5.3141056310735193</v>
      </c>
      <c r="H9" s="4">
        <v>3</v>
      </c>
      <c r="I9" s="2" t="s">
        <v>0</v>
      </c>
    </row>
    <row r="10" spans="1:9" x14ac:dyDescent="0.25">
      <c r="A10" s="1">
        <f>716819458/15524642337</f>
        <v>4.6173009492888516E-2</v>
      </c>
      <c r="B10" s="1">
        <f>716819458/44469025417</f>
        <v>1.6119522550318094E-2</v>
      </c>
      <c r="C10" s="1">
        <f>6221688975/39896588483</f>
        <v>0.15594538810382425</v>
      </c>
      <c r="D10" s="1">
        <f>4572436934/15524642337</f>
        <v>0.29452768281189162</v>
      </c>
      <c r="E10" s="1">
        <f>4572436934/44469025417</f>
        <v>0.10282296252555177</v>
      </c>
      <c r="F10" s="1">
        <f>16503758500/3129319807</f>
        <v>5.2739123892299578</v>
      </c>
      <c r="G10" s="1">
        <f>(15524642337-SUM(454434987,663326475,683155582,63786182,129337442,1842596278,556289390,235000000))/SUM(454434987,663326475,683155582,63786182,129337442,1842596278,556289390,235000000)</f>
        <v>2.3545569246070213</v>
      </c>
      <c r="H10" s="4">
        <v>3</v>
      </c>
      <c r="I10" s="2" t="s">
        <v>1</v>
      </c>
    </row>
    <row r="11" spans="1:9" x14ac:dyDescent="0.25">
      <c r="A11" s="1">
        <f>756712012314/7210108479931</f>
        <v>0.10495154329789524</v>
      </c>
      <c r="B11" s="1">
        <f>756712012314/3504180020837</f>
        <v>0.2159455301423851</v>
      </c>
      <c r="C11" s="1">
        <f>727451646257/2606862387463</f>
        <v>0.27905256900229258</v>
      </c>
      <c r="D11" s="1">
        <f>897317633374/7210108479931</f>
        <v>0.12445272298907037</v>
      </c>
      <c r="E11" s="1">
        <f>897317633374/3504180020837</f>
        <v>0.25607064364223758</v>
      </c>
      <c r="F11" s="1">
        <f>2699531695096/765640556517</f>
        <v>3.5258473080064179</v>
      </c>
      <c r="G11" s="1">
        <f>(7210108479931-SUM(808627141220,189779385000,160000000))/SUM(808627141220,189779385000,160000000)</f>
        <v>6.2204588183266409</v>
      </c>
      <c r="H11" s="4">
        <v>4</v>
      </c>
      <c r="I11" s="2">
        <v>2018</v>
      </c>
    </row>
    <row r="12" spans="1:9" x14ac:dyDescent="0.25">
      <c r="A12" s="1">
        <f>-206976487206/11181911606407</f>
        <v>-1.8509937700402393E-2</v>
      </c>
      <c r="B12" s="1">
        <f>-206976487206/3330804739111</f>
        <v>-6.2140084279225127E-2</v>
      </c>
      <c r="C12" s="1">
        <f>-240389215161/2745296758850</f>
        <v>-8.7564018128844706E-2</v>
      </c>
      <c r="D12" s="1">
        <f>585507980261/11181911606407</f>
        <v>5.2362064812381121E-2</v>
      </c>
      <c r="E12" s="1">
        <f>585507980261/3330804739111</f>
        <v>0.17578574132126207</v>
      </c>
      <c r="F12" s="1">
        <f>2201259708255/417991713481</f>
        <v>5.2662759505998178</v>
      </c>
      <c r="G12" s="1">
        <f>(11181911606407-SUM(796218471100,314358283354,314358283354,22193263679,10391153000,7977317095,423900000))/SUM(796218471100,314358283354,314358283354,22193263679,10391153000,7977317095,423900000)</f>
        <v>6.6279104478004571</v>
      </c>
      <c r="H12" s="4">
        <v>4</v>
      </c>
      <c r="I12" s="2" t="s">
        <v>0</v>
      </c>
    </row>
    <row r="13" spans="1:9" x14ac:dyDescent="0.25">
      <c r="A13" s="1">
        <f>-53994817242/12272140714358</f>
        <v>-4.3997879831045158E-3</v>
      </c>
      <c r="B13" s="1">
        <f>-53994817242/2870079321045</f>
        <v>-1.8813005217688691E-2</v>
      </c>
      <c r="C13" s="1">
        <f>-56435242618/2242033671531</f>
        <v>-2.5171451854004719E-2</v>
      </c>
      <c r="D13" s="1">
        <f>628045649514/12272140714358</f>
        <v>5.1176535873582944E-2</v>
      </c>
      <c r="E13" s="1">
        <f>628045649514/2870079321045</f>
        <v>0.21882518887503349</v>
      </c>
      <c r="F13" s="1">
        <f>1622252125824/583507966512</f>
        <v>2.780171341140786</v>
      </c>
      <c r="G13" s="1">
        <f>(12272140714358-SUM(252005236500,252005236500,28000000000,12841532141,1500000000,7166787676,3280000000,888523171))/SUM(252005236500,252005236500,28000000000,12841532141,1500000000,7166787676,3280000000,888523171)</f>
        <v>21.005414795236376</v>
      </c>
      <c r="H13" s="4">
        <v>4</v>
      </c>
      <c r="I13" s="2" t="s">
        <v>1</v>
      </c>
    </row>
    <row r="14" spans="1:9" x14ac:dyDescent="0.25">
      <c r="A14" s="1">
        <f>101850084062/6356090709193</f>
        <v>1.6024013614955375E-2</v>
      </c>
      <c r="B14" s="1">
        <f>101850084062/1438021142032</f>
        <v>7.0826555385743797E-2</v>
      </c>
      <c r="C14" s="1">
        <f>255299298244/1052653572286</f>
        <v>0.24252926600493846</v>
      </c>
      <c r="D14" s="1">
        <f>385367569746/6356090709193</f>
        <v>6.0629652309497663E-2</v>
      </c>
      <c r="E14" s="1">
        <f>385367569746/1438021142032</f>
        <v>0.267984634218559</v>
      </c>
      <c r="F14" s="1">
        <f>1270088532440/324425588571</f>
        <v>3.9148839585507704</v>
      </c>
      <c r="G14" s="1">
        <f>(6356090709193-464068654354)/464068654354</f>
        <v>12.696444803066701</v>
      </c>
      <c r="H14" s="4">
        <v>5</v>
      </c>
      <c r="I14" s="2">
        <v>2018</v>
      </c>
    </row>
    <row r="15" spans="1:9" x14ac:dyDescent="0.25">
      <c r="A15" s="1">
        <f>115559417888/11334436937908</f>
        <v>1.019542642665484E-2</v>
      </c>
      <c r="B15" s="1">
        <f>115559417888/1835183217104</f>
        <v>6.2968872432452735E-2</v>
      </c>
      <c r="C15" s="1">
        <f>72376040680/1331916693551</f>
        <v>5.4339765415087254E-2</v>
      </c>
      <c r="D15" s="1">
        <f>385367569746/11334436937908</f>
        <v>3.399971007444922E-2</v>
      </c>
      <c r="E15" s="1">
        <f>385367569746/1835183217104</f>
        <v>0.20998860830589275</v>
      </c>
      <c r="F15" s="1">
        <f>1403596487054/407710377464</f>
        <v>3.4426312515872488</v>
      </c>
      <c r="G15" s="1">
        <f>(11334436937908-SUM(648219656100,57393402658,22193263679,10391153000,7917242096,423900000,331500000,266110000))/SUM(648219656100,57393402658,22193263679,10391153000,7917242096,423900000,331500000,266110000)</f>
        <v>14.170509098901075</v>
      </c>
      <c r="H15" s="4">
        <v>5</v>
      </c>
      <c r="I15" s="2" t="s">
        <v>0</v>
      </c>
    </row>
    <row r="16" spans="1:9" x14ac:dyDescent="0.25">
      <c r="A16" s="1">
        <f>53686511272/12314877728637</f>
        <v>4.3594839067835371E-3</v>
      </c>
      <c r="B16" s="1">
        <f>53686511272/1911368459547</f>
        <v>2.8087996850551706E-2</v>
      </c>
      <c r="C16" s="1">
        <f>41145161656/1294390152940</f>
        <v>3.1787295014988608E-2</v>
      </c>
      <c r="D16" s="1">
        <f>616978306607/12314877728637</f>
        <v>5.0100238118668407E-2</v>
      </c>
      <c r="E16" s="1">
        <f>616978306607/1911368459547</f>
        <v>0.32279401887442766</v>
      </c>
      <c r="F16" s="1">
        <f>1326260435302/583495864253</f>
        <v>2.2729560165775951</v>
      </c>
      <c r="G16" s="1">
        <f>(12314877728637-SUM(242188736500,54331442759,28000000000,7166787676,3280000000,2096080000,1500000000,888523171))/SUM(242188736500,54331442759,28000000000,7166787676,3280000000,2096080000,1500000000,888523171)</f>
        <v>35.2787472887265</v>
      </c>
      <c r="H16" s="4">
        <v>5</v>
      </c>
      <c r="I16" s="2" t="s">
        <v>1</v>
      </c>
    </row>
    <row r="17" spans="1:9" x14ac:dyDescent="0.25">
      <c r="A17" s="1">
        <f>108371/2435494</f>
        <v>4.4496516928393175E-2</v>
      </c>
      <c r="B17" s="1">
        <f>108371/2059020</f>
        <v>5.2632320230012339E-2</v>
      </c>
      <c r="C17" s="1">
        <f>90059/911351</f>
        <v>9.8819225523426216E-2</v>
      </c>
      <c r="D17" s="1">
        <f>1147669/2435494</f>
        <v>0.47122637132343581</v>
      </c>
      <c r="E17" s="1">
        <f>1147669/2059020</f>
        <v>0.55738603801808628</v>
      </c>
      <c r="F17" s="1">
        <f>1344421/991960</f>
        <v>1.3553177547481754</v>
      </c>
      <c r="G17" s="1">
        <f>(2435494-SUM(6289,129457,2584,367,105))/SUM(6289,129457,2584,367,105)</f>
        <v>16.546533911615107</v>
      </c>
      <c r="H17" s="4">
        <v>6</v>
      </c>
      <c r="I17" s="2">
        <v>2018</v>
      </c>
    </row>
    <row r="18" spans="1:9" x14ac:dyDescent="0.25">
      <c r="A18" s="1">
        <f>226903/2685797</f>
        <v>8.4482557691441307E-2</v>
      </c>
      <c r="B18" s="1">
        <f>226903/2417802</f>
        <v>9.3846807968559876E-2</v>
      </c>
      <c r="C18" s="1">
        <f>163213/882023</f>
        <v>0.18504392742592879</v>
      </c>
      <c r="D18" s="1">
        <f>1535779/2685797</f>
        <v>0.57181499569773886</v>
      </c>
      <c r="E18" s="1">
        <f>1535779/2417802</f>
        <v>0.63519634775717781</v>
      </c>
      <c r="F18" s="1">
        <f>1589991/1342180</f>
        <v>1.1846332086605373</v>
      </c>
      <c r="G18" s="1">
        <f>(2685797-SUM(80872,526,6970,2425,5000))/SUM(80872,526,6970,2425,5000)</f>
        <v>27.037507959871807</v>
      </c>
      <c r="H18" s="4">
        <v>6</v>
      </c>
      <c r="I18" s="2" t="s">
        <v>0</v>
      </c>
    </row>
    <row r="19" spans="1:9" x14ac:dyDescent="0.25">
      <c r="A19" s="1">
        <f>321410/3442223</f>
        <v>9.3372800077159437E-2</v>
      </c>
      <c r="B19" s="1">
        <f>321410/2720784</f>
        <v>0.11813139154008551</v>
      </c>
      <c r="C19" s="1">
        <f>549483/824423</f>
        <v>0.66650615036213201</v>
      </c>
      <c r="D19" s="1">
        <f>1896361/3442223</f>
        <v>0.55091172187275494</v>
      </c>
      <c r="E19" s="1">
        <f>1896361/2720784</f>
        <v>0.69699064681356548</v>
      </c>
      <c r="F19" s="1">
        <f>2071273/1762829</f>
        <v>1.1749710266849478</v>
      </c>
      <c r="G19" s="1">
        <f>(3442223-SUM(181781,57514,57514,4715,82671,500))/SUM(181781,57514,57514,4715,82671,500)</f>
        <v>7.9479275789911492</v>
      </c>
      <c r="H19" s="4">
        <v>6</v>
      </c>
      <c r="I19" s="2" t="s">
        <v>1</v>
      </c>
    </row>
    <row r="20" spans="1:9" x14ac:dyDescent="0.25">
      <c r="A20" s="1">
        <f>579270/12713412</f>
        <v>4.5563692893772344E-2</v>
      </c>
      <c r="B20" s="1">
        <f>579270/4852776</f>
        <v>0.11936879015227572</v>
      </c>
      <c r="C20" s="1">
        <f>442091/2600231</f>
        <v>0.17001989438630644</v>
      </c>
      <c r="D20" s="1">
        <f>2252545/12713412</f>
        <v>0.1771786362307774</v>
      </c>
      <c r="E20" s="1">
        <f>2252545/4852776</f>
        <v>0.46417658676188639</v>
      </c>
      <c r="F20" s="1">
        <f>4294397/2095378</f>
        <v>2.0494617200333307</v>
      </c>
      <c r="G20" s="1">
        <f>(12713412-SUM(10001,109343))/SUM(10001,109343)</f>
        <v>105.5274500603298</v>
      </c>
      <c r="H20" s="4">
        <v>7</v>
      </c>
      <c r="I20" s="2">
        <v>2018</v>
      </c>
    </row>
    <row r="21" spans="1:9" x14ac:dyDescent="0.25">
      <c r="A21" s="1">
        <f>703330/14021687</f>
        <v>5.0160155479151688E-2</v>
      </c>
      <c r="B21" s="1">
        <f>703330/5866642</f>
        <v>0.11988629952194117</v>
      </c>
      <c r="C21" s="1">
        <f>535352/3415710</f>
        <v>0.1567322752809811</v>
      </c>
      <c r="D21" s="1">
        <f>2450932/14021687</f>
        <v>0.17479580024857208</v>
      </c>
      <c r="E21" s="1">
        <f>2450932/5866642</f>
        <v>0.41777425655085143</v>
      </c>
      <c r="F21" s="1">
        <f>5177469/2202841</f>
        <v>2.3503598307821583</v>
      </c>
      <c r="G21" s="1">
        <f>(14021687-SUM(4589,22494))/SUM(4589,22494)</f>
        <v>516.73019975630473</v>
      </c>
      <c r="H21" s="4">
        <v>7</v>
      </c>
      <c r="I21" s="2" t="s">
        <v>0</v>
      </c>
    </row>
    <row r="22" spans="1:9" x14ac:dyDescent="0.25">
      <c r="A22" s="1">
        <f>1138595/20988297</f>
        <v>5.4249041739784794E-2</v>
      </c>
      <c r="B22" s="1">
        <f>1138595/8582896</f>
        <v>0.1326586038092504</v>
      </c>
      <c r="C22" s="1">
        <f>875617/4416863</f>
        <v>0.19824409314936869</v>
      </c>
      <c r="D22" s="1">
        <f>4166033/20988297</f>
        <v>0.19849314120149911</v>
      </c>
      <c r="E22" s="1">
        <f>4166033/8582896</f>
        <v>0.48538779917640851</v>
      </c>
      <c r="F22" s="1">
        <f>7898375/4028949</f>
        <v>1.9604058031015037</v>
      </c>
      <c r="G22" s="1">
        <f>(20988297-SUM(1835,31294,7105))/SUM(1835,31294,7105)</f>
        <v>520.65573892727548</v>
      </c>
      <c r="H22" s="4">
        <v>7</v>
      </c>
      <c r="I22" s="2" t="s">
        <v>1</v>
      </c>
    </row>
    <row r="23" spans="1:9" x14ac:dyDescent="0.25">
      <c r="A23" s="1">
        <f>15876230268/2489674657427</f>
        <v>6.3768292859628425E-3</v>
      </c>
      <c r="B23" s="1">
        <f>15876230268/521611987032</f>
        <v>3.0436858551385285E-2</v>
      </c>
      <c r="C23" s="1">
        <f>23063203205/412622208487</f>
        <v>5.5894236254437152E-2</v>
      </c>
      <c r="D23" s="1">
        <f>108989778545/2489674657427</f>
        <v>4.3776715250673552E-2</v>
      </c>
      <c r="E23" s="1">
        <f>108989778545/521611987032</f>
        <v>0.20894799439935735</v>
      </c>
      <c r="F23" s="1">
        <f>509070489484/72477760784</f>
        <v>7.0238164642136827</v>
      </c>
      <c r="G23" s="1">
        <f>(2489674657427-195518001007)/195518001007</f>
        <v>11.733736252437769</v>
      </c>
      <c r="H23" s="4">
        <v>8</v>
      </c>
      <c r="I23" s="2">
        <v>2018</v>
      </c>
    </row>
    <row r="24" spans="1:9" x14ac:dyDescent="0.25">
      <c r="A24" s="1">
        <f>60845314899/7597266302278</f>
        <v>8.0088432441489978E-3</v>
      </c>
      <c r="B24" s="1">
        <f>60845314899/1403992329735</f>
        <v>4.3337355632480132E-2</v>
      </c>
      <c r="C24" s="1">
        <f>54429022770/994375768619</f>
        <v>5.4736875623580032E-2</v>
      </c>
      <c r="D24" s="1">
        <f>409616561116/7597266302278</f>
        <v>5.3916309474788142E-2</v>
      </c>
      <c r="E24" s="1">
        <f>409616561116/1403992329735</f>
        <v>0.29175128128606947</v>
      </c>
      <c r="F24" s="1">
        <f>1117816587759/337680268108</f>
        <v>3.3102810360287016</v>
      </c>
      <c r="G24" s="1">
        <f>(7597266302278-SUM(49456007940,22193263679,10391153000,4956906777,37500000))/SUM(49456007940,22193263679,10391153000,4956906777,37500000)</f>
        <v>86.289952544529882</v>
      </c>
      <c r="H24" s="4">
        <v>8</v>
      </c>
      <c r="I24" s="2" t="s">
        <v>0</v>
      </c>
    </row>
    <row r="25" spans="1:9" x14ac:dyDescent="0.25">
      <c r="A25" s="1">
        <f>26003621740/9836622374855</f>
        <v>2.6435518970894024E-3</v>
      </c>
      <c r="B25" s="1">
        <f>26003621740/1859955040345</f>
        <v>1.3980779737114845E-2</v>
      </c>
      <c r="C25" s="1">
        <f>23332452423/1373523298638</f>
        <v>1.6987300067015029E-2</v>
      </c>
      <c r="D25" s="1">
        <f>486431741707/9836622374855</f>
        <v>4.9451094407207068E-2</v>
      </c>
      <c r="E25" s="1">
        <f>486431741707/1859955040345</f>
        <v>0.26152876341396541</v>
      </c>
      <c r="F25" s="1">
        <f>1440632539350/452066147373</f>
        <v>3.1867737668959615</v>
      </c>
      <c r="G25" s="1">
        <f>(9836622374855-SUM(205664370000,49433999469,25390534000,11100000000,6702727932,1500000000,265163509,180000000))/SUM(205664370000,49433999469,25390534000,11100000000,6702727932,1500000000,265163509,180000000)</f>
        <v>31.762880971346831</v>
      </c>
      <c r="H25" s="4">
        <v>8</v>
      </c>
      <c r="I25" s="2" t="s">
        <v>1</v>
      </c>
    </row>
    <row r="26" spans="1:9" x14ac:dyDescent="0.25">
      <c r="A26" s="1">
        <f>16391910/384574312</f>
        <v>4.2623517714308487E-2</v>
      </c>
      <c r="B26" s="1">
        <f>16391910/287576140</f>
        <v>5.7000243483343226E-2</v>
      </c>
      <c r="C26" s="1">
        <f>12608200/69651971</f>
        <v>0.18101713158985838</v>
      </c>
      <c r="D26" s="1">
        <f>217924169/384574312</f>
        <v>0.56666335269943879</v>
      </c>
      <c r="E26" s="1">
        <f>217924169/287576140</f>
        <v>0.75779641871540526</v>
      </c>
      <c r="F26" s="1">
        <f>219185741/202957153</f>
        <v>1.079960660465118</v>
      </c>
      <c r="G26" s="1">
        <f>(384574312-28018605)/28018605</f>
        <v>12.72567663522149</v>
      </c>
      <c r="H26" s="4">
        <v>9</v>
      </c>
      <c r="I26" s="2">
        <v>2018</v>
      </c>
    </row>
    <row r="27" spans="1:9" x14ac:dyDescent="0.25">
      <c r="A27" s="1">
        <f>6591972/145170395</f>
        <v>4.5408514594177413E-2</v>
      </c>
      <c r="B27" s="1">
        <f>6591972/129626970</f>
        <v>5.0853398795019281E-2</v>
      </c>
      <c r="C27" s="1">
        <f>4477175/82691095</f>
        <v>5.4143375414245028E-2</v>
      </c>
      <c r="D27" s="1">
        <f>46935875/145170395</f>
        <v>0.32331574905475735</v>
      </c>
      <c r="E27" s="1">
        <f>46935875/129626970</f>
        <v>0.36208417893282546</v>
      </c>
      <c r="F27" s="1">
        <f>42403847/22463368</f>
        <v>1.8876887472973776</v>
      </c>
      <c r="G27" s="1">
        <f>(145170395-8902424)/8902424</f>
        <v>15.306839013733788</v>
      </c>
      <c r="H27" s="4">
        <v>9</v>
      </c>
      <c r="I27" s="2" t="s">
        <v>0</v>
      </c>
    </row>
    <row r="28" spans="1:9" x14ac:dyDescent="0.25">
      <c r="A28" s="1">
        <f>14200478/141013357</f>
        <v>0.10070307027723623</v>
      </c>
      <c r="B28" s="1">
        <f>14200478/147616234</f>
        <v>9.6198619997310053E-2</v>
      </c>
      <c r="C28" s="1">
        <f>9890776/99670881</f>
        <v>9.9234359130426469E-2</v>
      </c>
      <c r="D28" s="1">
        <f>47945353/141013357</f>
        <v>0.34000575562497953</v>
      </c>
      <c r="E28" s="1">
        <f>47945353/147616234</f>
        <v>0.32479729160411991</v>
      </c>
      <c r="F28" s="1">
        <f>51150736/21976460</f>
        <v>2.3275239051239374</v>
      </c>
      <c r="G28" s="1">
        <f>(141013357-SUM(5777656,3367456))/SUM(5777656,3367456)</f>
        <v>14.419533079529261</v>
      </c>
      <c r="H28" s="4">
        <v>9</v>
      </c>
      <c r="I28" s="2" t="s"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Yosep Hawtz</dc:creator>
  <cp:lastModifiedBy>Yosep Hawtz</cp:lastModifiedBy>
  <dcterms:created xsi:type="dcterms:W3CDTF">2023-06-26T06:54:22Z</dcterms:created>
  <dcterms:modified xsi:type="dcterms:W3CDTF">2023-06-27T04:27:15Z</dcterms:modified>
</cp:coreProperties>
</file>