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.xml" ContentType="application/vnd.openxmlformats-officedocument.spreadsheetml.query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comments3.xml" ContentType="application/vnd.openxmlformats-officedocument.spreadsheetml.comments+xml"/>
  <Override PartName="/xl/tables/table19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awatif_class\agentic_agents\inputs\"/>
    </mc:Choice>
  </mc:AlternateContent>
  <xr:revisionPtr revIDLastSave="0" documentId="13_ncr:1_{B52426C1-9654-48C8-8FC3-C221F78AFDE3}" xr6:coauthVersionLast="47" xr6:coauthVersionMax="47" xr10:uidLastSave="{00000000-0000-0000-0000-000000000000}"/>
  <bookViews>
    <workbookView xWindow="-28920" yWindow="-120" windowWidth="29040" windowHeight="16440" tabRatio="795" xr2:uid="{00000000-000D-0000-FFFF-FFFF00000000}"/>
  </bookViews>
  <sheets>
    <sheet name="DP WORKFLOW and GUIDELINES" sheetId="23" r:id="rId1"/>
    <sheet name="INPUT TABLES" sheetId="15" r:id="rId2"/>
    <sheet name="GEOTECH PARAMETERS" sheetId="40" r:id="rId3"/>
    <sheet name="PAD FTGS WORKFLOW AND GUIDELINE" sheetId="31" r:id="rId4"/>
    <sheet name="FOOTING CHECK LIST" sheetId="32" r:id="rId5"/>
    <sheet name="void_FOOTING CHECK LIST" sheetId="8" state="hidden" r:id="rId6"/>
    <sheet name="ProjectFndnTable" sheetId="26" state="hidden" r:id="rId7"/>
    <sheet name="QTO" sheetId="6" state="hidden" r:id="rId8"/>
    <sheet name="TEMPLATE (PAD)" sheetId="25" state="hidden" r:id="rId9"/>
    <sheet name="TEMPLATE (DP)" sheetId="7" state="hidden" r:id="rId10"/>
    <sheet name="FTG A (DP)" sheetId="44" r:id="rId11"/>
    <sheet name="FTG B (DP)" sheetId="45" r:id="rId12"/>
    <sheet name="FTG C (DP)" sheetId="46" r:id="rId13"/>
    <sheet name="REBAR DATA" sheetId="3" state="hidden" r:id="rId14"/>
  </sheets>
  <functionGroups builtInGroupCount="19">
    <functionGroup name="Anaconda Toolbox"/>
  </functionGroups>
  <externalReferences>
    <externalReference r:id="rId15"/>
    <externalReference r:id="rId16"/>
  </externalReferences>
  <definedNames>
    <definedName name="_xleta.IF" hidden="1" xlm="1">#NAME?</definedName>
    <definedName name="_xleta.MAX" hidden="1" xlm="1">#NAME?</definedName>
    <definedName name="_xleta.ROUND" hidden="1" xlm="1">#NAME?</definedName>
    <definedName name="_xleta.TEXT" hidden="1" xlm="1">#NAME?</definedName>
    <definedName name="anchr_bolt_buffer">#REF!</definedName>
    <definedName name="BoringNumbers">'INPUT TABLES'!$J$47:$J$49</definedName>
    <definedName name="BottomBarCover" localSheetId="10">'FTG A (DP)'!$J$14</definedName>
    <definedName name="BottomBarCover" localSheetId="11">'FTG B (DP)'!$J$14</definedName>
    <definedName name="BottomBarCover" localSheetId="12">'FTG C (DP)'!$J$14</definedName>
    <definedName name="BottomBarCover" localSheetId="2">'[1]TEMPLATE (DP)'!$J$12</definedName>
    <definedName name="BottomBarCover">'TEMPLATE (DP)'!$J$14</definedName>
    <definedName name="BottomCover" localSheetId="10">'FTG A (DP)'!$J$14</definedName>
    <definedName name="BottomCover" localSheetId="11">'FTG B (DP)'!$J$14</definedName>
    <definedName name="BottomCover" localSheetId="12">'FTG C (DP)'!$J$14</definedName>
    <definedName name="BottomCover">'TEMPLATE (DP)'!$J$14</definedName>
    <definedName name="CalculatedPierDia_Inches" localSheetId="10">'FTG A (DP)'!$J$11</definedName>
    <definedName name="CalculatedPierDia_Inches" localSheetId="11">'FTG B (DP)'!$J$11</definedName>
    <definedName name="CalculatedPierDia_Inches" localSheetId="12">'FTG C (DP)'!$J$11</definedName>
    <definedName name="CalculatedPierDia_Inches">'TEMPLATE (DP)'!$J$11</definedName>
    <definedName name="CalculatedTieLapLength" localSheetId="10">'FTG A (DP)'!$Q$30</definedName>
    <definedName name="CalculatedTieLapLength" localSheetId="11">'FTG B (DP)'!$Q$30</definedName>
    <definedName name="CalculatedTieLapLength" localSheetId="12">'FTG C (DP)'!$Q$30</definedName>
    <definedName name="CalculatedTieLapLength" localSheetId="2">'[1]TEMPLATE (DP)'!$Q$30</definedName>
    <definedName name="CalculatedTieLapLength">'TEMPLATE (DP)'!$Q$30</definedName>
    <definedName name="COHESION_PHI" localSheetId="2">'GEOTECH PARAMETERS'!$H$2</definedName>
    <definedName name="COHESION_PHI">#REF!</definedName>
    <definedName name="DrilledPierArea" localSheetId="10">'FTG A (DP)'!$W$20</definedName>
    <definedName name="DrilledPierArea" localSheetId="11">'FTG B (DP)'!$W$20</definedName>
    <definedName name="DrilledPierArea" localSheetId="12">'FTG C (DP)'!$W$20</definedName>
    <definedName name="DrilledPierArea" localSheetId="2">'[1]TEMPLATE (DP)'!$W$20</definedName>
    <definedName name="DrilledPierArea">'TEMPLATE (DP)'!$W$20</definedName>
    <definedName name="ExternalData_1" localSheetId="6" hidden="1">ProjectFndnTable!$A$1:$E$11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8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HI_EPSILON" localSheetId="2">'GEOTECH PARAMETERS'!$N$2</definedName>
    <definedName name="PHI_K" localSheetId="2">'GEOTECH PARAMETERS'!$K$2</definedName>
    <definedName name="PHI_K">#REF!</definedName>
    <definedName name="pier_edge_dist" localSheetId="10">'FTG A (DP)'!$G$4</definedName>
    <definedName name="pier_edge_dist" localSheetId="11">'FTG B (DP)'!$G$4</definedName>
    <definedName name="pier_edge_dist" localSheetId="12">'FTG C (DP)'!$G$4</definedName>
    <definedName name="pier_edge_dist" localSheetId="9">'TEMPLATE (DP)'!$G$4</definedName>
    <definedName name="pier_edge_dist" localSheetId="8">'[2]FUSE STAND PIER'!$G$4</definedName>
    <definedName name="PileWorkbookPath">'INPUT TABLES'!$J$1</definedName>
    <definedName name="_xlnm.Print_Area" localSheetId="0">'DP WORKFLOW and GUIDELINES'!$A$3:$K$64</definedName>
    <definedName name="_xlnm.Print_Area" localSheetId="10">'FTG A (DP)'!$B$2:$G$37</definedName>
    <definedName name="_xlnm.Print_Area" localSheetId="11">'FTG B (DP)'!$B$2:$G$37</definedName>
    <definedName name="_xlnm.Print_Area" localSheetId="12">'FTG C (DP)'!$B$2:$G$37</definedName>
    <definedName name="_xlnm.Print_Area" localSheetId="1">'INPUT TABLES'!$K$5:$V$62</definedName>
    <definedName name="_xlnm.Print_Area" localSheetId="9">'TEMPLATE (DP)'!$B$2:$G$37</definedName>
    <definedName name="_xlnm.Print_Area" localSheetId="8">'TEMPLATE (PAD)'!$C$15:$I$36</definedName>
    <definedName name="REBAR_MARKER" localSheetId="8">'TEMPLATE (PAD)'!$D$29</definedName>
    <definedName name="recoverable_factor" localSheetId="2">'[1]DP WORKFLOW and GUIDELINES'!$F$66</definedName>
    <definedName name="recoverable_factor">'DP WORKFLOW and GUIDELINES'!$F$66</definedName>
    <definedName name="ReinforcingTable" localSheetId="2">'[1]REBAR DATA'!$C$6:$H$16</definedName>
    <definedName name="ReinforcingTable">'REBAR DATA'!$C$6:$H$16</definedName>
    <definedName name="SteelArea" localSheetId="10">'FTG A (DP)'!$G$9</definedName>
    <definedName name="SteelArea" localSheetId="11">'FTG B (DP)'!$G$9</definedName>
    <definedName name="SteelArea" localSheetId="12">'FTG C (DP)'!$G$9</definedName>
    <definedName name="SteelArea" localSheetId="2">'[1]TEMPLATE (DP)'!$G$9</definedName>
    <definedName name="SteelArea">'TEMPLATE (DP)'!$G$9</definedName>
    <definedName name="StructureList">'INPUT TABLES'!$K$47:$K$49</definedName>
    <definedName name="tie_bar_diameter" localSheetId="10">'FTG A (DP)'!$I$25</definedName>
    <definedName name="tie_bar_diameter" localSheetId="11">'FTG B (DP)'!$I$25</definedName>
    <definedName name="tie_bar_diameter" localSheetId="12">'FTG C (DP)'!$I$25</definedName>
    <definedName name="tie_bar_diameter">'TEMPLATE (DP)'!$I$25</definedName>
    <definedName name="TIE_LAP_DIST" localSheetId="10">'FTG A (DP)'!$G$3</definedName>
    <definedName name="TIE_LAP_DIST" localSheetId="11">'FTG B (DP)'!$G$3</definedName>
    <definedName name="TIE_LAP_DIST" localSheetId="12">'FTG C (DP)'!$G$3</definedName>
    <definedName name="TIE_LAP_DIST" localSheetId="9">'TEMPLATE (DP)'!$G$3</definedName>
    <definedName name="TIE_LAP_DIST" localSheetId="8">'[2]FUSE STAND PIER'!$G$3</definedName>
    <definedName name="Tie_Spacing" localSheetId="10">'FTG A (DP)'!$G$32</definedName>
    <definedName name="Tie_Spacing" localSheetId="11">'FTG B (DP)'!$G$32</definedName>
    <definedName name="Tie_Spacing" localSheetId="12">'FTG C (DP)'!$G$32</definedName>
    <definedName name="Tie_Spacing" localSheetId="2">'[1]TEMPLATE (DP)'!$G$32</definedName>
    <definedName name="Tie_Spacing">'TEMPLATE (DP)'!$G$32</definedName>
    <definedName name="TIP_DEFLECTION_PERCENTAGE" localSheetId="2">'[1]DP WORKFLOW and GUIDELINES'!$C$66</definedName>
    <definedName name="TIP_DEFLECTION_PERCENTAGE">'DP WORKFLOW and GUIDELINES'!$C$66</definedName>
    <definedName name="TopBarCover" localSheetId="10">'FTG A (DP)'!$J$13</definedName>
    <definedName name="TopBarCover" localSheetId="11">'FTG B (DP)'!$J$13</definedName>
    <definedName name="TopBarCover" localSheetId="12">'FTG C (DP)'!$J$13</definedName>
    <definedName name="TopBarCover" localSheetId="2">'[1]TEMPLATE (DP)'!$J$11</definedName>
    <definedName name="TopBarCover">'TEMPLATE (DP)'!$J$13</definedName>
    <definedName name="TopCover" localSheetId="10">'FTG A (DP)'!$J$13</definedName>
    <definedName name="TopCover" localSheetId="11">'FTG B (DP)'!$J$13</definedName>
    <definedName name="TopCover" localSheetId="12">'FTG C (DP)'!$J$13</definedName>
    <definedName name="TopCover">'TEMPLATE (DP)'!$J$13</definedName>
    <definedName name="TopTieQty" localSheetId="10">'FTG A (DP)'!$J$15</definedName>
    <definedName name="TopTieQty" localSheetId="11">'FTG B (DP)'!$J$15</definedName>
    <definedName name="TopTieQty" localSheetId="12">'FTG C (DP)'!$J$15</definedName>
    <definedName name="TopTieQty" localSheetId="2">'[1]TEMPLATE (DP)'!$J$13</definedName>
    <definedName name="TopTieQty">'TEMPLATE (DP)'!$J$15</definedName>
    <definedName name="TopTieSpacing" localSheetId="10">'FTG A (DP)'!$J$16</definedName>
    <definedName name="TopTieSpacing" localSheetId="11">'FTG B (DP)'!$J$16</definedName>
    <definedName name="TopTieSpacing" localSheetId="12">'FTG C (DP)'!$J$16</definedName>
    <definedName name="TopTieSpacing" localSheetId="2">'[1]TEMPLATE (DP)'!$J$14</definedName>
    <definedName name="TopTieSpacing">'TEMPLATE (DP)'!$J$16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" i="46" l="1"/>
  <c r="C44" i="46"/>
  <c r="B39" i="46"/>
  <c r="W36" i="46"/>
  <c r="W34" i="46"/>
  <c r="W33" i="46"/>
  <c r="W32" i="46"/>
  <c r="W31" i="46"/>
  <c r="W30" i="46"/>
  <c r="F30" i="46"/>
  <c r="G29" i="46"/>
  <c r="X28" i="46" a="1"/>
  <c r="X28" i="46" s="1"/>
  <c r="W28" i="46" a="1"/>
  <c r="W28" i="46" s="1"/>
  <c r="I26" i="46"/>
  <c r="I25" i="46"/>
  <c r="Q21" i="46" s="1"/>
  <c r="Q24" i="46"/>
  <c r="K20" i="46"/>
  <c r="D17" i="46" s="1"/>
  <c r="I30" i="46" s="1"/>
  <c r="J17" i="46"/>
  <c r="G17" i="46"/>
  <c r="E35" i="46" s="1"/>
  <c r="G9" i="46"/>
  <c r="B2" i="46"/>
  <c r="C45" i="45"/>
  <c r="C44" i="45"/>
  <c r="B39" i="45"/>
  <c r="W36" i="45"/>
  <c r="W34" i="45"/>
  <c r="W33" i="45"/>
  <c r="W32" i="45"/>
  <c r="W31" i="45"/>
  <c r="W30" i="45"/>
  <c r="F30" i="45"/>
  <c r="G29" i="45"/>
  <c r="X28" i="45" a="1"/>
  <c r="X28" i="45" s="1"/>
  <c r="W28" i="45" a="1"/>
  <c r="W28" i="45" s="1"/>
  <c r="I26" i="45"/>
  <c r="I25" i="45"/>
  <c r="Q21" i="45" s="1"/>
  <c r="Q24" i="45"/>
  <c r="K20" i="45"/>
  <c r="J17" i="45"/>
  <c r="G17" i="45"/>
  <c r="E35" i="45" s="1"/>
  <c r="D17" i="45"/>
  <c r="I30" i="45" s="1"/>
  <c r="G9" i="45"/>
  <c r="J8" i="45"/>
  <c r="B2" i="45"/>
  <c r="C45" i="44"/>
  <c r="C44" i="44"/>
  <c r="B39" i="44"/>
  <c r="W36" i="44"/>
  <c r="W34" i="44"/>
  <c r="W33" i="44"/>
  <c r="W32" i="44"/>
  <c r="W31" i="44"/>
  <c r="W30" i="44"/>
  <c r="F30" i="44"/>
  <c r="G29" i="44"/>
  <c r="X28" i="44" a="1"/>
  <c r="X28" i="44" s="1"/>
  <c r="W28" i="44" a="1"/>
  <c r="W28" i="44" s="1"/>
  <c r="I26" i="44"/>
  <c r="I25" i="44"/>
  <c r="Q21" i="44" s="1"/>
  <c r="Q23" i="44" s="1"/>
  <c r="Q31" i="44" s="1"/>
  <c r="Q24" i="44"/>
  <c r="K20" i="44"/>
  <c r="D17" i="44" s="1"/>
  <c r="I30" i="44" s="1"/>
  <c r="J17" i="44"/>
  <c r="G17" i="44"/>
  <c r="E35" i="44" s="1"/>
  <c r="G9" i="44"/>
  <c r="J8" i="44"/>
  <c r="B2" i="44"/>
  <c r="F61" i="15"/>
  <c r="F62" i="15"/>
  <c r="A63" i="15"/>
  <c r="F63" i="15" s="1"/>
  <c r="F57" i="15"/>
  <c r="N32" i="40"/>
  <c r="L32" i="40"/>
  <c r="H32" i="40"/>
  <c r="C32" i="40"/>
  <c r="N31" i="40"/>
  <c r="L31" i="40"/>
  <c r="H31" i="40"/>
  <c r="C31" i="40"/>
  <c r="N30" i="40"/>
  <c r="L30" i="40"/>
  <c r="H30" i="40"/>
  <c r="C30" i="40"/>
  <c r="N29" i="40"/>
  <c r="L29" i="40"/>
  <c r="H29" i="40"/>
  <c r="C29" i="40"/>
  <c r="N28" i="40"/>
  <c r="L28" i="40"/>
  <c r="H28" i="40"/>
  <c r="N22" i="40"/>
  <c r="L22" i="40"/>
  <c r="H22" i="40"/>
  <c r="C22" i="40"/>
  <c r="N21" i="40"/>
  <c r="L21" i="40"/>
  <c r="H21" i="40"/>
  <c r="C21" i="40"/>
  <c r="N20" i="40"/>
  <c r="L20" i="40"/>
  <c r="H20" i="40"/>
  <c r="C20" i="40"/>
  <c r="N19" i="40"/>
  <c r="L19" i="40"/>
  <c r="H19" i="40"/>
  <c r="C19" i="40"/>
  <c r="N18" i="40"/>
  <c r="L18" i="40"/>
  <c r="H18" i="40"/>
  <c r="N10" i="40"/>
  <c r="L10" i="40"/>
  <c r="H10" i="40"/>
  <c r="C10" i="40"/>
  <c r="N9" i="40"/>
  <c r="L9" i="40"/>
  <c r="H9" i="40"/>
  <c r="C9" i="40"/>
  <c r="N8" i="40"/>
  <c r="L8" i="40"/>
  <c r="H8" i="40"/>
  <c r="I11" i="15"/>
  <c r="G18" i="15"/>
  <c r="G19" i="15"/>
  <c r="G20" i="15"/>
  <c r="I18" i="15"/>
  <c r="I19" i="15"/>
  <c r="I20" i="15"/>
  <c r="G10" i="15"/>
  <c r="G11" i="15"/>
  <c r="G15" i="15"/>
  <c r="G16" i="15"/>
  <c r="G17" i="15"/>
  <c r="I15" i="15"/>
  <c r="I16" i="15"/>
  <c r="I17" i="15"/>
  <c r="J17" i="7"/>
  <c r="W36" i="7"/>
  <c r="W31" i="7"/>
  <c r="G9" i="15"/>
  <c r="G12" i="15"/>
  <c r="G13" i="15"/>
  <c r="G14" i="15"/>
  <c r="G8" i="15"/>
  <c r="I9" i="15"/>
  <c r="I10" i="15"/>
  <c r="I12" i="15"/>
  <c r="I13" i="15"/>
  <c r="I14" i="15"/>
  <c r="I8" i="15"/>
  <c r="F30" i="7"/>
  <c r="W30" i="7"/>
  <c r="W34" i="7"/>
  <c r="W33" i="7"/>
  <c r="W32" i="7"/>
  <c r="W28" i="7" a="1"/>
  <c r="W28" i="7" s="1"/>
  <c r="X28" i="7" a="1"/>
  <c r="X28" i="7" s="1"/>
  <c r="I26" i="7"/>
  <c r="D46" i="7"/>
  <c r="C45" i="7"/>
  <c r="C44" i="7"/>
  <c r="B39" i="7"/>
  <c r="Q24" i="7"/>
  <c r="E75" i="23"/>
  <c r="E74" i="23"/>
  <c r="E73" i="23"/>
  <c r="E72" i="23"/>
  <c r="E71" i="23"/>
  <c r="E70" i="23"/>
  <c r="E69" i="23"/>
  <c r="E68" i="23"/>
  <c r="R27" i="25"/>
  <c r="R31" i="25" s="1"/>
  <c r="S22" i="25"/>
  <c r="H11" i="3"/>
  <c r="G11" i="3"/>
  <c r="F11" i="3"/>
  <c r="H10" i="3"/>
  <c r="G10" i="3"/>
  <c r="F10" i="3"/>
  <c r="H9" i="3"/>
  <c r="G9" i="3"/>
  <c r="F9" i="3"/>
  <c r="G8" i="3"/>
  <c r="F8" i="3"/>
  <c r="R28" i="25" s="1"/>
  <c r="G7" i="3"/>
  <c r="F7" i="3"/>
  <c r="G6" i="3"/>
  <c r="F6" i="3"/>
  <c r="V30" i="25"/>
  <c r="V29" i="25"/>
  <c r="D29" i="25"/>
  <c r="V28" i="25"/>
  <c r="M23" i="25"/>
  <c r="L23" i="25"/>
  <c r="M22" i="25"/>
  <c r="L22" i="25"/>
  <c r="D21" i="25"/>
  <c r="M21" i="25" s="1"/>
  <c r="D20" i="25"/>
  <c r="M20" i="25" s="1"/>
  <c r="C16" i="25"/>
  <c r="T15" i="25"/>
  <c r="T16" i="25" s="1"/>
  <c r="R15" i="25"/>
  <c r="R16" i="25" s="1"/>
  <c r="J12" i="25"/>
  <c r="I12" i="25"/>
  <c r="J11" i="25"/>
  <c r="I11" i="25"/>
  <c r="J10" i="25"/>
  <c r="I10" i="25"/>
  <c r="U9" i="25"/>
  <c r="R9" i="25"/>
  <c r="O9" i="25"/>
  <c r="J9" i="25"/>
  <c r="I9" i="25"/>
  <c r="J8" i="25"/>
  <c r="I8" i="25"/>
  <c r="J7" i="25"/>
  <c r="I7" i="25"/>
  <c r="J6" i="25"/>
  <c r="I6" i="25"/>
  <c r="J5" i="25"/>
  <c r="I5" i="25"/>
  <c r="G5" i="25"/>
  <c r="G13" i="25" s="1"/>
  <c r="J4" i="25"/>
  <c r="I4" i="25"/>
  <c r="G4" i="25"/>
  <c r="K20" i="7"/>
  <c r="D17" i="7" s="1"/>
  <c r="I30" i="7" s="1"/>
  <c r="G17" i="7"/>
  <c r="E35" i="7" s="1"/>
  <c r="G9" i="7"/>
  <c r="B2" i="7"/>
  <c r="G19" i="6"/>
  <c r="G18" i="6"/>
  <c r="G17" i="6"/>
  <c r="G12" i="6"/>
  <c r="G11" i="6"/>
  <c r="U17" i="15"/>
  <c r="V17" i="15" s="1"/>
  <c r="U16" i="15"/>
  <c r="V16" i="15" s="1"/>
  <c r="D16" i="46" a="1"/>
  <c r="D16" i="45" a="1"/>
  <c r="D16" i="7" a="1"/>
  <c r="D16" i="44" a="1"/>
  <c r="G25" i="46" l="1"/>
  <c r="G25" i="44"/>
  <c r="G25" i="45"/>
  <c r="W35" i="46"/>
  <c r="W37" i="46" s="1"/>
  <c r="W38" i="46" s="1"/>
  <c r="E30" i="46" s="1"/>
  <c r="C43" i="46" s="1"/>
  <c r="D16" i="46"/>
  <c r="Q23" i="46"/>
  <c r="Q31" i="46" s="1"/>
  <c r="Q22" i="46"/>
  <c r="Q32" i="46" s="1"/>
  <c r="Q33" i="46" s="1"/>
  <c r="Q34" i="46" s="1"/>
  <c r="D44" i="46"/>
  <c r="F35" i="46"/>
  <c r="J8" i="46"/>
  <c r="W35" i="45"/>
  <c r="W37" i="45" s="1"/>
  <c r="W38" i="45" s="1"/>
  <c r="E30" i="45" s="1"/>
  <c r="C43" i="45" s="1"/>
  <c r="D16" i="45"/>
  <c r="Q23" i="45"/>
  <c r="Q31" i="45" s="1"/>
  <c r="Q22" i="45"/>
  <c r="Q32" i="45" s="1"/>
  <c r="Q33" i="45" s="1"/>
  <c r="Q34" i="45" s="1"/>
  <c r="D44" i="45"/>
  <c r="F35" i="45"/>
  <c r="W35" i="44"/>
  <c r="W37" i="44" s="1"/>
  <c r="W38" i="44" s="1"/>
  <c r="E30" i="44" s="1"/>
  <c r="C43" i="44" s="1"/>
  <c r="D16" i="44"/>
  <c r="D44" i="44"/>
  <c r="F35" i="44"/>
  <c r="Q22" i="44"/>
  <c r="Q32" i="44" s="1"/>
  <c r="Q33" i="44" s="1"/>
  <c r="Q34" i="44" s="1"/>
  <c r="G13" i="6"/>
  <c r="F29" i="25"/>
  <c r="V25" i="25"/>
  <c r="J8" i="7"/>
  <c r="W35" i="7"/>
  <c r="W37" i="7" s="1"/>
  <c r="R30" i="25"/>
  <c r="S17" i="25"/>
  <c r="D18" i="25" s="1"/>
  <c r="D44" i="7"/>
  <c r="R33" i="25"/>
  <c r="R34" i="25" s="1"/>
  <c r="R29" i="25"/>
  <c r="G25" i="7"/>
  <c r="L20" i="25"/>
  <c r="E20" i="25" s="1"/>
  <c r="L21" i="25"/>
  <c r="E21" i="25" s="1"/>
  <c r="D16" i="7"/>
  <c r="J7" i="46" l="1"/>
  <c r="J9" i="46" s="1"/>
  <c r="D45" i="46"/>
  <c r="I29" i="46"/>
  <c r="J7" i="45"/>
  <c r="J9" i="45" s="1"/>
  <c r="D45" i="45"/>
  <c r="I29" i="45"/>
  <c r="J7" i="44"/>
  <c r="J9" i="44" s="1"/>
  <c r="D45" i="44"/>
  <c r="I29" i="44"/>
  <c r="D45" i="7"/>
  <c r="J7" i="7"/>
  <c r="W38" i="7"/>
  <c r="E30" i="7" s="1"/>
  <c r="C43" i="7" s="1"/>
  <c r="R25" i="25"/>
  <c r="F35" i="7"/>
  <c r="I29" i="7"/>
  <c r="J10" i="46" l="1"/>
  <c r="G4" i="46" s="1"/>
  <c r="J10" i="45"/>
  <c r="G4" i="45" s="1"/>
  <c r="J10" i="44"/>
  <c r="G4" i="44" s="1"/>
  <c r="C71" i="23"/>
  <c r="D71" i="23" s="1"/>
  <c r="C68" i="23"/>
  <c r="D68" i="23" s="1"/>
  <c r="C72" i="23"/>
  <c r="D72" i="23" s="1"/>
  <c r="C75" i="23"/>
  <c r="D75" i="23" s="1"/>
  <c r="C70" i="23"/>
  <c r="D70" i="23" s="1"/>
  <c r="C73" i="23"/>
  <c r="D73" i="23" s="1"/>
  <c r="C69" i="23"/>
  <c r="D69" i="23" s="1"/>
  <c r="C74" i="23"/>
  <c r="D74" i="23" s="1"/>
  <c r="I27" i="46" l="1"/>
  <c r="Q25" i="46"/>
  <c r="I27" i="45"/>
  <c r="Q25" i="45"/>
  <c r="I27" i="44"/>
  <c r="Q25" i="44"/>
  <c r="G29" i="7"/>
  <c r="I25" i="7"/>
  <c r="J9" i="7" s="1"/>
  <c r="J10" i="7" s="1"/>
  <c r="G4" i="7" s="1"/>
  <c r="J11" i="46" a="1"/>
  <c r="J11" i="44" a="1"/>
  <c r="J11" i="45" a="1"/>
  <c r="J11" i="46" l="1"/>
  <c r="J11" i="45"/>
  <c r="J11" i="44"/>
  <c r="Q21" i="7"/>
  <c r="Q25" i="7"/>
  <c r="I27" i="7"/>
  <c r="J11" i="7" a="1"/>
  <c r="J32" i="46" l="1"/>
  <c r="I33" i="46" s="1"/>
  <c r="B9" i="46"/>
  <c r="I24" i="46"/>
  <c r="J32" i="45"/>
  <c r="I33" i="45" s="1"/>
  <c r="B9" i="45"/>
  <c r="I24" i="45"/>
  <c r="B9" i="44"/>
  <c r="I24" i="44"/>
  <c r="J32" i="44"/>
  <c r="I33" i="44" s="1"/>
  <c r="J11" i="7"/>
  <c r="B9" i="7" s="1"/>
  <c r="F17" i="7" s="1"/>
  <c r="G18" i="7" s="1"/>
  <c r="Q23" i="7"/>
  <c r="Q31" i="7" s="1"/>
  <c r="Q22" i="7"/>
  <c r="Q32" i="7" s="1"/>
  <c r="Q33" i="7" s="1"/>
  <c r="I28" i="46" l="1"/>
  <c r="I31" i="46" s="1"/>
  <c r="G24" i="46" s="1"/>
  <c r="Q20" i="46"/>
  <c r="Q27" i="46" s="1"/>
  <c r="F9" i="46"/>
  <c r="W20" i="46"/>
  <c r="G20" i="46" s="1"/>
  <c r="F17" i="46"/>
  <c r="F17" i="45"/>
  <c r="W20" i="45"/>
  <c r="G20" i="45" s="1"/>
  <c r="F9" i="45"/>
  <c r="Q20" i="45"/>
  <c r="Q27" i="45" s="1"/>
  <c r="I28" i="45"/>
  <c r="I31" i="45" s="1"/>
  <c r="G24" i="45" s="1"/>
  <c r="Q20" i="44"/>
  <c r="Q27" i="44" s="1"/>
  <c r="I28" i="44"/>
  <c r="I31" i="44" s="1"/>
  <c r="G24" i="44" s="1"/>
  <c r="W20" i="44"/>
  <c r="G20" i="44" s="1"/>
  <c r="F17" i="44"/>
  <c r="F9" i="44"/>
  <c r="J32" i="7"/>
  <c r="I33" i="7" s="1"/>
  <c r="I24" i="7"/>
  <c r="I28" i="7" s="1"/>
  <c r="I31" i="7" s="1"/>
  <c r="G24" i="7" s="1"/>
  <c r="E34" i="7"/>
  <c r="E36" i="7"/>
  <c r="E37" i="7" s="1"/>
  <c r="D49" i="7" s="1"/>
  <c r="W20" i="7"/>
  <c r="G20" i="7" s="1"/>
  <c r="F9" i="7"/>
  <c r="Q34" i="7"/>
  <c r="C41" i="7"/>
  <c r="E29" i="7"/>
  <c r="G18" i="46" l="1"/>
  <c r="E34" i="46"/>
  <c r="E36" i="46"/>
  <c r="E37" i="46" s="1"/>
  <c r="D49" i="46" s="1"/>
  <c r="S23" i="46"/>
  <c r="Q28" i="46"/>
  <c r="Q29" i="46" s="1"/>
  <c r="Q30" i="46" s="1"/>
  <c r="S23" i="45"/>
  <c r="Q28" i="45"/>
  <c r="Q29" i="45" s="1"/>
  <c r="Q30" i="45" s="1"/>
  <c r="Q35" i="45" s="1"/>
  <c r="G18" i="45"/>
  <c r="E34" i="45"/>
  <c r="E36" i="45"/>
  <c r="E37" i="45" s="1"/>
  <c r="D49" i="45" s="1"/>
  <c r="G18" i="44"/>
  <c r="E34" i="44"/>
  <c r="E36" i="44"/>
  <c r="E37" i="44" s="1"/>
  <c r="D49" i="44" s="1"/>
  <c r="S23" i="44"/>
  <c r="Q28" i="44"/>
  <c r="Q29" i="44" s="1"/>
  <c r="Q30" i="44" s="1"/>
  <c r="Q35" i="44" s="1"/>
  <c r="Q20" i="7"/>
  <c r="Q27" i="7" s="1"/>
  <c r="S23" i="7" s="1"/>
  <c r="G3" i="46" l="1"/>
  <c r="T35" i="46" s="1"/>
  <c r="F31" i="46"/>
  <c r="Q35" i="46"/>
  <c r="C41" i="46"/>
  <c r="E29" i="46"/>
  <c r="E31" i="45"/>
  <c r="Q36" i="45"/>
  <c r="G33" i="45" s="1"/>
  <c r="Q37" i="45"/>
  <c r="C41" i="45"/>
  <c r="E29" i="45"/>
  <c r="G3" i="45"/>
  <c r="T35" i="45" s="1"/>
  <c r="F31" i="45"/>
  <c r="E31" i="44"/>
  <c r="Q36" i="44"/>
  <c r="G33" i="44" s="1"/>
  <c r="Q37" i="44"/>
  <c r="G3" i="44"/>
  <c r="T35" i="44" s="1"/>
  <c r="F31" i="44"/>
  <c r="C41" i="44"/>
  <c r="E29" i="44"/>
  <c r="Q28" i="7"/>
  <c r="Q29" i="7" s="1"/>
  <c r="Q30" i="7" s="1"/>
  <c r="G3" i="7" s="1"/>
  <c r="T35" i="7" s="1"/>
  <c r="E31" i="46" l="1"/>
  <c r="Q36" i="46"/>
  <c r="G33" i="46" s="1"/>
  <c r="Q37" i="46"/>
  <c r="Q38" i="45"/>
  <c r="Q39" i="45" s="1"/>
  <c r="E33" i="45"/>
  <c r="D48" i="45" s="1"/>
  <c r="D43" i="45"/>
  <c r="Q38" i="44"/>
  <c r="Q39" i="44" s="1"/>
  <c r="E33" i="44"/>
  <c r="D48" i="44" s="1"/>
  <c r="D43" i="44"/>
  <c r="Q35" i="7"/>
  <c r="Q37" i="7" s="1"/>
  <c r="Q38" i="7" s="1"/>
  <c r="Q39" i="7" s="1"/>
  <c r="F31" i="7"/>
  <c r="Q38" i="46" l="1"/>
  <c r="Q39" i="46" s="1"/>
  <c r="E33" i="46"/>
  <c r="D48" i="46" s="1"/>
  <c r="D43" i="46"/>
  <c r="E31" i="7"/>
  <c r="E33" i="7" s="1"/>
  <c r="D48" i="7" s="1"/>
  <c r="Q36" i="7"/>
  <c r="G33" i="7" s="1"/>
  <c r="D43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E84419F4-55C6-4F3C-ACC3-E8E90242CA4D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216BFC55-15C9-45EF-99BB-02AC2A4E9D11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3B3C92D4-78A6-4773-912A-C0ED9AA07ED7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5F076C36-A41C-4EAE-8DAF-493199B2D737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80D11D98-123B-47AC-9C04-93710BA88054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60A4956F-27A2-4C75-A02C-89D8BF5547BF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B7039D9F-1C4B-44D0-B77A-5E249F76E3E7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CBB8902E-DBC5-43D7-BB18-EA2AC60531B0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4FD75F-F956-47B8-BA44-DEA8566B890E}" keepAlive="1" name="Query - ProjectFndnTable" description="Connection to the 'ProjectFndnTable' query in the workbook." type="5" refreshedVersion="8" background="1" saveData="1">
    <dbPr connection="Provider=Microsoft.Mashup.OleDb.1;Data Source=$Workbook$;Location=ProjectFndnTable;Extended Properties=&quot;&quot;" command="SELECT * FROM [ProjectFndn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<sst xmlns="http://schemas.openxmlformats.org/spreadsheetml/2006/main" count="1175" uniqueCount="427">
  <si>
    <t>C:\Users\msjones.AMCE\OneDrive - Allgeier Martin and Associates\01_STRUCTURAL PDF\02 FOUNDATION DESIGN\03_DRILLED_PIER_RESOURCES\GEC10-Drilled-Shaft-Final-10-5-18.pdf</t>
  </si>
  <si>
    <t>COMPLETE THE PROJECT STRUCTURE TABLE IN THE Summary Tables worksheet</t>
  </si>
  <si>
    <t>FOR EACH FOUNDATION TYPE YOU SHALL:</t>
  </si>
  <si>
    <t>CREATE WORKSHEET FOR EACH LETTERED FOOTING USE THE PROPER NAMING SCHEMA</t>
  </si>
  <si>
    <t>ALWAYS, BUT ALWAYS USE FTG AS THE PREFIX AND…</t>
  </si>
  <si>
    <t>USE (DP) AS A SUFFIX FOR DRILLED PIERS</t>
  </si>
  <si>
    <t>USE (PAD) AS A SUFFIX FOR PAD FOOTINGS (OR MAT FOOTINGS)</t>
  </si>
  <si>
    <t>LOADING</t>
  </si>
  <si>
    <t>Obtain controlling reactions for vertical loading</t>
  </si>
  <si>
    <t>Obtain controlling reactions for lateral loading</t>
  </si>
  <si>
    <t>Place the reactions into the footing worksheet in the appropriate location</t>
  </si>
  <si>
    <t>ANCHOR BOLTS</t>
  </si>
  <si>
    <t>Verify anchor bolt layout type</t>
  </si>
  <si>
    <t>Orthogonal: X and Y spacing</t>
  </si>
  <si>
    <t>Circular : Bolt Circle Diameter (BCD)</t>
  </si>
  <si>
    <t>Verify anchor bolt size (diameter and embed depth)</t>
  </si>
  <si>
    <t>Place the anchor bolt size into the appropriate location in the Footing worksheet</t>
  </si>
  <si>
    <t>VERIFY GEOTECHNICAL PARAMETERS FROM REPORT AND CREATE A SUMMARY WORKSHEET</t>
  </si>
  <si>
    <t>FOR EACH BORING (USE THE GEOTECH PARAMETERS.XLSX WORKBOOK)</t>
  </si>
  <si>
    <t>AXIAL PARAMETERS</t>
  </si>
  <si>
    <t>End bearing and skin friction</t>
  </si>
  <si>
    <t>LATERAL PARAMETERS</t>
  </si>
  <si>
    <r>
      <t>C/K/</t>
    </r>
    <r>
      <rPr>
        <sz val="11"/>
        <color theme="1"/>
        <rFont val="Symbol"/>
        <family val="1"/>
        <charset val="2"/>
      </rPr>
      <t>e</t>
    </r>
    <r>
      <rPr>
        <vertAlign val="subscript"/>
        <sz val="11"/>
        <color theme="1"/>
        <rFont val="Calibri"/>
        <family val="2"/>
        <scheme val="minor"/>
      </rPr>
      <t>50</t>
    </r>
  </si>
  <si>
    <t>SAFETY FACTORS</t>
  </si>
  <si>
    <t>Based off the geotechnical report recommendations and AMA recommended guidelines.</t>
  </si>
  <si>
    <t>USE ALLPILE TO VERIFY THE PIER DIAMETER AND GROUND EMBEDMENT FOR EACH DRILLED PIER</t>
  </si>
  <si>
    <t>USE SHORTCOL.XLSM TO VALIDATE THE STEEL REINFORCEMENT FOR THE DRILLED PIERS</t>
  </si>
  <si>
    <t>DESIGN THE REINFORCEMENT FOR THE PAD FOOTING BASED ON USAGE AND LOADING</t>
  </si>
  <si>
    <t>RECOMMENDATIONS FOR DRILLED PIERS</t>
  </si>
  <si>
    <t>TIE SIZE RECOMMENDED FOR STABILITY OF REINFORCEMENT CAGE (FWHA-NHI-18-024)</t>
  </si>
  <si>
    <t>#6 ties for pies with a diameter greater than 90"</t>
  </si>
  <si>
    <t>MINIMUM CONCRETE COVER (FWHA-NHI-18-024)</t>
  </si>
  <si>
    <t>PIER DIAMETER (INCHES)</t>
  </si>
  <si>
    <t>CONCRETE COVER (INCHES)</t>
  </si>
  <si>
    <t>MIN.</t>
  </si>
  <si>
    <t>MAX.</t>
  </si>
  <si>
    <t>INFINITY</t>
  </si>
  <si>
    <t>DRILLED PIER DIAMETERS</t>
  </si>
  <si>
    <t>&lt;= 48" DIA. USE 6" INCREMENTS</t>
  </si>
  <si>
    <t>&gt;48" DIA. USE 12" INCREMENTS</t>
  </si>
  <si>
    <t>FTG MARK</t>
  </si>
  <si>
    <t>CONC. VOLUME CHECKED</t>
  </si>
  <si>
    <t>STEEL REINFORCEMENT CHECKED</t>
  </si>
  <si>
    <t>FTG QTY CHECKED</t>
  </si>
  <si>
    <t>A.B. SPACING CHECKED</t>
  </si>
  <si>
    <t>A.B. SIZE AND QTY CHECKED</t>
  </si>
  <si>
    <t>DATE</t>
  </si>
  <si>
    <t>A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</si>
  <si>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</si>
  <si>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</si>
  <si>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</si>
  <si>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</si>
  <si>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</si>
  <si>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</si>
  <si>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</si>
  <si>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</si>
  <si>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</si>
  <si>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</si>
  <si>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</si>
  <si>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ITEM #</t>
  </si>
  <si>
    <t>ITEM QTY</t>
  </si>
  <si>
    <t>ITEM # DESC</t>
  </si>
  <si>
    <t>PAD FOOTING TABLE</t>
  </si>
  <si>
    <t>STRUCTURE/EQUIPMENT</t>
  </si>
  <si>
    <t>FTG TYPE</t>
  </si>
  <si>
    <t>A.B. QTY PER STR</t>
  </si>
  <si>
    <t>TOTAL A.B.</t>
  </si>
  <si>
    <t>FTG PER STR</t>
  </si>
  <si>
    <t>TOTAL FTGS</t>
  </si>
  <si>
    <t>DIA (FT)</t>
  </si>
  <si>
    <t>LENGTH (FT)</t>
  </si>
  <si>
    <r>
      <t>VOLUME (YD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</si>
  <si>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t>VERT REINF.</t>
  </si>
  <si>
    <t>TOTAL VERT. LENGTH</t>
  </si>
  <si>
    <t>HORIZ TIES</t>
  </si>
  <si>
    <t>HORIZ. TOTAL LEN</t>
  </si>
  <si>
    <t>A.B. CALL-OUT</t>
  </si>
  <si>
    <t>A.B. DIA (IN)</t>
  </si>
  <si>
    <t>FTG COUNT</t>
  </si>
  <si>
    <t>TOTAL VOLUME</t>
  </si>
  <si>
    <t>Description</t>
  </si>
  <si>
    <t>Total</t>
  </si>
  <si>
    <t>QUANTITY TAKE OFF FOR STEEL AND CONCRETE</t>
  </si>
  <si>
    <t xml:space="preserve">FTG  </t>
  </si>
  <si>
    <t>FTG QTY</t>
  </si>
  <si>
    <r>
      <t>CONC. PER FTG YD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</si>
  <si>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TOTAL CONC. YD</t>
    </r>
    <r>
      <rPr>
        <vertAlign val="superscript"/>
        <sz val="11"/>
        <color theme="1"/>
        <rFont val="Calibri"/>
        <family val="2"/>
        <scheme val="minor"/>
      </rPr>
      <t>3</t>
    </r>
  </si>
  <si>
    <t>BAR SIZE</t>
  </si>
  <si>
    <t>TOTAL (FT)</t>
  </si>
  <si>
    <t>#3</t>
  </si>
  <si>
    <t>#5</t>
  </si>
  <si>
    <t>#6</t>
  </si>
  <si>
    <t>CELL LEGEND</t>
  </si>
  <si>
    <t>MOMENT</t>
  </si>
  <si>
    <t>FT-KIPS</t>
  </si>
  <si>
    <t>TIE LAP DIST</t>
  </si>
  <si>
    <t>INPUT CELL</t>
  </si>
  <si>
    <t>Reinforcing Bar Properties</t>
  </si>
  <si>
    <t>SHEAR</t>
  </si>
  <si>
    <t>KIPS</t>
  </si>
  <si>
    <t>EDGE DIST</t>
  </si>
  <si>
    <t>XXX</t>
  </si>
  <si>
    <t>CALCULATED CELL</t>
  </si>
  <si>
    <t>Bar Size</t>
  </si>
  <si>
    <t>Diameter</t>
  </si>
  <si>
    <t>Area</t>
  </si>
  <si>
    <t>Perimeter</t>
  </si>
  <si>
    <t>Weight</t>
  </si>
  <si>
    <t>AXIAL</t>
  </si>
  <si>
    <t>SQUARE TOP DEPTH</t>
  </si>
  <si>
    <t>(in.)</t>
  </si>
  <si>
    <t>(in.^2)</t>
  </si>
  <si>
    <t>(lbs./ft.)</t>
  </si>
  <si>
    <t>DRILLED PIER SUMMARY</t>
  </si>
  <si>
    <t>#4</t>
  </si>
  <si>
    <t>REBAR QTY</t>
  </si>
  <si>
    <t>SIZE</t>
  </si>
  <si>
    <r>
      <t>CONC. VOL. (FT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</si>
  <si>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STEEL AREA (IN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)</t>
    </r>
  </si>
  <si>
    <t>#7</t>
  </si>
  <si>
    <t>#8</t>
  </si>
  <si>
    <t>#9</t>
  </si>
  <si>
    <t>#10</t>
  </si>
  <si>
    <t>#11</t>
  </si>
  <si>
    <t>ANCHOR BOLT DATA</t>
  </si>
  <si>
    <t>PIER SELECTED</t>
  </si>
  <si>
    <t>#14</t>
  </si>
  <si>
    <t>Anchor bolt Dia:</t>
  </si>
  <si>
    <t>in</t>
  </si>
  <si>
    <t>#18</t>
  </si>
  <si>
    <t>Anchor bolt dia circle:</t>
  </si>
  <si>
    <t>BOLT SPACING (in)</t>
  </si>
  <si>
    <t>Anchor bolt embedment:</t>
  </si>
  <si>
    <r>
      <t>Conc. Volume yd</t>
    </r>
    <r>
      <rPr>
        <b/>
        <vertAlign val="superscript"/>
        <sz val="10"/>
        <rFont val="Arial"/>
        <family val="2"/>
      </rPr>
      <t>3</t>
    </r>
  </si>
  <si>
    <t>x</t>
  </si>
  <si>
    <t>y</t>
  </si>
  <si>
    <t>Anchor bolts required:</t>
  </si>
  <si>
    <t>bolts</t>
  </si>
  <si>
    <t>Anchor Bolt Callout:</t>
  </si>
  <si>
    <t>Steel %:</t>
  </si>
  <si>
    <t xml:space="preserve">BOLT CIRCLE DIA: </t>
  </si>
  <si>
    <t>CHECKS AND BALANCES</t>
  </si>
  <si>
    <t>ANCHOR BOLT CLEARANCE CHECK</t>
  </si>
  <si>
    <t>Clearance between the bolts and longitudinal reinforcement</t>
  </si>
  <si>
    <t>in (Pier dia.)</t>
  </si>
  <si>
    <t>Adequate pier length for required anchor bolt embedment</t>
  </si>
  <si>
    <t>in (Tie dia.)</t>
  </si>
  <si>
    <t>in (Vert. bar dia.)</t>
  </si>
  <si>
    <t>CONCRETE AND REINFORCEMENT MATERIAL QUANTITIES</t>
  </si>
  <si>
    <t>in (Edge Distance)</t>
  </si>
  <si>
    <t>Concrete Volume:</t>
  </si>
  <si>
    <r>
      <t>yd</t>
    </r>
    <r>
      <rPr>
        <vertAlign val="superscript"/>
        <sz val="10"/>
        <rFont val="Arial"/>
        <family val="2"/>
      </rPr>
      <t>3</t>
    </r>
  </si>
  <si>
    <t>in (Dia at inside face of vert. bars)</t>
  </si>
  <si>
    <t>Number of ties required:</t>
  </si>
  <si>
    <t>in (Anchor bolt dia.)</t>
  </si>
  <si>
    <t>Length of tie:</t>
  </si>
  <si>
    <t>in (Anchor bolt mtg. dia.)</t>
  </si>
  <si>
    <t>Hor. Tie Size:</t>
  </si>
  <si>
    <t>Tie Spacing:</t>
  </si>
  <si>
    <t>in (Clearance)</t>
  </si>
  <si>
    <t>Total Length for ties:</t>
  </si>
  <si>
    <t>ft-in</t>
  </si>
  <si>
    <t>Number of longitudinal bars:</t>
  </si>
  <si>
    <t>Longitudinal Reinforcement Length:</t>
  </si>
  <si>
    <t>Total Long. Reinforcement:</t>
  </si>
  <si>
    <t>ITEM</t>
  </si>
  <si>
    <t>QTY</t>
  </si>
  <si>
    <t>BAR
SIZE</t>
  </si>
  <si>
    <t>LEN
(FT)</t>
  </si>
  <si>
    <t>TOTAL LEN
(FT)</t>
  </si>
  <si>
    <t>COMMENT</t>
  </si>
  <si>
    <t>FT</t>
  </si>
  <si>
    <t>IN</t>
  </si>
  <si>
    <t>TIES (Y/N)</t>
  </si>
  <si>
    <t>ITEM COUNT SUMMARY</t>
  </si>
  <si>
    <t>BENT</t>
  </si>
  <si>
    <t>N</t>
  </si>
  <si>
    <t>BOTT</t>
  </si>
  <si>
    <t>DOWELS</t>
  </si>
  <si>
    <t>TIES</t>
  </si>
  <si>
    <t>Y</t>
  </si>
  <si>
    <t>PAD</t>
  </si>
  <si>
    <t>PEDESTAL</t>
  </si>
  <si>
    <t>LENGTH</t>
  </si>
  <si>
    <t>WIDTH</t>
  </si>
  <si>
    <t>THICK</t>
  </si>
  <si>
    <t>HEIGHT</t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</si>
  <si>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</si>
  <si>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r>
      <t>YD</t>
    </r>
    <r>
      <rPr>
        <vertAlign val="superscript"/>
        <sz val="11"/>
        <color theme="1"/>
        <rFont val="Calibri"/>
        <family val="2"/>
        <scheme val="minor"/>
      </rPr>
      <t>3</t>
    </r>
  </si>
  <si>
    <t>MATERIAL REQUIRED PER FOOTING</t>
  </si>
  <si>
    <t>TOTAL</t>
  </si>
  <si>
    <t>TIE LENGTH CALCULATOR</t>
  </si>
  <si>
    <t>DOWEL LENGTH CALCULATOR</t>
  </si>
  <si>
    <t>INPUTS</t>
  </si>
  <si>
    <t>ANCHOR BOLTS 1" DIA X 2'-0"</t>
  </si>
  <si>
    <t>AB8-24NG-3N1W (ITEM 6-103AB)</t>
  </si>
  <si>
    <t>in.</t>
  </si>
  <si>
    <t>DEPTH</t>
  </si>
  <si>
    <t>LEG</t>
  </si>
  <si>
    <t>ft.</t>
  </si>
  <si>
    <t>ft</t>
  </si>
  <si>
    <t>CALCULATIONS</t>
  </si>
  <si>
    <t>R</t>
  </si>
  <si>
    <r>
      <rPr>
        <sz val="11"/>
        <color theme="1"/>
        <rFont val="Calibri"/>
        <family val="2"/>
        <scheme val="minor"/>
      </rPr>
      <t>l</t>
    </r>
    <r>
      <rPr>
        <vertAlign val="subscript"/>
        <sz val="11"/>
        <color theme="1"/>
        <rFont val="Calibri"/>
        <family val="2"/>
        <scheme val="minor"/>
      </rPr>
      <t>ext</t>
    </r>
  </si>
  <si>
    <t>A1</t>
  </si>
  <si>
    <t>B1</t>
  </si>
  <si>
    <t>A2</t>
  </si>
  <si>
    <t>C1</t>
  </si>
  <si>
    <t xml:space="preserve">B </t>
  </si>
  <si>
    <t>NOTES:</t>
  </si>
  <si>
    <t>PEDESTAL SHALL BE FORMED FROM THE BOTTOM TO THE TOP</t>
  </si>
  <si>
    <t xml:space="preserve">D </t>
  </si>
  <si>
    <t>GALV. ADHESIVE ANCHOR BOLTS 3/4" DIA x 9" WITH GALV. NUTS AND WASHERS. EMBED 6" WITH EPOXY ADHESIVE (ITEM 6-82)</t>
  </si>
  <si>
    <t>Bar</t>
  </si>
  <si>
    <t>135° Leg Len.</t>
  </si>
  <si>
    <t>90° Leg Len.</t>
  </si>
  <si>
    <t>Bend Dia.</t>
  </si>
  <si>
    <t>Size</t>
  </si>
  <si>
    <t>Factor the maximum moment from the AllPile analysis by 1.5</t>
  </si>
  <si>
    <t>Factor the maximum shear from the AllPile analysis by 1.5</t>
  </si>
  <si>
    <t xml:space="preserve">Check overturning based on either the reactions given by the equipment supplier.  If there are not any </t>
  </si>
  <si>
    <t>reactions with the equipment, obtain the estimated projected area (EPA) for the transverse and</t>
  </si>
  <si>
    <t xml:space="preserve">Based on the EPA and weight obtain the reactions from both wind and seismic loading for the </t>
  </si>
  <si>
    <t>both the longitudinal and transverse direction</t>
  </si>
  <si>
    <t>longitudinal direction/orientation.</t>
  </si>
  <si>
    <t xml:space="preserve">Pad mounted circuit breakers </t>
  </si>
  <si>
    <t/>
  </si>
  <si>
    <t>DP</t>
  </si>
  <si>
    <t>8 - #8</t>
  </si>
  <si>
    <t>60'-0"</t>
  </si>
  <si>
    <t>10-#3</t>
  </si>
  <si>
    <t>78'-4"</t>
  </si>
  <si>
    <t>14 - #9</t>
  </si>
  <si>
    <t>161'-0"</t>
  </si>
  <si>
    <t>14-#4</t>
  </si>
  <si>
    <t>175'-0"</t>
  </si>
  <si>
    <t>FLATWASHER FOR 1" BOLT, ASTM A307 GALVANIZED</t>
  </si>
  <si>
    <t>HILTI HIT-HY 200</t>
  </si>
  <si>
    <t>ANCHOR ADHESIVE, 2-PART EPOXY, INJECTABLE 11.2 oz. CARTRIDGE</t>
  </si>
  <si>
    <t>HEX NUT FOR 1" BOLT, ASTM A307 GALVANIZED</t>
  </si>
  <si>
    <t>https://superuser.com/questions/156404/shortest-method-to-reference-a-single-row-column-of-a-named-range-in-excel</t>
  </si>
  <si>
    <t>DEFLECTION GUIDELINES</t>
  </si>
  <si>
    <t>USE 3% * PIER DIAMETER FOR TIP DEFLECTION</t>
  </si>
  <si>
    <t>%</t>
  </si>
  <si>
    <t>TIP DEF (IN)</t>
  </si>
  <si>
    <t>NON-RECOVERABLE (IN)</t>
  </si>
  <si>
    <t>MIN. EMBED DEPTH</t>
  </si>
  <si>
    <t>TOP COVER</t>
  </si>
  <si>
    <t>BOTTOM COVER</t>
  </si>
  <si>
    <t>PEDSTAL REINFORCEMENT TIPS AND HINTS</t>
  </si>
  <si>
    <t>Ex:</t>
  </si>
  <si>
    <t>The anchor bolt requires a 10 inch embedment - then the pedestal shall</t>
  </si>
  <si>
    <t>have a minimum height of 12 inches.</t>
  </si>
  <si>
    <t>Pedestal height shall be 2 inches more than the anchor bolt embedment depth.</t>
  </si>
  <si>
    <t>Ties shall be placed and spaced per ACI 25.7.2</t>
  </si>
  <si>
    <t>TIE LENGTH CALCULATIONS</t>
  </si>
  <si>
    <t>pier_dia</t>
  </si>
  <si>
    <t>tie_bar_dia</t>
  </si>
  <si>
    <t>vert_bar_qty</t>
  </si>
  <si>
    <t>edge_clr</t>
  </si>
  <si>
    <t>vert_bar_spacing</t>
  </si>
  <si>
    <t>hook_ext</t>
  </si>
  <si>
    <t>hook_bend_dia</t>
  </si>
  <si>
    <t>hook_radius_len</t>
  </si>
  <si>
    <t>total_hook_len</t>
  </si>
  <si>
    <t>total_tie_len</t>
  </si>
  <si>
    <t>less_than_six</t>
  </si>
  <si>
    <t>tie_lap_length</t>
  </si>
  <si>
    <t>OLD LENGTH</t>
  </si>
  <si>
    <t>DRILLED PIER AREA</t>
  </si>
  <si>
    <t>in^2</t>
  </si>
  <si>
    <t>TOTAL LEN</t>
  </si>
  <si>
    <t>ANCHOR BOLT LENGTH</t>
  </si>
  <si>
    <t>REF: https://exceljet.net/formulas/strip-non-numeric-characters</t>
  </si>
  <si>
    <t>TOP TIE QTY</t>
  </si>
  <si>
    <t>TOP TIE SPACING</t>
  </si>
  <si>
    <t>TOTAL TIE QTY</t>
  </si>
  <si>
    <t>Total Length</t>
  </si>
  <si>
    <t>Top Cover</t>
  </si>
  <si>
    <t>Bottom Cover</t>
  </si>
  <si>
    <t>Top Tie Spacing</t>
  </si>
  <si>
    <t>Top Tie Qty</t>
  </si>
  <si>
    <t>Bottom Tie Distance</t>
  </si>
  <si>
    <t>Bottom Tie Spacing</t>
  </si>
  <si>
    <t>Bottom Qty</t>
  </si>
  <si>
    <t>Total Tie Qty</t>
  </si>
  <si>
    <t>MISCELLANEOUS INPUTS AND CALCULATIONS</t>
  </si>
  <si>
    <t>6-82b</t>
  </si>
  <si>
    <t>6-82c</t>
  </si>
  <si>
    <t>6-82d</t>
  </si>
  <si>
    <t>6-82a</t>
  </si>
  <si>
    <t>6-82</t>
  </si>
  <si>
    <t>EPOXY ANCHORING SYSTEM FOR 69KV BREAKER ITESM 15-1 INCLUDING</t>
  </si>
  <si>
    <t>THREADED ROD, 1 IN X 12 IN LONG, ASTM A307 GALVANIZED</t>
  </si>
  <si>
    <t>DRILLED PIER FOOTING TABLE</t>
  </si>
  <si>
    <t>EXAMPLE DATA</t>
  </si>
  <si>
    <t>7-1 161KV A-FRAME DEADEND</t>
  </si>
  <si>
    <t>MARK</t>
  </si>
  <si>
    <t>TYPE</t>
  </si>
  <si>
    <t>161KV CIRCUIT SWITCHER</t>
  </si>
  <si>
    <t>ITEM
 QTY</t>
  </si>
  <si>
    <t>#4 ties for piers with a diameter less than and equal to 48"</t>
  </si>
  <si>
    <t>#5 ties for piers with a diameter greater than 48" and less than and equal to  90"</t>
  </si>
  <si>
    <t>Keep deflection &lt; 0. 4 inches (see section below for additional criteria)</t>
  </si>
  <si>
    <t xml:space="preserve">TOTAL L.F. </t>
  </si>
  <si>
    <t>AC18-96NG-3N2W</t>
  </si>
  <si>
    <t>=IF((W36/W37)=ROUNDUP(W36/W37,0),ROUNDUP(W36/W37,0),ROUNDUP(W36/W37,0)-1)</t>
  </si>
  <si>
    <t>LENGTH (IN)</t>
  </si>
  <si>
    <t>tie_bar_bend_mult</t>
  </si>
  <si>
    <t>tie_leg_ext_mult</t>
  </si>
  <si>
    <t>center_of_tie_od</t>
  </si>
  <si>
    <t>Hook Angle</t>
  </si>
  <si>
    <t>deg</t>
  </si>
  <si>
    <t>REVIEW LOG:</t>
  </si>
  <si>
    <t>MSJ(1/22/26)</t>
  </si>
  <si>
    <t>CONC. VOLUME CHK #1</t>
  </si>
  <si>
    <t>CONC. VOLUME CHK #2</t>
  </si>
  <si>
    <t>STEEL REINF. 
CHK #1</t>
  </si>
  <si>
    <t>STEEL REINF. 
CHK #2</t>
  </si>
  <si>
    <t>FTG QTY CHK #1</t>
  </si>
  <si>
    <t>FTG QTY CHK #2</t>
  </si>
  <si>
    <t>A.B. PATTERN CHK #1</t>
  </si>
  <si>
    <t>A.B. PATTERN CHK #2</t>
  </si>
  <si>
    <t>A.B. CALLOUT CHK #1</t>
  </si>
  <si>
    <t>A.B. CALLOUT CHK #2</t>
  </si>
  <si>
    <t>5 - #7</t>
  </si>
  <si>
    <t>47'-6"</t>
  </si>
  <si>
    <t>12-#6</t>
  </si>
  <si>
    <t>135'-6"</t>
  </si>
  <si>
    <t>#5 BARS 12'-0" LG. BT.</t>
  </si>
  <si>
    <t>#5 BARS 8'-0" LG. BT.</t>
  </si>
  <si>
    <t>A-FRAME (EAST)</t>
  </si>
  <si>
    <t>AA</t>
  </si>
  <si>
    <t>A-FRAME (WEST)</t>
  </si>
  <si>
    <t>AB</t>
  </si>
  <si>
    <t>VOL.</t>
  </si>
  <si>
    <t>Description_1</t>
  </si>
  <si>
    <t>Quan_1</t>
  </si>
  <si>
    <t>Item 1</t>
  </si>
  <si>
    <t>Item 2</t>
  </si>
  <si>
    <t>Item 3</t>
  </si>
  <si>
    <t>Quan_3</t>
  </si>
  <si>
    <t>Description_2</t>
  </si>
  <si>
    <t>Quan_2</t>
  </si>
  <si>
    <t>Item 4</t>
  </si>
  <si>
    <t>Quan_4</t>
  </si>
  <si>
    <t>Description_4</t>
  </si>
  <si>
    <t>A.B. CALLOUT/ITEM #</t>
  </si>
  <si>
    <t>RESULTANT 
MOMENT
(KIP-FT)</t>
  </si>
  <si>
    <t>AXIAL
 (KIP)</t>
  </si>
  <si>
    <t>RESULTANT
 SHEAR
(KIP)</t>
  </si>
  <si>
    <t>161 KV CIRCUIT SWITCHER</t>
  </si>
  <si>
    <t>A.B. QTY
PER STR</t>
  </si>
  <si>
    <t>LOAD 
CASE</t>
  </si>
  <si>
    <t>FTG
MARK</t>
  </si>
  <si>
    <r>
      <t>f</t>
    </r>
    <r>
      <rPr>
        <b/>
        <vertAlign val="subscript"/>
        <sz val="12"/>
        <color theme="1"/>
        <rFont val="Calibri"/>
        <family val="2"/>
        <scheme val="minor"/>
      </rPr>
      <t>c</t>
    </r>
  </si>
  <si>
    <r>
      <t>f</t>
    </r>
    <r>
      <rPr>
        <b/>
        <vertAlign val="subscript"/>
        <sz val="12"/>
        <color theme="1"/>
        <rFont val="Symbol"/>
        <family val="1"/>
        <charset val="2"/>
      </rPr>
      <t>k</t>
    </r>
  </si>
  <si>
    <r>
      <rPr>
        <b/>
        <sz val="12"/>
        <color theme="1"/>
        <rFont val="Symbol"/>
        <family val="1"/>
        <charset val="2"/>
      </rPr>
      <t>f</t>
    </r>
    <r>
      <rPr>
        <b/>
        <vertAlign val="subscript"/>
        <sz val="12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FACTOR</t>
    </r>
  </si>
  <si>
    <t>BORING DATA</t>
  </si>
  <si>
    <t>ELEVATION</t>
  </si>
  <si>
    <t>FINAL</t>
  </si>
  <si>
    <t>NUMBER</t>
  </si>
  <si>
    <t>SB1</t>
  </si>
  <si>
    <t>START</t>
  </si>
  <si>
    <t>END</t>
  </si>
  <si>
    <t>MODEL</t>
  </si>
  <si>
    <t>DENSITY</t>
  </si>
  <si>
    <t>COHESION
ULT.(KSF)</t>
  </si>
  <si>
    <t>COHESION
FACT.</t>
  </si>
  <si>
    <t>FRICTION ANGLE</t>
  </si>
  <si>
    <t>MODULUS OF SUBGRADE REACTION (STATIC)</t>
  </si>
  <si>
    <t>MODULUS OF SUBGRADE REACTION (CYCLIC)</t>
  </si>
  <si>
    <r>
      <rPr>
        <b/>
        <sz val="16"/>
        <color theme="1"/>
        <rFont val="Symbol"/>
        <family val="1"/>
        <charset val="2"/>
      </rPr>
      <t>f</t>
    </r>
    <r>
      <rPr>
        <b/>
        <sz val="16"/>
        <color theme="1"/>
        <rFont val="Calibri"/>
        <family val="2"/>
        <scheme val="minor"/>
      </rPr>
      <t>K</t>
    </r>
    <r>
      <rPr>
        <b/>
        <vertAlign val="subscript"/>
        <sz val="16"/>
        <color theme="1"/>
        <rFont val="Calibri"/>
        <family val="2"/>
        <scheme val="minor"/>
      </rPr>
      <t>h</t>
    </r>
  </si>
  <si>
    <r>
      <t>e</t>
    </r>
    <r>
      <rPr>
        <b/>
        <vertAlign val="subscript"/>
        <sz val="16"/>
        <color theme="1"/>
        <rFont val="Symbol"/>
        <family val="1"/>
        <charset val="2"/>
      </rPr>
      <t>50</t>
    </r>
  </si>
  <si>
    <r>
      <t>fe</t>
    </r>
    <r>
      <rPr>
        <b/>
        <vertAlign val="subscript"/>
        <sz val="16"/>
        <color theme="1"/>
        <rFont val="Symbol"/>
        <family val="1"/>
        <charset val="2"/>
      </rPr>
      <t>50</t>
    </r>
  </si>
  <si>
    <t>STIFF CLAY</t>
  </si>
  <si>
    <t>-</t>
  </si>
  <si>
    <t>BORING</t>
  </si>
  <si>
    <t>SB2</t>
  </si>
  <si>
    <t>PORUS LIMESTONE</t>
  </si>
  <si>
    <t>SAND/GRAVEL</t>
  </si>
  <si>
    <t>AB16-84NG-4N2W/6-108AB/12(S)</t>
  </si>
  <si>
    <t>A.B. CALLOUT/ITEM #/
A.B.PATTERN</t>
  </si>
  <si>
    <t>AB10-45NG-3N2W/6-110AB/20(S)</t>
  </si>
  <si>
    <t>AC18-72G-4N2W/6-110AC/18(C)</t>
  </si>
  <si>
    <t>RECOMMENDED DIAMETER  BASED ON ANCHOR BOLT PATTERN</t>
  </si>
  <si>
    <t>A.B. DIA =</t>
  </si>
  <si>
    <t>PIER DIA (FT)</t>
  </si>
  <si>
    <t>MIN EMBED DEPTH (FT)</t>
  </si>
  <si>
    <t>WATER TABLE DEPTH (FT)</t>
  </si>
  <si>
    <t>SB3</t>
  </si>
  <si>
    <r>
      <t xml:space="preserve">BOLT PATTERN </t>
    </r>
    <r>
      <rPr>
        <sz val="9"/>
        <color theme="1"/>
        <rFont val="Symbol"/>
        <family val="1"/>
        <charset val="2"/>
      </rPr>
      <t xml:space="preserve">f </t>
    </r>
    <r>
      <rPr>
        <sz val="9"/>
        <color theme="1"/>
        <rFont val="Calibri"/>
        <family val="2"/>
        <scheme val="minor"/>
      </rPr>
      <t>=</t>
    </r>
  </si>
  <si>
    <t>Est. tie bar dia.  =</t>
  </si>
  <si>
    <t>Calc. edge dist. =</t>
  </si>
  <si>
    <t>Estimated Pier Dia. =</t>
  </si>
  <si>
    <t>TIE SIZE</t>
  </si>
  <si>
    <t>#5 to 90"</t>
  </si>
  <si>
    <t>#5 from 60" to 90", #6 if &gt; 90"</t>
  </si>
  <si>
    <t>Recommended Tie Size:</t>
  </si>
  <si>
    <t>STEP 1(a): BORING ASSIGNMENT TABLE (PIERS ONLY)</t>
  </si>
  <si>
    <t>STEP 1(b): STRUCTURE LOADING TABLE (PIERS ONLY)</t>
  </si>
  <si>
    <t>DESIGN 
EMBEDMENT (FT)</t>
  </si>
  <si>
    <t>ALLOWABLE 
DEFLECTION (IN)</t>
  </si>
  <si>
    <t>https://allgeiermartinassociates-my.sharepoint.com/personal/michael_jones_amce_com1/Documents/05_PROGRAMMING PROJECTS/AutoCAD/Drilled Pier Block/TEST_SUB_LAT_PILE_PY.xlsm</t>
  </si>
  <si>
    <t>4/16/26 Stopped at this sport</t>
  </si>
  <si>
    <t>MAX MOMENT (KIP-FT)</t>
  </si>
  <si>
    <t>MAX SHEAR (KIP)</t>
  </si>
  <si>
    <t>SOFT CLAY</t>
  </si>
  <si>
    <t>STEP 0(b): RSA MAPPING TABLE</t>
  </si>
  <si>
    <t>GROUP NAME</t>
  </si>
  <si>
    <t>ROBOT FILE NAME</t>
  </si>
  <si>
    <t>SINGLE PHASE BUS SUPPORT</t>
  </si>
  <si>
    <t>FP1_RIGID_BUS_VERSION_B_EXPANSION</t>
  </si>
  <si>
    <t>SWITCH STANDS (TYPE 1)</t>
  </si>
  <si>
    <t>THREE PHASE BUS SUPPORT (TYPE 2)</t>
  </si>
  <si>
    <t>FOOTING QTY</t>
  </si>
  <si>
    <t xml:space="preserve">STEP 0(a): PROJECT STRUCTURE TABLE </t>
  </si>
  <si>
    <t>AB12-36NG-3N2W/6-102AB/12(S)</t>
  </si>
  <si>
    <t>AB12-36NG-3N2W/6-102AB/18(S)</t>
  </si>
  <si>
    <t>AB12-36NG-3N2W/6-102AB/14(S)</t>
  </si>
  <si>
    <t xml:space="preserve">CHECKER SHALL ENTER THEIR INITALS AND THE DATE CHECKED WITH THE DATE IN PARENTHESES, EXAMPLE :  </t>
  </si>
  <si>
    <t>AB12-36NG-3N2W/6-102AB</t>
  </si>
  <si>
    <t>Column1</t>
  </si>
  <si>
    <t>Column2</t>
  </si>
  <si>
    <r>
      <rPr>
        <b/>
        <sz val="10"/>
        <color theme="1"/>
        <rFont val="Symbol"/>
        <family val="1"/>
        <charset val="2"/>
      </rPr>
      <t>f</t>
    </r>
    <r>
      <rPr>
        <b/>
        <sz val="10"/>
        <color theme="1"/>
        <rFont val="Calibri"/>
        <family val="2"/>
        <scheme val="minor"/>
      </rPr>
      <t>K</t>
    </r>
    <r>
      <rPr>
        <b/>
        <vertAlign val="subscript"/>
        <sz val="10"/>
        <color theme="1"/>
        <rFont val="Calibri"/>
        <family val="2"/>
        <scheme val="minor"/>
      </rPr>
      <t>h</t>
    </r>
  </si>
  <si>
    <r>
      <t>e</t>
    </r>
    <r>
      <rPr>
        <b/>
        <vertAlign val="subscript"/>
        <sz val="10"/>
        <color theme="1"/>
        <rFont val="Symbol"/>
        <family val="1"/>
        <charset val="2"/>
      </rPr>
      <t>50</t>
    </r>
  </si>
  <si>
    <r>
      <t>fe</t>
    </r>
    <r>
      <rPr>
        <b/>
        <vertAlign val="subscript"/>
        <sz val="10"/>
        <color theme="1"/>
        <rFont val="Symbol"/>
        <family val="1"/>
        <charset val="2"/>
      </rPr>
      <t>50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</si>
</sst>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0.0"/>
    <numFmt numFmtId="165" formatCode="0.000"/>
    <numFmt numFmtId="166" formatCode="##&quot;in&quot;"/>
    <numFmt numFmtId="167" formatCode="###.0"/>
    <numFmt numFmtId="168" formatCode="###.00"/>
    <numFmt numFmtId="169" formatCode="##&quot; in&quot;"/>
    <numFmt numFmtId="170" formatCode="0.0000"/>
  </numFmts>
  <fonts count="5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10"/>
      <color indexed="12"/>
      <name val="Arial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vertAlign val="superscript"/>
      <sz val="10"/>
      <name val="Arial"/>
      <family val="2"/>
    </font>
    <font>
      <sz val="10"/>
      <color theme="1"/>
      <name val="Arial"/>
      <family val="2"/>
    </font>
    <font>
      <vertAlign val="superscript"/>
      <sz val="10"/>
      <name val="Arial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i/>
      <sz val="10"/>
      <name val="Arial"/>
      <family val="2"/>
    </font>
    <font>
      <b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22"/>
      <name val="Arial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9"/>
      <name val="Arial"/>
      <family val="2"/>
    </font>
    <font>
      <b/>
      <sz val="12"/>
      <color theme="1"/>
      <name val="Symbol"/>
      <family val="1"/>
      <charset val="2"/>
    </font>
    <font>
      <b/>
      <vertAlign val="subscript"/>
      <sz val="12"/>
      <color theme="1"/>
      <name val="Calibri"/>
      <family val="2"/>
      <scheme val="minor"/>
    </font>
    <font>
      <b/>
      <vertAlign val="subscript"/>
      <sz val="12"/>
      <color theme="1"/>
      <name val="Symbol"/>
      <family val="1"/>
      <charset val="2"/>
    </font>
    <font>
      <b/>
      <sz val="11"/>
      <color theme="1"/>
      <name val="Calibri"/>
      <family val="1"/>
      <charset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1"/>
      <charset val="2"/>
      <scheme val="minor"/>
    </font>
    <font>
      <b/>
      <sz val="16"/>
      <color theme="1"/>
      <name val="Symbol"/>
      <family val="1"/>
      <charset val="2"/>
    </font>
    <font>
      <b/>
      <vertAlign val="subscript"/>
      <sz val="16"/>
      <color theme="1"/>
      <name val="Calibri"/>
      <family val="2"/>
      <scheme val="minor"/>
    </font>
    <font>
      <b/>
      <vertAlign val="subscript"/>
      <sz val="16"/>
      <color theme="1"/>
      <name val="Symbol"/>
      <family val="1"/>
      <charset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Symbol"/>
      <family val="1"/>
      <charset val="2"/>
    </font>
    <font>
      <u/>
      <sz val="11"/>
      <color theme="10"/>
      <name val="Calibri"/>
      <family val="2"/>
      <scheme val="minor"/>
    </font>
    <font>
      <b/>
      <sz val="10"/>
      <color rgb="FFFF9900"/>
      <name val="Calibri"/>
      <family val="2"/>
    </font>
    <font>
      <b/>
      <sz val="10"/>
      <color rgb="FFFF00FF"/>
      <name val="Calibri"/>
      <family val="2"/>
    </font>
    <font>
      <b/>
      <sz val="10"/>
      <color rgb="FF99CC00"/>
      <name val="Calibri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1"/>
      <charset val="2"/>
      <scheme val="minor"/>
    </font>
    <font>
      <b/>
      <sz val="10"/>
      <color theme="1"/>
      <name val="Symbol"/>
      <family val="1"/>
      <charset val="2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Symbol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9" fontId="20" fillId="0" borderId="0" applyFont="0" applyFill="0" applyBorder="0" applyAlignment="0" applyProtection="0"/>
    <xf numFmtId="0" fontId="44" fillId="0" borderId="0" applyNumberFormat="0" applyFill="0" applyBorder="0" applyAlignment="0" applyProtection="0"/>
  </cellStyleXfs>
  <cellXfs count="465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Alignment="1">
      <alignment vertical="center"/>
    </xf>
    <xf numFmtId="0" fontId="0" fillId="0" borderId="11" xfId="0" applyBorder="1"/>
    <xf numFmtId="164" fontId="0" fillId="0" borderId="5" xfId="0" applyNumberFormat="1" applyBorder="1"/>
    <xf numFmtId="164" fontId="0" fillId="0" borderId="10" xfId="0" applyNumberFormat="1" applyBorder="1"/>
    <xf numFmtId="0" fontId="0" fillId="3" borderId="17" xfId="0" applyFill="1" applyBorder="1" applyAlignment="1" applyProtection="1">
      <alignment horizontal="center"/>
      <protection hidden="1"/>
    </xf>
    <xf numFmtId="0" fontId="5" fillId="3" borderId="17" xfId="0" applyFont="1" applyFill="1" applyBorder="1" applyAlignment="1" applyProtection="1">
      <alignment horizontal="center"/>
      <protection hidden="1"/>
    </xf>
    <xf numFmtId="0" fontId="5" fillId="3" borderId="18" xfId="0" applyFont="1" applyFill="1" applyBorder="1" applyAlignment="1" applyProtection="1">
      <alignment horizontal="center"/>
      <protection hidden="1"/>
    </xf>
    <xf numFmtId="0" fontId="0" fillId="3" borderId="19" xfId="0" applyFill="1" applyBorder="1" applyAlignment="1" applyProtection="1">
      <alignment horizontal="center"/>
      <protection hidden="1"/>
    </xf>
    <xf numFmtId="2" fontId="7" fillId="0" borderId="19" xfId="0" applyNumberFormat="1" applyFont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2" fontId="7" fillId="0" borderId="20" xfId="0" applyNumberFormat="1" applyFont="1" applyBorder="1" applyAlignment="1" applyProtection="1">
      <alignment horizontal="center"/>
      <protection hidden="1"/>
    </xf>
    <xf numFmtId="0" fontId="0" fillId="3" borderId="21" xfId="0" applyFill="1" applyBorder="1" applyAlignment="1" applyProtection="1">
      <alignment horizontal="center"/>
      <protection hidden="1"/>
    </xf>
    <xf numFmtId="2" fontId="7" fillId="0" borderId="21" xfId="0" applyNumberFormat="1" applyFont="1" applyBorder="1" applyAlignment="1" applyProtection="1">
      <alignment horizontal="center"/>
      <protection hidden="1"/>
    </xf>
    <xf numFmtId="0" fontId="0" fillId="3" borderId="22" xfId="0" applyFill="1" applyBorder="1" applyAlignment="1" applyProtection="1">
      <alignment horizontal="center"/>
      <protection hidden="1"/>
    </xf>
    <xf numFmtId="0" fontId="0" fillId="3" borderId="26" xfId="0" applyFill="1" applyBorder="1" applyAlignment="1" applyProtection="1">
      <alignment horizontal="center"/>
      <protection hidden="1"/>
    </xf>
    <xf numFmtId="165" fontId="7" fillId="0" borderId="27" xfId="0" applyNumberFormat="1" applyFont="1" applyBorder="1" applyAlignment="1" applyProtection="1">
      <alignment horizontal="center"/>
      <protection hidden="1"/>
    </xf>
    <xf numFmtId="165" fontId="7" fillId="0" borderId="28" xfId="0" applyNumberFormat="1" applyFont="1" applyBorder="1" applyAlignment="1" applyProtection="1">
      <alignment horizontal="center"/>
      <protection hidden="1"/>
    </xf>
    <xf numFmtId="165" fontId="7" fillId="0" borderId="29" xfId="0" applyNumberFormat="1" applyFont="1" applyBorder="1" applyAlignment="1" applyProtection="1">
      <alignment horizontal="center"/>
      <protection hidden="1"/>
    </xf>
    <xf numFmtId="0" fontId="5" fillId="3" borderId="26" xfId="0" applyFont="1" applyFill="1" applyBorder="1" applyAlignment="1" applyProtection="1">
      <alignment horizontal="center"/>
      <protection hidden="1"/>
    </xf>
    <xf numFmtId="0" fontId="0" fillId="2" borderId="15" xfId="0" applyFill="1" applyBorder="1"/>
    <xf numFmtId="0" fontId="6" fillId="2" borderId="22" xfId="0" applyFont="1" applyFill="1" applyBorder="1"/>
    <xf numFmtId="0" fontId="6" fillId="2" borderId="17" xfId="0" applyFont="1" applyFill="1" applyBorder="1"/>
    <xf numFmtId="0" fontId="0" fillId="2" borderId="16" xfId="0" applyFill="1" applyBorder="1"/>
    <xf numFmtId="0" fontId="0" fillId="2" borderId="18" xfId="0" applyFill="1" applyBorder="1"/>
    <xf numFmtId="0" fontId="8" fillId="0" borderId="4" xfId="0" applyFont="1" applyBorder="1"/>
    <xf numFmtId="165" fontId="7" fillId="4" borderId="0" xfId="0" applyNumberFormat="1" applyFont="1" applyFill="1" applyAlignment="1" applyProtection="1">
      <alignment horizontal="center"/>
      <protection hidden="1"/>
    </xf>
    <xf numFmtId="165" fontId="7" fillId="4" borderId="22" xfId="0" applyNumberFormat="1" applyFont="1" applyFill="1" applyBorder="1" applyAlignment="1" applyProtection="1">
      <alignment horizontal="center"/>
      <protection hidden="1"/>
    </xf>
    <xf numFmtId="165" fontId="7" fillId="4" borderId="24" xfId="0" applyNumberFormat="1" applyFont="1" applyFill="1" applyBorder="1" applyAlignment="1" applyProtection="1">
      <alignment horizontal="center"/>
      <protection hidden="1"/>
    </xf>
    <xf numFmtId="165" fontId="7" fillId="4" borderId="17" xfId="0" applyNumberFormat="1" applyFont="1" applyFill="1" applyBorder="1" applyAlignment="1" applyProtection="1">
      <alignment horizontal="center"/>
      <protection hidden="1"/>
    </xf>
    <xf numFmtId="165" fontId="7" fillId="4" borderId="23" xfId="0" applyNumberFormat="1" applyFont="1" applyFill="1" applyBorder="1" applyAlignment="1" applyProtection="1">
      <alignment horizontal="center"/>
      <protection hidden="1"/>
    </xf>
    <xf numFmtId="165" fontId="7" fillId="4" borderId="25" xfId="0" applyNumberFormat="1" applyFont="1" applyFill="1" applyBorder="1" applyAlignment="1" applyProtection="1">
      <alignment horizontal="center"/>
      <protection hidden="1"/>
    </xf>
    <xf numFmtId="165" fontId="7" fillId="0" borderId="16" xfId="0" applyNumberFormat="1" applyFont="1" applyBorder="1" applyAlignment="1" applyProtection="1">
      <alignment horizontal="center"/>
      <protection hidden="1"/>
    </xf>
    <xf numFmtId="165" fontId="7" fillId="0" borderId="26" xfId="0" applyNumberFormat="1" applyFont="1" applyBorder="1" applyAlignment="1" applyProtection="1">
      <alignment horizontal="center"/>
      <protection hidden="1"/>
    </xf>
    <xf numFmtId="165" fontId="7" fillId="0" borderId="18" xfId="0" applyNumberFormat="1" applyFont="1" applyBorder="1" applyAlignment="1" applyProtection="1">
      <alignment horizontal="center"/>
      <protection hidden="1"/>
    </xf>
    <xf numFmtId="0" fontId="0" fillId="4" borderId="5" xfId="0" applyFill="1" applyBorder="1"/>
    <xf numFmtId="0" fontId="0" fillId="4" borderId="8" xfId="0" applyFill="1" applyBorder="1"/>
    <xf numFmtId="0" fontId="0" fillId="4" borderId="30" xfId="0" applyFill="1" applyBorder="1"/>
    <xf numFmtId="0" fontId="0" fillId="4" borderId="8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3" xfId="0" applyNumberFormat="1" applyBorder="1"/>
    <xf numFmtId="164" fontId="0" fillId="0" borderId="8" xfId="0" applyNumberForma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9" fillId="0" borderId="0" xfId="1" applyAlignment="1">
      <alignment horizontal="center"/>
    </xf>
    <xf numFmtId="0" fontId="9" fillId="0" borderId="0" xfId="1"/>
    <xf numFmtId="0" fontId="10" fillId="0" borderId="4" xfId="1" applyFont="1" applyBorder="1"/>
    <xf numFmtId="0" fontId="4" fillId="0" borderId="1" xfId="1" applyFont="1" applyBorder="1" applyAlignment="1">
      <alignment vertical="center"/>
    </xf>
    <xf numFmtId="0" fontId="9" fillId="0" borderId="2" xfId="1" applyBorder="1" applyAlignment="1">
      <alignment horizontal="center" vertical="center"/>
    </xf>
    <xf numFmtId="0" fontId="9" fillId="0" borderId="2" xfId="1" applyBorder="1" applyAlignment="1">
      <alignment vertical="center"/>
    </xf>
    <xf numFmtId="0" fontId="9" fillId="0" borderId="4" xfId="1" applyBorder="1" applyAlignment="1">
      <alignment horizontal="center"/>
    </xf>
    <xf numFmtId="0" fontId="4" fillId="0" borderId="4" xfId="1" applyFont="1" applyBorder="1" applyAlignment="1">
      <alignment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vertical="center"/>
    </xf>
    <xf numFmtId="0" fontId="9" fillId="3" borderId="15" xfId="1" applyFill="1" applyBorder="1" applyAlignment="1" applyProtection="1">
      <alignment horizontal="centerContinuous"/>
      <protection hidden="1"/>
    </xf>
    <xf numFmtId="0" fontId="9" fillId="3" borderId="31" xfId="1" applyFill="1" applyBorder="1" applyAlignment="1" applyProtection="1">
      <alignment horizontal="centerContinuous"/>
      <protection hidden="1"/>
    </xf>
    <xf numFmtId="0" fontId="4" fillId="0" borderId="6" xfId="1" applyFont="1" applyBorder="1" applyAlignment="1">
      <alignment vertical="center"/>
    </xf>
    <xf numFmtId="0" fontId="9" fillId="0" borderId="7" xfId="1" applyBorder="1" applyAlignment="1">
      <alignment horizontal="center" vertical="center"/>
    </xf>
    <xf numFmtId="0" fontId="9" fillId="0" borderId="7" xfId="1" applyBorder="1" applyAlignment="1">
      <alignment vertical="center" wrapText="1"/>
    </xf>
    <xf numFmtId="0" fontId="9" fillId="3" borderId="17" xfId="1" applyFill="1" applyBorder="1" applyAlignment="1" applyProtection="1">
      <alignment horizontal="centerContinuous"/>
      <protection hidden="1"/>
    </xf>
    <xf numFmtId="0" fontId="9" fillId="3" borderId="25" xfId="1" applyFill="1" applyBorder="1" applyAlignment="1" applyProtection="1">
      <alignment horizontal="centerContinuous"/>
      <protection hidden="1"/>
    </xf>
    <xf numFmtId="0" fontId="4" fillId="0" borderId="0" xfId="1" applyFont="1" applyAlignment="1">
      <alignment vertical="center"/>
    </xf>
    <xf numFmtId="0" fontId="9" fillId="3" borderId="32" xfId="1" applyFill="1" applyBorder="1" applyAlignment="1" applyProtection="1">
      <alignment horizontal="centerContinuous"/>
      <protection hidden="1"/>
    </xf>
    <xf numFmtId="165" fontId="7" fillId="0" borderId="19" xfId="1" applyNumberFormat="1" applyFont="1" applyBorder="1" applyAlignment="1" applyProtection="1">
      <alignment horizontal="centerContinuous"/>
      <protection hidden="1"/>
    </xf>
    <xf numFmtId="165" fontId="7" fillId="0" borderId="32" xfId="1" applyNumberFormat="1" applyFont="1" applyBorder="1" applyAlignment="1" applyProtection="1">
      <alignment horizontal="centerContinuous"/>
      <protection hidden="1"/>
    </xf>
    <xf numFmtId="2" fontId="7" fillId="0" borderId="19" xfId="1" applyNumberFormat="1" applyFont="1" applyBorder="1" applyAlignment="1" applyProtection="1">
      <alignment horizontal="centerContinuous"/>
      <protection hidden="1"/>
    </xf>
    <xf numFmtId="0" fontId="7" fillId="0" borderId="32" xfId="1" applyFont="1" applyBorder="1" applyAlignment="1" applyProtection="1">
      <alignment horizontal="centerContinuous"/>
      <protection hidden="1"/>
    </xf>
    <xf numFmtId="0" fontId="9" fillId="3" borderId="33" xfId="1" applyFill="1" applyBorder="1" applyAlignment="1" applyProtection="1">
      <alignment horizontal="centerContinuous"/>
      <protection hidden="1"/>
    </xf>
    <xf numFmtId="165" fontId="7" fillId="0" borderId="20" xfId="1" applyNumberFormat="1" applyFont="1" applyBorder="1" applyAlignment="1" applyProtection="1">
      <alignment horizontal="centerContinuous"/>
      <protection hidden="1"/>
    </xf>
    <xf numFmtId="165" fontId="7" fillId="0" borderId="33" xfId="1" applyNumberFormat="1" applyFont="1" applyBorder="1" applyAlignment="1" applyProtection="1">
      <alignment horizontal="centerContinuous"/>
      <protection hidden="1"/>
    </xf>
    <xf numFmtId="2" fontId="7" fillId="0" borderId="20" xfId="1" applyNumberFormat="1" applyFont="1" applyBorder="1" applyAlignment="1" applyProtection="1">
      <alignment horizontal="centerContinuous"/>
      <protection hidden="1"/>
    </xf>
    <xf numFmtId="0" fontId="7" fillId="0" borderId="33" xfId="1" applyFont="1" applyBorder="1" applyAlignment="1" applyProtection="1">
      <alignment horizontal="centerContinuous"/>
      <protection hidden="1"/>
    </xf>
    <xf numFmtId="0" fontId="4" fillId="0" borderId="0" xfId="1" applyFont="1" applyAlignment="1">
      <alignment vertical="top"/>
    </xf>
    <xf numFmtId="0" fontId="4" fillId="0" borderId="0" xfId="1" applyFont="1" applyAlignment="1">
      <alignment horizontal="center" vertical="top" wrapText="1"/>
    </xf>
    <xf numFmtId="0" fontId="4" fillId="0" borderId="0" xfId="1" applyFont="1" applyAlignment="1">
      <alignment horizontal="center" vertical="top"/>
    </xf>
    <xf numFmtId="2" fontId="9" fillId="0" borderId="0" xfId="1" applyNumberFormat="1" applyAlignment="1">
      <alignment horizontal="center"/>
    </xf>
    <xf numFmtId="0" fontId="9" fillId="0" borderId="3" xfId="1" applyBorder="1" applyAlignment="1">
      <alignment horizontal="left" vertical="center"/>
    </xf>
    <xf numFmtId="0" fontId="4" fillId="0" borderId="2" xfId="1" applyFont="1" applyBorder="1" applyAlignment="1">
      <alignment horizontal="center"/>
    </xf>
    <xf numFmtId="0" fontId="4" fillId="0" borderId="3" xfId="1" applyFont="1" applyBorder="1" applyAlignment="1">
      <alignment horizontal="center"/>
    </xf>
    <xf numFmtId="0" fontId="9" fillId="3" borderId="34" xfId="1" applyFill="1" applyBorder="1" applyAlignment="1" applyProtection="1">
      <alignment horizontal="centerContinuous"/>
      <protection hidden="1"/>
    </xf>
    <xf numFmtId="165" fontId="7" fillId="0" borderId="21" xfId="1" applyNumberFormat="1" applyFont="1" applyBorder="1" applyAlignment="1" applyProtection="1">
      <alignment horizontal="centerContinuous"/>
      <protection hidden="1"/>
    </xf>
    <xf numFmtId="165" fontId="7" fillId="0" borderId="34" xfId="1" applyNumberFormat="1" applyFont="1" applyBorder="1" applyAlignment="1" applyProtection="1">
      <alignment horizontal="centerContinuous"/>
      <protection hidden="1"/>
    </xf>
    <xf numFmtId="2" fontId="7" fillId="0" borderId="21" xfId="1" applyNumberFormat="1" applyFont="1" applyBorder="1" applyAlignment="1" applyProtection="1">
      <alignment horizontal="centerContinuous"/>
      <protection hidden="1"/>
    </xf>
    <xf numFmtId="0" fontId="7" fillId="0" borderId="34" xfId="1" applyFont="1" applyBorder="1" applyAlignment="1" applyProtection="1">
      <alignment horizontal="centerContinuous"/>
      <protection hidden="1"/>
    </xf>
    <xf numFmtId="0" fontId="9" fillId="0" borderId="0" xfId="1" applyAlignment="1">
      <alignment vertical="top"/>
    </xf>
    <xf numFmtId="0" fontId="9" fillId="0" borderId="5" xfId="1" applyBorder="1" applyAlignment="1">
      <alignment horizontal="left" vertical="center"/>
    </xf>
    <xf numFmtId="0" fontId="9" fillId="0" borderId="7" xfId="1" applyBorder="1" applyAlignment="1">
      <alignment horizontal="right"/>
    </xf>
    <xf numFmtId="0" fontId="9" fillId="0" borderId="5" xfId="1" applyBorder="1"/>
    <xf numFmtId="0" fontId="9" fillId="0" borderId="5" xfId="1" applyBorder="1" applyAlignment="1">
      <alignment horizontal="center"/>
    </xf>
    <xf numFmtId="0" fontId="9" fillId="0" borderId="36" xfId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5" fillId="0" borderId="0" xfId="1" applyFont="1" applyAlignment="1">
      <alignment vertical="top"/>
    </xf>
    <xf numFmtId="0" fontId="9" fillId="0" borderId="5" xfId="1" applyBorder="1" applyAlignment="1">
      <alignment horizontal="center" vertical="center"/>
    </xf>
    <xf numFmtId="0" fontId="9" fillId="0" borderId="5" xfId="1" applyBorder="1" applyAlignment="1">
      <alignment vertical="center"/>
    </xf>
    <xf numFmtId="0" fontId="9" fillId="0" borderId="39" xfId="1" applyBorder="1" applyAlignment="1">
      <alignment vertical="center"/>
    </xf>
    <xf numFmtId="0" fontId="9" fillId="0" borderId="41" xfId="1" applyBorder="1" applyAlignment="1">
      <alignment horizontal="center" vertical="center"/>
    </xf>
    <xf numFmtId="0" fontId="9" fillId="0" borderId="4" xfId="1" applyBorder="1" applyAlignment="1">
      <alignment horizontal="center" vertical="center"/>
    </xf>
    <xf numFmtId="0" fontId="9" fillId="0" borderId="7" xfId="1" applyBorder="1" applyAlignment="1">
      <alignment vertical="center"/>
    </xf>
    <xf numFmtId="0" fontId="9" fillId="0" borderId="8" xfId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 wrapText="1"/>
    </xf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0" xfId="0" applyNumberFormat="1"/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horizontal="center" vertical="top"/>
    </xf>
    <xf numFmtId="0" fontId="19" fillId="0" borderId="0" xfId="0" applyFont="1"/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0" fontId="1" fillId="4" borderId="0" xfId="0" applyFont="1" applyFill="1"/>
    <xf numFmtId="0" fontId="0" fillId="5" borderId="0" xfId="0" applyFill="1"/>
    <xf numFmtId="0" fontId="19" fillId="5" borderId="0" xfId="0" applyFont="1" applyFill="1"/>
    <xf numFmtId="0" fontId="19" fillId="4" borderId="0" xfId="0" applyFont="1" applyFill="1"/>
    <xf numFmtId="0" fontId="1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vertical="top"/>
    </xf>
    <xf numFmtId="0" fontId="17" fillId="4" borderId="0" xfId="0" applyFont="1" applyFill="1"/>
    <xf numFmtId="0" fontId="1" fillId="5" borderId="0" xfId="0" applyFont="1" applyFill="1"/>
    <xf numFmtId="0" fontId="9" fillId="0" borderId="8" xfId="1" applyBorder="1" applyAlignment="1">
      <alignment horizontal="center"/>
    </xf>
    <xf numFmtId="0" fontId="9" fillId="0" borderId="4" xfId="1" applyBorder="1" applyAlignment="1">
      <alignment horizontal="right" vertical="center"/>
    </xf>
    <xf numFmtId="0" fontId="9" fillId="0" borderId="12" xfId="1" applyBorder="1" applyAlignment="1">
      <alignment horizontal="right" vertical="center"/>
    </xf>
    <xf numFmtId="0" fontId="5" fillId="0" borderId="0" xfId="1" applyFont="1" applyAlignment="1">
      <alignment vertical="center"/>
    </xf>
    <xf numFmtId="0" fontId="9" fillId="0" borderId="0" xfId="1" applyAlignment="1">
      <alignment horizontal="right" vertical="center"/>
    </xf>
    <xf numFmtId="0" fontId="9" fillId="0" borderId="0" xfId="1" applyAlignment="1">
      <alignment horizontal="left" vertical="center"/>
    </xf>
    <xf numFmtId="0" fontId="4" fillId="0" borderId="0" xfId="1" applyFont="1" applyAlignment="1">
      <alignment horizontal="center"/>
    </xf>
    <xf numFmtId="0" fontId="9" fillId="0" borderId="6" xfId="1" applyBorder="1"/>
    <xf numFmtId="0" fontId="9" fillId="0" borderId="7" xfId="1" applyBorder="1"/>
    <xf numFmtId="0" fontId="9" fillId="0" borderId="0" xfId="1" applyProtection="1">
      <protection locked="0"/>
    </xf>
    <xf numFmtId="0" fontId="9" fillId="6" borderId="2" xfId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center" vertical="center"/>
      <protection locked="0"/>
    </xf>
    <xf numFmtId="0" fontId="9" fillId="6" borderId="7" xfId="1" applyFill="1" applyBorder="1" applyAlignment="1" applyProtection="1">
      <alignment horizontal="center" vertical="center"/>
      <protection locked="0"/>
    </xf>
    <xf numFmtId="166" fontId="9" fillId="6" borderId="8" xfId="1" applyNumberFormat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right" vertical="center"/>
      <protection locked="0"/>
    </xf>
    <xf numFmtId="0" fontId="9" fillId="6" borderId="43" xfId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center"/>
      <protection locked="0"/>
    </xf>
    <xf numFmtId="169" fontId="9" fillId="6" borderId="8" xfId="1" applyNumberFormat="1" applyFill="1" applyBorder="1" applyAlignment="1" applyProtection="1">
      <alignment horizontal="center"/>
      <protection locked="0"/>
    </xf>
    <xf numFmtId="0" fontId="4" fillId="0" borderId="9" xfId="1" applyFont="1" applyBorder="1" applyAlignment="1">
      <alignment horizontal="right"/>
    </xf>
    <xf numFmtId="0" fontId="9" fillId="6" borderId="9" xfId="1" applyFill="1" applyBorder="1"/>
    <xf numFmtId="0" fontId="4" fillId="0" borderId="11" xfId="1" applyFont="1" applyBorder="1" applyAlignment="1">
      <alignment horizontal="center"/>
    </xf>
    <xf numFmtId="0" fontId="21" fillId="0" borderId="37" xfId="1" applyFont="1" applyBorder="1" applyAlignment="1">
      <alignment horizontal="center"/>
    </xf>
    <xf numFmtId="0" fontId="9" fillId="0" borderId="2" xfId="1" applyBorder="1"/>
    <xf numFmtId="0" fontId="9" fillId="0" borderId="3" xfId="1" applyBorder="1"/>
    <xf numFmtId="0" fontId="9" fillId="0" borderId="8" xfId="1" applyBorder="1"/>
    <xf numFmtId="0" fontId="9" fillId="0" borderId="1" xfId="1" applyBorder="1"/>
    <xf numFmtId="2" fontId="22" fillId="0" borderId="0" xfId="1" applyNumberFormat="1" applyFont="1" applyAlignment="1">
      <alignment horizontal="center"/>
    </xf>
    <xf numFmtId="0" fontId="22" fillId="0" borderId="10" xfId="1" applyFont="1" applyBorder="1" applyAlignment="1">
      <alignment horizontal="center" vertical="center"/>
    </xf>
    <xf numFmtId="0" fontId="22" fillId="0" borderId="11" xfId="1" applyFont="1" applyBorder="1" applyAlignment="1">
      <alignment horizontal="center" vertical="center"/>
    </xf>
    <xf numFmtId="10" fontId="22" fillId="0" borderId="11" xfId="2" applyNumberFormat="1" applyFont="1" applyBorder="1" applyAlignment="1">
      <alignment horizontal="center"/>
    </xf>
    <xf numFmtId="164" fontId="22" fillId="0" borderId="36" xfId="1" applyNumberFormat="1" applyFont="1" applyBorder="1" applyAlignment="1">
      <alignment horizontal="right" vertical="center"/>
    </xf>
    <xf numFmtId="0" fontId="22" fillId="0" borderId="0" xfId="1" applyFont="1" applyAlignment="1">
      <alignment horizontal="right" vertical="center"/>
    </xf>
    <xf numFmtId="0" fontId="22" fillId="0" borderId="39" xfId="1" applyFont="1" applyBorder="1" applyAlignment="1">
      <alignment horizontal="right" vertical="center"/>
    </xf>
    <xf numFmtId="0" fontId="22" fillId="0" borderId="7" xfId="1" applyFont="1" applyBorder="1" applyAlignment="1">
      <alignment horizontal="right" vertical="center"/>
    </xf>
    <xf numFmtId="0" fontId="22" fillId="0" borderId="9" xfId="1" applyFont="1" applyBorder="1" applyAlignment="1">
      <alignment horizontal="center"/>
    </xf>
    <xf numFmtId="0" fontId="0" fillId="0" borderId="2" xfId="0" applyBorder="1" applyAlignment="1">
      <alignment horizontal="center"/>
    </xf>
    <xf numFmtId="2" fontId="22" fillId="0" borderId="0" xfId="1" applyNumberFormat="1" applyFont="1" applyAlignment="1">
      <alignment horizontal="right" vertical="center"/>
    </xf>
    <xf numFmtId="0" fontId="22" fillId="0" borderId="4" xfId="1" applyFont="1" applyBorder="1"/>
    <xf numFmtId="0" fontId="22" fillId="0" borderId="6" xfId="1" applyFont="1" applyBorder="1"/>
    <xf numFmtId="0" fontId="22" fillId="0" borderId="1" xfId="1" applyFont="1" applyBorder="1"/>
    <xf numFmtId="2" fontId="22" fillId="0" borderId="6" xfId="1" applyNumberFormat="1" applyFont="1" applyBorder="1"/>
    <xf numFmtId="0" fontId="22" fillId="0" borderId="2" xfId="1" applyFont="1" applyBorder="1" applyAlignment="1">
      <alignment horizontal="right" vertical="center"/>
    </xf>
    <xf numFmtId="1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9" fillId="0" borderId="31" xfId="1" applyBorder="1"/>
    <xf numFmtId="0" fontId="9" fillId="0" borderId="24" xfId="1" applyBorder="1"/>
    <xf numFmtId="0" fontId="9" fillId="0" borderId="25" xfId="1" applyBorder="1"/>
    <xf numFmtId="169" fontId="9" fillId="0" borderId="3" xfId="1" applyNumberFormat="1" applyBorder="1" applyAlignment="1">
      <alignment horizontal="center" vertical="center"/>
    </xf>
    <xf numFmtId="0" fontId="9" fillId="0" borderId="4" xfId="1" applyBorder="1"/>
    <xf numFmtId="0" fontId="9" fillId="0" borderId="38" xfId="1" applyBorder="1"/>
    <xf numFmtId="0" fontId="9" fillId="0" borderId="40" xfId="1" applyBorder="1"/>
    <xf numFmtId="0" fontId="0" fillId="0" borderId="7" xfId="0" applyBorder="1" applyAlignment="1">
      <alignment horizontal="right"/>
    </xf>
    <xf numFmtId="170" fontId="22" fillId="0" borderId="0" xfId="1" applyNumberFormat="1" applyFont="1" applyAlignment="1">
      <alignment horizontal="center"/>
    </xf>
    <xf numFmtId="0" fontId="9" fillId="0" borderId="9" xfId="1" applyBorder="1"/>
    <xf numFmtId="0" fontId="9" fillId="3" borderId="38" xfId="1" applyFill="1" applyBorder="1" applyAlignment="1" applyProtection="1">
      <alignment horizontal="centerContinuous"/>
      <protection hidden="1"/>
    </xf>
    <xf numFmtId="0" fontId="9" fillId="3" borderId="40" xfId="1" applyFill="1" applyBorder="1" applyAlignment="1" applyProtection="1">
      <alignment horizontal="centerContinuous"/>
      <protection hidden="1"/>
    </xf>
    <xf numFmtId="0" fontId="9" fillId="3" borderId="48" xfId="1" applyFill="1" applyBorder="1" applyAlignment="1" applyProtection="1">
      <alignment horizontal="centerContinuous"/>
      <protection hidden="1"/>
    </xf>
    <xf numFmtId="0" fontId="9" fillId="3" borderId="49" xfId="1" applyFill="1" applyBorder="1" applyAlignment="1" applyProtection="1">
      <alignment horizontal="centerContinuous"/>
      <protection hidden="1"/>
    </xf>
    <xf numFmtId="0" fontId="4" fillId="0" borderId="5" xfId="1" applyFont="1" applyBorder="1" applyAlignment="1">
      <alignment vertical="top"/>
    </xf>
    <xf numFmtId="0" fontId="9" fillId="3" borderId="50" xfId="1" applyFill="1" applyBorder="1" applyAlignment="1" applyProtection="1">
      <alignment horizontal="centerContinuous"/>
      <protection hidden="1"/>
    </xf>
    <xf numFmtId="169" fontId="9" fillId="0" borderId="5" xfId="1" applyNumberFormat="1" applyBorder="1" applyAlignment="1">
      <alignment horizontal="center" vertical="center"/>
    </xf>
    <xf numFmtId="0" fontId="1" fillId="6" borderId="44" xfId="0" applyFont="1" applyFill="1" applyBorder="1" applyAlignment="1">
      <alignment horizontal="center" wrapText="1"/>
    </xf>
    <xf numFmtId="2" fontId="1" fillId="6" borderId="45" xfId="0" applyNumberFormat="1" applyFont="1" applyFill="1" applyBorder="1" applyAlignment="1">
      <alignment horizontal="center"/>
    </xf>
    <xf numFmtId="2" fontId="1" fillId="6" borderId="46" xfId="0" applyNumberFormat="1" applyFont="1" applyFill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4" xfId="1" applyFont="1" applyBorder="1"/>
    <xf numFmtId="0" fontId="4" fillId="0" borderId="7" xfId="1" applyFont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9" fillId="6" borderId="7" xfId="1" applyFill="1" applyBorder="1" applyAlignment="1">
      <alignment horizontal="center"/>
    </xf>
    <xf numFmtId="0" fontId="9" fillId="6" borderId="2" xfId="1" applyFill="1" applyBorder="1" applyAlignment="1">
      <alignment horizontal="center"/>
    </xf>
    <xf numFmtId="0" fontId="9" fillId="0" borderId="2" xfId="1" applyBorder="1" applyAlignment="1">
      <alignment horizontal="center"/>
    </xf>
    <xf numFmtId="0" fontId="9" fillId="0" borderId="5" xfId="1" applyBorder="1" applyAlignment="1">
      <alignment horizontal="left"/>
    </xf>
    <xf numFmtId="0" fontId="9" fillId="0" borderId="4" xfId="1" applyBorder="1" applyAlignment="1">
      <alignment horizontal="left"/>
    </xf>
    <xf numFmtId="0" fontId="9" fillId="0" borderId="10" xfId="1" applyBorder="1"/>
    <xf numFmtId="0" fontId="9" fillId="0" borderId="11" xfId="1" applyBorder="1"/>
    <xf numFmtId="0" fontId="9" fillId="0" borderId="6" xfId="1" applyBorder="1" applyAlignment="1">
      <alignment horizontal="right"/>
    </xf>
    <xf numFmtId="0" fontId="9" fillId="0" borderId="1" xfId="1" applyBorder="1" applyAlignment="1">
      <alignment horizontal="right"/>
    </xf>
    <xf numFmtId="0" fontId="0" fillId="0" borderId="0" xfId="0" quotePrefix="1"/>
    <xf numFmtId="164" fontId="0" fillId="0" borderId="2" xfId="0" applyNumberFormat="1" applyBorder="1"/>
    <xf numFmtId="168" fontId="0" fillId="0" borderId="0" xfId="0" applyNumberFormat="1" applyAlignment="1">
      <alignment horizontal="center"/>
    </xf>
    <xf numFmtId="0" fontId="25" fillId="0" borderId="51" xfId="0" applyFont="1" applyBorder="1" applyAlignment="1">
      <alignment horizontal="center"/>
    </xf>
    <xf numFmtId="0" fontId="9" fillId="0" borderId="11" xfId="1" applyBorder="1" applyAlignment="1">
      <alignment horizontal="center"/>
    </xf>
    <xf numFmtId="0" fontId="9" fillId="0" borderId="9" xfId="1" applyBorder="1" applyAlignment="1">
      <alignment horizontal="right"/>
    </xf>
    <xf numFmtId="0" fontId="0" fillId="0" borderId="9" xfId="0" applyBorder="1"/>
    <xf numFmtId="0" fontId="0" fillId="0" borderId="10" xfId="0" applyBorder="1" applyAlignment="1">
      <alignment horizontal="center"/>
    </xf>
    <xf numFmtId="0" fontId="4" fillId="0" borderId="0" xfId="1" applyFont="1"/>
    <xf numFmtId="14" fontId="0" fillId="0" borderId="55" xfId="0" applyNumberFormat="1" applyBorder="1" applyAlignment="1">
      <alignment horizontal="center"/>
    </xf>
    <xf numFmtId="0" fontId="9" fillId="0" borderId="55" xfId="1" applyBorder="1"/>
    <xf numFmtId="0" fontId="0" fillId="0" borderId="55" xfId="0" applyBorder="1"/>
    <xf numFmtId="0" fontId="0" fillId="0" borderId="12" xfId="0" applyBorder="1"/>
    <xf numFmtId="0" fontId="0" fillId="0" borderId="43" xfId="0" applyBorder="1"/>
    <xf numFmtId="0" fontId="0" fillId="0" borderId="56" xfId="0" applyBorder="1"/>
    <xf numFmtId="0" fontId="1" fillId="0" borderId="2" xfId="0" applyFont="1" applyBorder="1"/>
    <xf numFmtId="0" fontId="1" fillId="0" borderId="7" xfId="0" applyFont="1" applyBorder="1"/>
    <xf numFmtId="0" fontId="28" fillId="6" borderId="0" xfId="0" applyFont="1" applyFill="1" applyAlignment="1">
      <alignment horizontal="center" vertical="center"/>
    </xf>
    <xf numFmtId="0" fontId="29" fillId="4" borderId="0" xfId="0" applyFont="1" applyFill="1"/>
    <xf numFmtId="0" fontId="17" fillId="5" borderId="0" xfId="0" applyFont="1" applyFill="1" applyAlignment="1">
      <alignment horizontal="left" indent="1"/>
    </xf>
    <xf numFmtId="0" fontId="30" fillId="5" borderId="0" xfId="0" applyFont="1" applyFill="1" applyAlignment="1">
      <alignment horizontal="left" indent="1"/>
    </xf>
    <xf numFmtId="0" fontId="30" fillId="4" borderId="0" xfId="0" applyFont="1" applyFill="1"/>
    <xf numFmtId="0" fontId="1" fillId="0" borderId="0" xfId="0" applyFont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49" fontId="0" fillId="0" borderId="0" xfId="0" quotePrefix="1" applyNumberFormat="1"/>
    <xf numFmtId="0" fontId="0" fillId="0" borderId="0" xfId="0" quotePrefix="1" applyAlignment="1">
      <alignment horizontal="center"/>
    </xf>
    <xf numFmtId="49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1" fillId="0" borderId="4" xfId="0" applyFont="1" applyBorder="1"/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7" xfId="0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vertical="center"/>
    </xf>
    <xf numFmtId="0" fontId="37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23" fillId="0" borderId="9" xfId="0" applyFont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0" fontId="4" fillId="0" borderId="10" xfId="1" applyFont="1" applyBorder="1" applyAlignment="1">
      <alignment horizontal="center"/>
    </xf>
    <xf numFmtId="0" fontId="31" fillId="6" borderId="7" xfId="1" applyFont="1" applyFill="1" applyBorder="1" applyAlignment="1" applyProtection="1">
      <alignment horizontal="center"/>
      <protection locked="0"/>
    </xf>
    <xf numFmtId="0" fontId="42" fillId="0" borderId="4" xfId="0" applyFont="1" applyBorder="1" applyAlignment="1">
      <alignment horizontal="right"/>
    </xf>
    <xf numFmtId="0" fontId="42" fillId="0" borderId="4" xfId="0" applyFont="1" applyBorder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42" fillId="0" borderId="4" xfId="0" applyFont="1" applyBorder="1" applyAlignment="1">
      <alignment horizontal="right" vertical="center" wrapText="1"/>
    </xf>
    <xf numFmtId="0" fontId="31" fillId="7" borderId="44" xfId="1" applyFont="1" applyFill="1" applyBorder="1"/>
    <xf numFmtId="0" fontId="41" fillId="0" borderId="4" xfId="1" applyFont="1" applyBorder="1" applyAlignment="1">
      <alignment horizontal="center"/>
    </xf>
    <xf numFmtId="0" fontId="41" fillId="0" borderId="0" xfId="1" applyFont="1" applyAlignment="1">
      <alignment horizontal="center"/>
    </xf>
    <xf numFmtId="0" fontId="31" fillId="7" borderId="45" xfId="1" applyFont="1" applyFill="1" applyBorder="1"/>
    <xf numFmtId="0" fontId="31" fillId="6" borderId="6" xfId="1" applyFont="1" applyFill="1" applyBorder="1" applyAlignment="1" applyProtection="1">
      <alignment horizontal="center"/>
      <protection locked="0"/>
    </xf>
    <xf numFmtId="2" fontId="31" fillId="7" borderId="46" xfId="1" applyNumberFormat="1" applyFont="1" applyFill="1" applyBorder="1" applyAlignment="1">
      <alignment horizontal="center"/>
    </xf>
    <xf numFmtId="2" fontId="42" fillId="0" borderId="0" xfId="0" applyNumberFormat="1" applyFont="1" applyAlignment="1">
      <alignment horizontal="center"/>
    </xf>
    <xf numFmtId="2" fontId="42" fillId="0" borderId="0" xfId="0" applyNumberFormat="1" applyFont="1" applyAlignment="1">
      <alignment horizontal="center" vertical="center"/>
    </xf>
    <xf numFmtId="2" fontId="31" fillId="0" borderId="0" xfId="1" applyNumberFormat="1" applyFont="1" applyAlignment="1">
      <alignment horizontal="center" vertical="center"/>
    </xf>
    <xf numFmtId="2" fontId="31" fillId="0" borderId="0" xfId="1" applyNumberFormat="1" applyFont="1" applyAlignment="1">
      <alignment horizontal="center"/>
    </xf>
    <xf numFmtId="0" fontId="31" fillId="0" borderId="7" xfId="1" applyFont="1" applyBorder="1" applyAlignment="1">
      <alignment horizontal="center"/>
    </xf>
    <xf numFmtId="0" fontId="41" fillId="0" borderId="9" xfId="1" applyFont="1" applyBorder="1"/>
    <xf numFmtId="0" fontId="24" fillId="8" borderId="60" xfId="0" applyFont="1" applyFill="1" applyBorder="1" applyAlignment="1">
      <alignment vertical="center"/>
    </xf>
    <xf numFmtId="0" fontId="24" fillId="8" borderId="16" xfId="0" applyFont="1" applyFill="1" applyBorder="1" applyAlignment="1">
      <alignment horizontal="center" vertical="center"/>
    </xf>
    <xf numFmtId="0" fontId="24" fillId="8" borderId="16" xfId="0" applyFont="1" applyFill="1" applyBorder="1" applyAlignment="1">
      <alignment horizontal="center" vertical="center" wrapText="1"/>
    </xf>
    <xf numFmtId="16" fontId="25" fillId="8" borderId="52" xfId="0" quotePrefix="1" applyNumberFormat="1" applyFont="1" applyFill="1" applyBorder="1"/>
    <xf numFmtId="0" fontId="25" fillId="8" borderId="53" xfId="0" applyFont="1" applyFill="1" applyBorder="1" applyAlignment="1">
      <alignment horizontal="center"/>
    </xf>
    <xf numFmtId="0" fontId="25" fillId="8" borderId="55" xfId="0" applyFont="1" applyFill="1" applyBorder="1"/>
    <xf numFmtId="0" fontId="25" fillId="8" borderId="51" xfId="0" applyFont="1" applyFill="1" applyBorder="1" applyAlignment="1">
      <alignment horizontal="center"/>
    </xf>
    <xf numFmtId="0" fontId="25" fillId="8" borderId="56" xfId="0" applyFont="1" applyFill="1" applyBorder="1"/>
    <xf numFmtId="0" fontId="25" fillId="8" borderId="5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0" xfId="0" applyNumberFormat="1"/>
    <xf numFmtId="0" fontId="25" fillId="9" borderId="4" xfId="0" applyFont="1" applyFill="1" applyBorder="1"/>
    <xf numFmtId="0" fontId="25" fillId="9" borderId="6" xfId="0" applyFont="1" applyFill="1" applyBorder="1"/>
    <xf numFmtId="0" fontId="25" fillId="9" borderId="5" xfId="0" applyFont="1" applyFill="1" applyBorder="1"/>
    <xf numFmtId="0" fontId="25" fillId="9" borderId="8" xfId="0" applyFont="1" applyFill="1" applyBorder="1"/>
    <xf numFmtId="0" fontId="25" fillId="9" borderId="9" xfId="0" applyFont="1" applyFill="1" applyBorder="1" applyAlignment="1">
      <alignment horizontal="center" vertical="center"/>
    </xf>
    <xf numFmtId="0" fontId="25" fillId="9" borderId="11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vertical="center" wrapText="1"/>
    </xf>
    <xf numFmtId="0" fontId="25" fillId="8" borderId="61" xfId="0" applyFont="1" applyFill="1" applyBorder="1" applyAlignment="1">
      <alignment horizontal="center"/>
    </xf>
    <xf numFmtId="0" fontId="25" fillId="8" borderId="12" xfId="0" applyFont="1" applyFill="1" applyBorder="1" applyAlignment="1">
      <alignment horizontal="center"/>
    </xf>
    <xf numFmtId="0" fontId="25" fillId="8" borderId="58" xfId="0" applyFont="1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vertical="center"/>
    </xf>
    <xf numFmtId="1" fontId="0" fillId="0" borderId="5" xfId="0" applyNumberFormat="1" applyBorder="1"/>
    <xf numFmtId="1" fontId="0" fillId="0" borderId="8" xfId="0" applyNumberFormat="1" applyBorder="1"/>
    <xf numFmtId="0" fontId="44" fillId="0" borderId="0" xfId="3"/>
    <xf numFmtId="0" fontId="0" fillId="9" borderId="1" xfId="0" applyFill="1" applyBorder="1"/>
    <xf numFmtId="0" fontId="0" fillId="9" borderId="2" xfId="0" applyFill="1" applyBorder="1" applyAlignment="1">
      <alignment horizontal="center"/>
    </xf>
    <xf numFmtId="0" fontId="0" fillId="9" borderId="4" xfId="0" applyFill="1" applyBorder="1"/>
    <xf numFmtId="0" fontId="0" fillId="9" borderId="0" xfId="0" applyFill="1" applyAlignment="1">
      <alignment horizontal="center"/>
    </xf>
    <xf numFmtId="0" fontId="0" fillId="9" borderId="6" xfId="0" applyFill="1" applyBorder="1"/>
    <xf numFmtId="0" fontId="0" fillId="9" borderId="7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1" fontId="0" fillId="0" borderId="0" xfId="0" applyNumberFormat="1" applyAlignment="1">
      <alignment horizontal="center" vertical="top" wrapText="1"/>
    </xf>
    <xf numFmtId="2" fontId="0" fillId="0" borderId="0" xfId="0" applyNumberFormat="1" applyAlignment="1">
      <alignment horizontal="center" vertical="top"/>
    </xf>
    <xf numFmtId="0" fontId="42" fillId="0" borderId="0" xfId="0" applyFont="1"/>
    <xf numFmtId="0" fontId="0" fillId="0" borderId="4" xfId="0" applyBorder="1" applyAlignment="1">
      <alignment horizontal="center" vertical="top" wrapText="1"/>
    </xf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26" fillId="8" borderId="35" xfId="0" applyFont="1" applyFill="1" applyBorder="1" applyAlignment="1">
      <alignment horizontal="center" vertical="center"/>
    </xf>
    <xf numFmtId="0" fontId="26" fillId="8" borderId="36" xfId="0" applyFont="1" applyFill="1" applyBorder="1" applyAlignment="1">
      <alignment horizontal="center" vertical="center"/>
    </xf>
    <xf numFmtId="0" fontId="28" fillId="6" borderId="0" xfId="0" applyFont="1" applyFill="1" applyAlignment="1">
      <alignment horizontal="right" vertic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7" fillId="0" borderId="1" xfId="0" applyFont="1" applyBorder="1" applyAlignment="1">
      <alignment horizontal="center" vertical="top"/>
    </xf>
    <xf numFmtId="0" fontId="17" fillId="0" borderId="2" xfId="0" applyFont="1" applyBorder="1" applyAlignment="1">
      <alignment horizontal="center" vertical="top"/>
    </xf>
    <xf numFmtId="0" fontId="17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6" xfId="1" applyFont="1" applyBorder="1" applyAlignment="1">
      <alignment horizontal="center"/>
    </xf>
    <xf numFmtId="0" fontId="4" fillId="0" borderId="7" xfId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9" fillId="0" borderId="6" xfId="1" applyBorder="1" applyAlignment="1">
      <alignment horizontal="right" vertical="center"/>
    </xf>
    <xf numFmtId="0" fontId="9" fillId="0" borderId="7" xfId="1" applyBorder="1" applyAlignment="1">
      <alignment horizontal="right" vertical="center"/>
    </xf>
    <xf numFmtId="0" fontId="9" fillId="0" borderId="38" xfId="1" applyBorder="1" applyAlignment="1">
      <alignment horizontal="right" vertical="center"/>
    </xf>
    <xf numFmtId="0" fontId="9" fillId="0" borderId="39" xfId="1" applyBorder="1" applyAlignment="1">
      <alignment horizontal="right" vertical="center"/>
    </xf>
    <xf numFmtId="0" fontId="9" fillId="0" borderId="4" xfId="1" applyBorder="1" applyAlignment="1">
      <alignment horizontal="right" vertical="center"/>
    </xf>
    <xf numFmtId="0" fontId="9" fillId="0" borderId="0" xfId="1" applyAlignment="1">
      <alignment horizontal="right" vertical="center"/>
    </xf>
    <xf numFmtId="0" fontId="9" fillId="0" borderId="40" xfId="1" applyBorder="1" applyAlignment="1">
      <alignment horizontal="right" vertical="center"/>
    </xf>
    <xf numFmtId="0" fontId="9" fillId="0" borderId="23" xfId="1" applyBorder="1" applyAlignment="1">
      <alignment horizontal="right" vertical="center"/>
    </xf>
    <xf numFmtId="0" fontId="4" fillId="5" borderId="1" xfId="1" applyFont="1" applyFill="1" applyBorder="1" applyAlignment="1">
      <alignment horizontal="center" wrapText="1"/>
    </xf>
    <xf numFmtId="0" fontId="4" fillId="5" borderId="2" xfId="1" applyFont="1" applyFill="1" applyBorder="1" applyAlignment="1">
      <alignment horizontal="center" wrapText="1"/>
    </xf>
    <xf numFmtId="0" fontId="4" fillId="5" borderId="3" xfId="1" applyFont="1" applyFill="1" applyBorder="1" applyAlignment="1">
      <alignment horizontal="center" wrapText="1"/>
    </xf>
    <xf numFmtId="0" fontId="4" fillId="5" borderId="6" xfId="1" applyFont="1" applyFill="1" applyBorder="1" applyAlignment="1">
      <alignment horizontal="center" wrapText="1"/>
    </xf>
    <xf numFmtId="0" fontId="4" fillId="5" borderId="7" xfId="1" applyFont="1" applyFill="1" applyBorder="1" applyAlignment="1">
      <alignment horizontal="center" wrapText="1"/>
    </xf>
    <xf numFmtId="0" fontId="4" fillId="5" borderId="8" xfId="1" applyFont="1" applyFill="1" applyBorder="1" applyAlignment="1">
      <alignment horizontal="center" wrapText="1"/>
    </xf>
    <xf numFmtId="0" fontId="27" fillId="0" borderId="52" xfId="1" applyFont="1" applyBorder="1" applyAlignment="1">
      <alignment horizontal="center" vertical="center"/>
    </xf>
    <xf numFmtId="0" fontId="27" fillId="0" borderId="53" xfId="1" applyFont="1" applyBorder="1" applyAlignment="1">
      <alignment horizontal="center" vertical="center"/>
    </xf>
    <xf numFmtId="0" fontId="27" fillId="0" borderId="54" xfId="1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43" xfId="0" applyBorder="1" applyAlignment="1">
      <alignment horizontal="center"/>
    </xf>
    <xf numFmtId="0" fontId="9" fillId="0" borderId="12" xfId="1" applyBorder="1" applyAlignment="1">
      <alignment horizontal="center"/>
    </xf>
    <xf numFmtId="0" fontId="9" fillId="0" borderId="43" xfId="1" applyBorder="1" applyAlignment="1">
      <alignment horizontal="center"/>
    </xf>
    <xf numFmtId="0" fontId="41" fillId="0" borderId="9" xfId="1" applyFont="1" applyBorder="1" applyAlignment="1">
      <alignment horizontal="center" vertical="center" wrapText="1"/>
    </xf>
    <xf numFmtId="0" fontId="41" fillId="0" borderId="10" xfId="1" applyFont="1" applyBorder="1" applyAlignment="1">
      <alignment horizontal="center" vertical="center" wrapText="1"/>
    </xf>
    <xf numFmtId="0" fontId="41" fillId="0" borderId="11" xfId="1" applyFont="1" applyBorder="1" applyAlignment="1">
      <alignment horizontal="center" vertical="center" wrapText="1"/>
    </xf>
    <xf numFmtId="0" fontId="4" fillId="0" borderId="9" xfId="1" applyFont="1" applyBorder="1" applyAlignment="1">
      <alignment horizontal="center"/>
    </xf>
    <xf numFmtId="0" fontId="4" fillId="0" borderId="10" xfId="1" applyFont="1" applyBorder="1" applyAlignment="1">
      <alignment horizontal="center"/>
    </xf>
    <xf numFmtId="0" fontId="4" fillId="0" borderId="11" xfId="1" applyFont="1" applyBorder="1" applyAlignment="1">
      <alignment horizontal="center"/>
    </xf>
    <xf numFmtId="0" fontId="4" fillId="0" borderId="9" xfId="1" applyFont="1" applyBorder="1" applyAlignment="1">
      <alignment horizontal="right"/>
    </xf>
    <xf numFmtId="0" fontId="4" fillId="0" borderId="10" xfId="1" applyFont="1" applyBorder="1" applyAlignment="1">
      <alignment horizontal="right"/>
    </xf>
    <xf numFmtId="0" fontId="41" fillId="0" borderId="1" xfId="1" applyFont="1" applyBorder="1" applyAlignment="1">
      <alignment horizontal="center"/>
    </xf>
    <xf numFmtId="0" fontId="41" fillId="0" borderId="3" xfId="1" applyFont="1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10" fillId="0" borderId="9" xfId="1" applyFont="1" applyBorder="1" applyAlignment="1">
      <alignment horizontal="center" vertical="center" wrapText="1"/>
    </xf>
    <xf numFmtId="0" fontId="10" fillId="0" borderId="10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 wrapText="1"/>
    </xf>
    <xf numFmtId="0" fontId="9" fillId="0" borderId="4" xfId="1" applyBorder="1" applyAlignment="1">
      <alignment horizontal="right" vertical="top" indent="1"/>
    </xf>
    <xf numFmtId="0" fontId="9" fillId="0" borderId="0" xfId="1" applyAlignment="1">
      <alignment horizontal="right" vertical="top" indent="1"/>
    </xf>
    <xf numFmtId="0" fontId="9" fillId="0" borderId="6" xfId="1" applyBorder="1" applyAlignment="1">
      <alignment horizontal="right" indent="1"/>
    </xf>
    <xf numFmtId="0" fontId="9" fillId="0" borderId="7" xfId="1" applyBorder="1" applyAlignment="1">
      <alignment horizontal="right" indent="1"/>
    </xf>
    <xf numFmtId="0" fontId="10" fillId="0" borderId="9" xfId="1" applyFont="1" applyBorder="1" applyAlignment="1">
      <alignment horizontal="center" vertical="center"/>
    </xf>
    <xf numFmtId="0" fontId="10" fillId="0" borderId="10" xfId="1" applyFont="1" applyBorder="1" applyAlignment="1">
      <alignment horizontal="center" vertical="center"/>
    </xf>
    <xf numFmtId="0" fontId="10" fillId="0" borderId="11" xfId="1" applyFont="1" applyBorder="1" applyAlignment="1">
      <alignment horizontal="center" vertical="center"/>
    </xf>
    <xf numFmtId="0" fontId="9" fillId="0" borderId="35" xfId="1" applyBorder="1" applyAlignment="1">
      <alignment horizontal="right" vertical="center"/>
    </xf>
    <xf numFmtId="0" fontId="9" fillId="0" borderId="36" xfId="1" applyBorder="1" applyAlignment="1">
      <alignment horizontal="right" vertical="center"/>
    </xf>
    <xf numFmtId="0" fontId="9" fillId="0" borderId="6" xfId="1" applyBorder="1" applyAlignment="1">
      <alignment horizontal="right"/>
    </xf>
    <xf numFmtId="0" fontId="9" fillId="0" borderId="7" xfId="1" applyBorder="1" applyAlignment="1">
      <alignment horizontal="right"/>
    </xf>
    <xf numFmtId="0" fontId="31" fillId="6" borderId="7" xfId="1" applyFont="1" applyFill="1" applyBorder="1" applyAlignment="1" applyProtection="1">
      <alignment horizontal="center"/>
      <protection locked="0"/>
    </xf>
    <xf numFmtId="0" fontId="31" fillId="6" borderId="8" xfId="1" applyFont="1" applyFill="1" applyBorder="1" applyAlignment="1" applyProtection="1">
      <alignment horizontal="center"/>
      <protection locked="0"/>
    </xf>
    <xf numFmtId="0" fontId="4" fillId="3" borderId="35" xfId="1" applyFont="1" applyFill="1" applyBorder="1" applyAlignment="1" applyProtection="1">
      <alignment horizontal="center" vertical="top"/>
      <protection hidden="1"/>
    </xf>
    <xf numFmtId="0" fontId="4" fillId="3" borderId="36" xfId="1" applyFont="1" applyFill="1" applyBorder="1" applyAlignment="1" applyProtection="1">
      <alignment horizontal="center" vertical="top"/>
      <protection hidden="1"/>
    </xf>
    <xf numFmtId="0" fontId="4" fillId="3" borderId="47" xfId="1" applyFont="1" applyFill="1" applyBorder="1" applyAlignment="1" applyProtection="1">
      <alignment horizontal="center" vertical="top"/>
      <protection hidden="1"/>
    </xf>
    <xf numFmtId="0" fontId="10" fillId="0" borderId="1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2" fillId="0" borderId="1" xfId="1" applyFont="1" applyBorder="1" applyAlignment="1">
      <alignment horizontal="right" vertical="center"/>
    </xf>
    <xf numFmtId="0" fontId="12" fillId="0" borderId="2" xfId="1" applyFont="1" applyBorder="1" applyAlignment="1">
      <alignment horizontal="right" vertical="center"/>
    </xf>
    <xf numFmtId="0" fontId="12" fillId="0" borderId="4" xfId="1" applyFont="1" applyBorder="1" applyAlignment="1">
      <alignment horizontal="right" vertical="center" wrapText="1"/>
    </xf>
    <xf numFmtId="0" fontId="12" fillId="0" borderId="0" xfId="1" applyFont="1" applyAlignment="1">
      <alignment horizontal="right" vertical="center" wrapText="1"/>
    </xf>
    <xf numFmtId="0" fontId="4" fillId="0" borderId="2" xfId="1" applyFont="1" applyBorder="1" applyAlignment="1">
      <alignment horizontal="center" wrapText="1"/>
    </xf>
    <xf numFmtId="0" fontId="4" fillId="0" borderId="7" xfId="1" applyFont="1" applyBorder="1" applyAlignment="1">
      <alignment horizontal="center" wrapText="1"/>
    </xf>
    <xf numFmtId="164" fontId="22" fillId="0" borderId="3" xfId="1" applyNumberFormat="1" applyFont="1" applyBorder="1" applyAlignment="1">
      <alignment horizontal="center" vertical="center"/>
    </xf>
    <xf numFmtId="164" fontId="22" fillId="0" borderId="8" xfId="1" applyNumberFormat="1" applyFont="1" applyBorder="1" applyAlignment="1">
      <alignment horizontal="center" vertical="center"/>
    </xf>
    <xf numFmtId="0" fontId="12" fillId="0" borderId="4" xfId="1" applyFont="1" applyBorder="1" applyAlignment="1">
      <alignment horizontal="right" vertical="center"/>
    </xf>
    <xf numFmtId="0" fontId="12" fillId="0" borderId="0" xfId="1" applyFont="1" applyAlignment="1">
      <alignment horizontal="right" vertical="center"/>
    </xf>
    <xf numFmtId="0" fontId="4" fillId="5" borderId="9" xfId="1" applyFont="1" applyFill="1" applyBorder="1" applyAlignment="1">
      <alignment horizontal="center"/>
    </xf>
    <xf numFmtId="0" fontId="4" fillId="5" borderId="10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3" borderId="12" xfId="0" applyFont="1" applyFill="1" applyBorder="1" applyAlignment="1" applyProtection="1">
      <alignment horizontal="center"/>
      <protection hidden="1"/>
    </xf>
    <xf numFmtId="0" fontId="4" fillId="3" borderId="13" xfId="0" applyFont="1" applyFill="1" applyBorder="1" applyAlignment="1" applyProtection="1">
      <alignment horizontal="center"/>
      <protection hidden="1"/>
    </xf>
    <xf numFmtId="0" fontId="4" fillId="3" borderId="14" xfId="0" applyFont="1" applyFill="1" applyBorder="1" applyAlignment="1" applyProtection="1">
      <alignment horizontal="center"/>
      <protection hidden="1"/>
    </xf>
  </cellXfs>
  <cellStyles count="4">
    <cellStyle name="Hyperlink" xfId="3" builtinId="8"/>
    <cellStyle name="Normal" xfId="0" builtinId="0"/>
    <cellStyle name="Normal 2" xfId="1" xr:uid="{026AE68E-6E10-4FD3-B93A-03D159224B55}"/>
    <cellStyle name="Percent" xfId="2" builtinId="5"/>
  </cellStyles>
  <dxfs count="18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top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7" formatCode="###.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none"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sz val="10"/>
        <color theme="1"/>
      </font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sz val="10"/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7"/>
      <tableStyleElement type="headerRow" dxfId="18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18</xdr:row>
      <xdr:rowOff>9525</xdr:rowOff>
    </xdr:from>
    <xdr:to>
      <xdr:col>4</xdr:col>
      <xdr:colOff>98076</xdr:colOff>
      <xdr:row>19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14550" y="5648325"/>
          <a:ext cx="1574451" cy="1314450"/>
        </a:xfrm>
        <a:prstGeom prst="rect">
          <a:avLst/>
        </a:prstGeom>
      </xdr:spPr>
    </xdr:pic>
    <xdr:clientData/>
  </xdr:twoCellAnchor>
  <xdr:twoCellAnchor editAs="oneCell">
    <xdr:from>
      <xdr:col>6</xdr:col>
      <xdr:colOff>514351</xdr:colOff>
      <xdr:row>18</xdr:row>
      <xdr:rowOff>28576</xdr:rowOff>
    </xdr:from>
    <xdr:to>
      <xdr:col>10</xdr:col>
      <xdr:colOff>525363</xdr:colOff>
      <xdr:row>19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8118"/>
        <a:stretch/>
      </xdr:blipFill>
      <xdr:spPr>
        <a:xfrm>
          <a:off x="4610101" y="5667376"/>
          <a:ext cx="2449412" cy="1381124"/>
        </a:xfrm>
        <a:prstGeom prst="rect">
          <a:avLst/>
        </a:prstGeom>
      </xdr:spPr>
    </xdr:pic>
    <xdr:clientData/>
  </xdr:twoCellAnchor>
  <xdr:twoCellAnchor editAs="oneCell">
    <xdr:from>
      <xdr:col>12</xdr:col>
      <xdr:colOff>252453</xdr:colOff>
      <xdr:row>11</xdr:row>
      <xdr:rowOff>189781</xdr:rowOff>
    </xdr:from>
    <xdr:to>
      <xdr:col>24</xdr:col>
      <xdr:colOff>386843</xdr:colOff>
      <xdr:row>39</xdr:row>
      <xdr:rowOff>184568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73306" y="3002457"/>
          <a:ext cx="7395802" cy="6811326"/>
        </a:xfrm>
        <a:prstGeom prst="rect">
          <a:avLst/>
        </a:prstGeom>
      </xdr:spPr>
    </xdr:pic>
    <xdr:clientData/>
  </xdr:twoCellAnchor>
  <xdr:twoCellAnchor editAs="oneCell">
    <xdr:from>
      <xdr:col>12</xdr:col>
      <xdr:colOff>126307</xdr:colOff>
      <xdr:row>32</xdr:row>
      <xdr:rowOff>161765</xdr:rowOff>
    </xdr:from>
    <xdr:to>
      <xdr:col>24</xdr:col>
      <xdr:colOff>415441</xdr:colOff>
      <xdr:row>44</xdr:row>
      <xdr:rowOff>9683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47160" y="9810030"/>
          <a:ext cx="7550546" cy="2276793"/>
        </a:xfrm>
        <a:prstGeom prst="rect">
          <a:avLst/>
        </a:prstGeom>
      </xdr:spPr>
    </xdr:pic>
    <xdr:clientData/>
  </xdr:twoCellAnchor>
  <xdr:twoCellAnchor editAs="oneCell">
    <xdr:from>
      <xdr:col>14</xdr:col>
      <xdr:colOff>278706</xdr:colOff>
      <xdr:row>44</xdr:row>
      <xdr:rowOff>41141</xdr:rowOff>
    </xdr:from>
    <xdr:to>
      <xdr:col>26</xdr:col>
      <xdr:colOff>439920</xdr:colOff>
      <xdr:row>69</xdr:row>
      <xdr:rowOff>51994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251256" y="12309341"/>
          <a:ext cx="7476414" cy="5497253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44823</xdr:rowOff>
    </xdr:from>
    <xdr:to>
      <xdr:col>6</xdr:col>
      <xdr:colOff>202265</xdr:colOff>
      <xdr:row>3</xdr:row>
      <xdr:rowOff>1989778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06823" y="616323"/>
          <a:ext cx="5177117" cy="1944955"/>
        </a:xfrm>
        <a:prstGeom prst="rect">
          <a:avLst/>
        </a:prstGeom>
      </xdr:spPr>
    </xdr:pic>
    <xdr:clientData/>
  </xdr:twoCellAnchor>
  <xdr:oneCellAnchor>
    <xdr:from>
      <xdr:col>2</xdr:col>
      <xdr:colOff>784411</xdr:colOff>
      <xdr:row>7</xdr:row>
      <xdr:rowOff>156883</xdr:rowOff>
    </xdr:from>
    <xdr:ext cx="1026459" cy="347943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10155" t="14197" r="11989" b="22931"/>
        <a:stretch/>
      </xdr:blipFill>
      <xdr:spPr>
        <a:xfrm>
          <a:off x="1832161" y="15330208"/>
          <a:ext cx="1026459" cy="347943"/>
        </a:xfrm>
        <a:prstGeom prst="rect">
          <a:avLst/>
        </a:prstGeom>
      </xdr:spPr>
    </xdr:pic>
    <xdr:clientData/>
  </xdr:oneCellAnchor>
  <xdr:oneCellAnchor>
    <xdr:from>
      <xdr:col>2</xdr:col>
      <xdr:colOff>721179</xdr:colOff>
      <xdr:row>10</xdr:row>
      <xdr:rowOff>9605</xdr:rowOff>
    </xdr:from>
    <xdr:ext cx="1056075" cy="326571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8746" b="18379"/>
        <a:stretch/>
      </xdr:blipFill>
      <xdr:spPr>
        <a:xfrm>
          <a:off x="1768929" y="15878255"/>
          <a:ext cx="1056075" cy="326571"/>
        </a:xfrm>
        <a:prstGeom prst="rect">
          <a:avLst/>
        </a:prstGeom>
      </xdr:spPr>
    </xdr:pic>
    <xdr:clientData/>
  </xdr:oneCellAnchor>
  <xdr:twoCellAnchor editAs="oneCell">
    <xdr:from>
      <xdr:col>0</xdr:col>
      <xdr:colOff>447674</xdr:colOff>
      <xdr:row>75</xdr:row>
      <xdr:rowOff>172890</xdr:rowOff>
    </xdr:from>
    <xdr:to>
      <xdr:col>9</xdr:col>
      <xdr:colOff>1810</xdr:colOff>
      <xdr:row>104</xdr:row>
      <xdr:rowOff>144260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D388868-1D52-4FA3-B85D-C4D14F36B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47674" y="18251340"/>
          <a:ext cx="7183661" cy="5495870"/>
        </a:xfrm>
        <a:prstGeom prst="rect">
          <a:avLst/>
        </a:prstGeom>
      </xdr:spPr>
    </xdr:pic>
    <xdr:clientData/>
  </xdr:twoCellAnchor>
  <xdr:twoCellAnchor editAs="oneCell">
    <xdr:from>
      <xdr:col>2</xdr:col>
      <xdr:colOff>651319</xdr:colOff>
      <xdr:row>106</xdr:row>
      <xdr:rowOff>38100</xdr:rowOff>
    </xdr:from>
    <xdr:to>
      <xdr:col>7</xdr:col>
      <xdr:colOff>201297</xdr:colOff>
      <xdr:row>131</xdr:row>
      <xdr:rowOff>96562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B722A3C-092D-4849-AFFC-67F77CC03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99069" y="24022050"/>
          <a:ext cx="4674428" cy="4820962"/>
        </a:xfrm>
        <a:prstGeom prst="rect">
          <a:avLst/>
        </a:prstGeom>
      </xdr:spPr>
    </xdr:pic>
    <xdr:clientData/>
  </xdr:twoCellAnchor>
  <xdr:twoCellAnchor editAs="oneCell">
    <xdr:from>
      <xdr:col>11</xdr:col>
      <xdr:colOff>489653</xdr:colOff>
      <xdr:row>72</xdr:row>
      <xdr:rowOff>152400</xdr:rowOff>
    </xdr:from>
    <xdr:to>
      <xdr:col>25</xdr:col>
      <xdr:colOff>225393</xdr:colOff>
      <xdr:row>104</xdr:row>
      <xdr:rowOff>114300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0E65DD2-EC52-71A0-5091-9AF415D15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633403" y="17668875"/>
          <a:ext cx="8270140" cy="6067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</xdr:row>
          <xdr:rowOff>161925</xdr:rowOff>
        </xdr:from>
        <xdr:to>
          <xdr:col>16</xdr:col>
          <xdr:colOff>57150</xdr:colOff>
          <xdr:row>3</xdr:row>
          <xdr:rowOff>104775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FOUNDATION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17</xdr:row>
      <xdr:rowOff>133351</xdr:rowOff>
    </xdr:from>
    <xdr:to>
      <xdr:col>18</xdr:col>
      <xdr:colOff>1143000</xdr:colOff>
      <xdr:row>41</xdr:row>
      <xdr:rowOff>247155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92400" y="3743326"/>
          <a:ext cx="5629275" cy="51620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20</xdr:row>
          <xdr:rowOff>57150</xdr:rowOff>
        </xdr:from>
        <xdr:to>
          <xdr:col>1</xdr:col>
          <xdr:colOff>314325</xdr:colOff>
          <xdr:row>22</xdr:row>
          <xdr:rowOff>133350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1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STEP 0: CREATE FOUNDATION WORKSHEETS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FROM PROJECT STRUCTURE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20</xdr:row>
          <xdr:rowOff>57150</xdr:rowOff>
        </xdr:from>
        <xdr:to>
          <xdr:col>4</xdr:col>
          <xdr:colOff>85725</xdr:colOff>
          <xdr:row>22</xdr:row>
          <xdr:rowOff>133350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1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STEP 1: UPDATE STRUCTURE AND BORING ASSIGNMENT TABLES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FF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266700</xdr:colOff>
      <xdr:row>20</xdr:row>
      <xdr:rowOff>104774</xdr:rowOff>
    </xdr:from>
    <xdr:to>
      <xdr:col>8</xdr:col>
      <xdr:colOff>762000</xdr:colOff>
      <xdr:row>30</xdr:row>
      <xdr:rowOff>76199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F581B5D-711C-C1B8-F3FB-4880B55B4E5E}"/>
            </a:ext>
          </a:extLst>
        </xdr:cNvPr>
        <xdr:cNvSpPr txBox="1"/>
      </xdr:nvSpPr>
      <xdr:spPr>
        <a:xfrm>
          <a:off x="9448800" y="4305299"/>
          <a:ext cx="2590800" cy="2200275"/>
        </a:xfrm>
        <a:custGeom>
          <a:avLst/>
          <a:gdLst>
            <a:gd name="csX0" fmla="*/ 0 w 2590800"/>
            <a:gd name="csY0" fmla="*/ 0 h 2200275"/>
            <a:gd name="csX1" fmla="*/ 466344 w 2590800"/>
            <a:gd name="csY1" fmla="*/ 0 h 2200275"/>
            <a:gd name="csX2" fmla="*/ 1010412 w 2590800"/>
            <a:gd name="csY2" fmla="*/ 0 h 2200275"/>
            <a:gd name="csX3" fmla="*/ 1502664 w 2590800"/>
            <a:gd name="csY3" fmla="*/ 0 h 2200275"/>
            <a:gd name="csX4" fmla="*/ 1969008 w 2590800"/>
            <a:gd name="csY4" fmla="*/ 0 h 2200275"/>
            <a:gd name="csX5" fmla="*/ 2590800 w 2590800"/>
            <a:gd name="csY5" fmla="*/ 0 h 2200275"/>
            <a:gd name="csX6" fmla="*/ 2590800 w 2590800"/>
            <a:gd name="csY6" fmla="*/ 550069 h 2200275"/>
            <a:gd name="csX7" fmla="*/ 2590800 w 2590800"/>
            <a:gd name="csY7" fmla="*/ 1100138 h 2200275"/>
            <a:gd name="csX8" fmla="*/ 2590800 w 2590800"/>
            <a:gd name="csY8" fmla="*/ 1606201 h 2200275"/>
            <a:gd name="csX9" fmla="*/ 2590800 w 2590800"/>
            <a:gd name="csY9" fmla="*/ 2200275 h 2200275"/>
            <a:gd name="csX10" fmla="*/ 2124456 w 2590800"/>
            <a:gd name="csY10" fmla="*/ 2200275 h 2200275"/>
            <a:gd name="csX11" fmla="*/ 1684020 w 2590800"/>
            <a:gd name="csY11" fmla="*/ 2200275 h 2200275"/>
            <a:gd name="csX12" fmla="*/ 1139952 w 2590800"/>
            <a:gd name="csY12" fmla="*/ 2200275 h 2200275"/>
            <a:gd name="csX13" fmla="*/ 673608 w 2590800"/>
            <a:gd name="csY13" fmla="*/ 2200275 h 2200275"/>
            <a:gd name="csX14" fmla="*/ 0 w 2590800"/>
            <a:gd name="csY14" fmla="*/ 2200275 h 2200275"/>
            <a:gd name="csX15" fmla="*/ 0 w 2590800"/>
            <a:gd name="csY15" fmla="*/ 1606201 h 2200275"/>
            <a:gd name="csX16" fmla="*/ 0 w 2590800"/>
            <a:gd name="csY16" fmla="*/ 1100138 h 2200275"/>
            <a:gd name="csX17" fmla="*/ 0 w 2590800"/>
            <a:gd name="csY17" fmla="*/ 528066 h 2200275"/>
            <a:gd name="csX18" fmla="*/ 0 w 2590800"/>
            <a:gd name="csY18" fmla="*/ 0 h 22002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</a:cxnLst>
          <a:rect l="l" t="t" r="r" b="b"/>
          <a:pathLst>
            <a:path w="2590800" h="2200275" fill="none" extrusionOk="0">
              <a:moveTo>
                <a:pt x="0" y="0"/>
              </a:moveTo>
              <a:cubicBezTo>
                <a:pt x="214740" y="-51179"/>
                <a:pt x="259303" y="16337"/>
                <a:pt x="466344" y="0"/>
              </a:cubicBezTo>
              <a:cubicBezTo>
                <a:pt x="673385" y="-16337"/>
                <a:pt x="869616" y="15603"/>
                <a:pt x="1010412" y="0"/>
              </a:cubicBezTo>
              <a:cubicBezTo>
                <a:pt x="1151208" y="-15603"/>
                <a:pt x="1306589" y="48781"/>
                <a:pt x="1502664" y="0"/>
              </a:cubicBezTo>
              <a:cubicBezTo>
                <a:pt x="1698739" y="-48781"/>
                <a:pt x="1762067" y="12397"/>
                <a:pt x="1969008" y="0"/>
              </a:cubicBezTo>
              <a:cubicBezTo>
                <a:pt x="2175949" y="-12397"/>
                <a:pt x="2371319" y="35839"/>
                <a:pt x="2590800" y="0"/>
              </a:cubicBezTo>
              <a:cubicBezTo>
                <a:pt x="2627859" y="212629"/>
                <a:pt x="2576980" y="419352"/>
                <a:pt x="2590800" y="550069"/>
              </a:cubicBezTo>
              <a:cubicBezTo>
                <a:pt x="2604620" y="680786"/>
                <a:pt x="2550186" y="910152"/>
                <a:pt x="2590800" y="1100138"/>
              </a:cubicBezTo>
              <a:cubicBezTo>
                <a:pt x="2631414" y="1290124"/>
                <a:pt x="2584777" y="1467751"/>
                <a:pt x="2590800" y="1606201"/>
              </a:cubicBezTo>
              <a:cubicBezTo>
                <a:pt x="2596823" y="1744651"/>
                <a:pt x="2532852" y="1910020"/>
                <a:pt x="2590800" y="2200275"/>
              </a:cubicBezTo>
              <a:cubicBezTo>
                <a:pt x="2368847" y="2223863"/>
                <a:pt x="2350935" y="2194288"/>
                <a:pt x="2124456" y="2200275"/>
              </a:cubicBezTo>
              <a:cubicBezTo>
                <a:pt x="1897977" y="2206262"/>
                <a:pt x="1895004" y="2165692"/>
                <a:pt x="1684020" y="2200275"/>
              </a:cubicBezTo>
              <a:cubicBezTo>
                <a:pt x="1473036" y="2234858"/>
                <a:pt x="1296179" y="2158640"/>
                <a:pt x="1139952" y="2200275"/>
              </a:cubicBezTo>
              <a:cubicBezTo>
                <a:pt x="983725" y="2241910"/>
                <a:pt x="893034" y="2152026"/>
                <a:pt x="673608" y="2200275"/>
              </a:cubicBezTo>
              <a:cubicBezTo>
                <a:pt x="454182" y="2248524"/>
                <a:pt x="248124" y="2184955"/>
                <a:pt x="0" y="2200275"/>
              </a:cubicBezTo>
              <a:cubicBezTo>
                <a:pt x="-35951" y="2046976"/>
                <a:pt x="39286" y="1891796"/>
                <a:pt x="0" y="1606201"/>
              </a:cubicBezTo>
              <a:cubicBezTo>
                <a:pt x="-39286" y="1320606"/>
                <a:pt x="47121" y="1259792"/>
                <a:pt x="0" y="1100138"/>
              </a:cubicBezTo>
              <a:cubicBezTo>
                <a:pt x="-47121" y="940484"/>
                <a:pt x="21251" y="717097"/>
                <a:pt x="0" y="528066"/>
              </a:cubicBezTo>
              <a:cubicBezTo>
                <a:pt x="-21251" y="339035"/>
                <a:pt x="13756" y="210015"/>
                <a:pt x="0" y="0"/>
              </a:cubicBezTo>
              <a:close/>
            </a:path>
            <a:path w="2590800" h="2200275" stroke="0" extrusionOk="0">
              <a:moveTo>
                <a:pt x="0" y="0"/>
              </a:moveTo>
              <a:cubicBezTo>
                <a:pt x="127502" y="-13342"/>
                <a:pt x="351955" y="29382"/>
                <a:pt x="492252" y="0"/>
              </a:cubicBezTo>
              <a:cubicBezTo>
                <a:pt x="632549" y="-29382"/>
                <a:pt x="815290" y="33086"/>
                <a:pt x="932688" y="0"/>
              </a:cubicBezTo>
              <a:cubicBezTo>
                <a:pt x="1050086" y="-33086"/>
                <a:pt x="1367572" y="973"/>
                <a:pt x="1502664" y="0"/>
              </a:cubicBezTo>
              <a:cubicBezTo>
                <a:pt x="1637756" y="-973"/>
                <a:pt x="1867562" y="57170"/>
                <a:pt x="1994916" y="0"/>
              </a:cubicBezTo>
              <a:cubicBezTo>
                <a:pt x="2122270" y="-57170"/>
                <a:pt x="2379077" y="58656"/>
                <a:pt x="2590800" y="0"/>
              </a:cubicBezTo>
              <a:cubicBezTo>
                <a:pt x="2656044" y="284740"/>
                <a:pt x="2520152" y="416064"/>
                <a:pt x="2590800" y="594074"/>
              </a:cubicBezTo>
              <a:cubicBezTo>
                <a:pt x="2661448" y="772084"/>
                <a:pt x="2544766" y="968379"/>
                <a:pt x="2590800" y="1144143"/>
              </a:cubicBezTo>
              <a:cubicBezTo>
                <a:pt x="2636834" y="1319907"/>
                <a:pt x="2590275" y="1432673"/>
                <a:pt x="2590800" y="1694212"/>
              </a:cubicBezTo>
              <a:cubicBezTo>
                <a:pt x="2591325" y="1955751"/>
                <a:pt x="2573994" y="2059431"/>
                <a:pt x="2590800" y="2200275"/>
              </a:cubicBezTo>
              <a:cubicBezTo>
                <a:pt x="2439596" y="2231379"/>
                <a:pt x="2337005" y="2147040"/>
                <a:pt x="2124456" y="2200275"/>
              </a:cubicBezTo>
              <a:cubicBezTo>
                <a:pt x="1911907" y="2253510"/>
                <a:pt x="1842496" y="2168171"/>
                <a:pt x="1606296" y="2200275"/>
              </a:cubicBezTo>
              <a:cubicBezTo>
                <a:pt x="1370096" y="2232379"/>
                <a:pt x="1327655" y="2185168"/>
                <a:pt x="1114044" y="2200275"/>
              </a:cubicBezTo>
              <a:cubicBezTo>
                <a:pt x="900433" y="2215382"/>
                <a:pt x="718122" y="2178807"/>
                <a:pt x="544068" y="2200275"/>
              </a:cubicBezTo>
              <a:cubicBezTo>
                <a:pt x="370014" y="2221743"/>
                <a:pt x="264429" y="2175015"/>
                <a:pt x="0" y="2200275"/>
              </a:cubicBezTo>
              <a:cubicBezTo>
                <a:pt x="-6684" y="1961920"/>
                <a:pt x="11724" y="1825642"/>
                <a:pt x="0" y="1694212"/>
              </a:cubicBezTo>
              <a:cubicBezTo>
                <a:pt x="-11724" y="1562782"/>
                <a:pt x="47248" y="1286635"/>
                <a:pt x="0" y="1144143"/>
              </a:cubicBezTo>
              <a:cubicBezTo>
                <a:pt x="-47248" y="1001651"/>
                <a:pt x="21364" y="869462"/>
                <a:pt x="0" y="616077"/>
              </a:cubicBezTo>
              <a:cubicBezTo>
                <a:pt x="-21364" y="362692"/>
                <a:pt x="28606" y="250614"/>
                <a:pt x="0" y="0"/>
              </a:cubicBezTo>
              <a:close/>
            </a:path>
          </a:pathLst>
        </a:custGeom>
        <a:solidFill>
          <a:schemeClr val="lt1"/>
        </a:solidFill>
        <a:ln w="28575" cmpd="sng">
          <a:solidFill>
            <a:srgbClr val="FF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Anchor Bolt Callout Decoder</a:t>
          </a:r>
        </a:p>
        <a:p>
          <a:endParaRPr lang="en-US" sz="1100"/>
        </a:p>
        <a:p>
          <a:r>
            <a:rPr lang="en-US" sz="1100"/>
            <a:t>Callout</a:t>
          </a:r>
          <a:r>
            <a:rPr lang="en-US" sz="1100" baseline="0"/>
            <a:t> =&gt; AB16-84NG-4N2W</a:t>
          </a:r>
        </a:p>
        <a:p>
          <a:endParaRPr lang="en-US" sz="1100" baseline="0"/>
        </a:p>
        <a:p>
          <a:r>
            <a:rPr lang="en-US" sz="1100" baseline="0"/>
            <a:t>Item # =&gt; 6-108AB</a:t>
          </a:r>
        </a:p>
        <a:p>
          <a:endParaRPr lang="en-US" sz="1100" baseline="0"/>
        </a:p>
        <a:p>
          <a:r>
            <a:rPr lang="en-US" sz="1100" b="1" baseline="0"/>
            <a:t>Bolt Pattern Legend</a:t>
          </a:r>
        </a:p>
        <a:p>
          <a:r>
            <a:rPr lang="en-US" sz="1100" baseline="0"/>
            <a:t>12(S) = 12" square pattern</a:t>
          </a:r>
        </a:p>
        <a:p>
          <a:r>
            <a:rPr lang="en-US" sz="1100" baseline="0"/>
            <a:t>18(C) = 18" circular pattern</a:t>
          </a:r>
        </a:p>
        <a:p>
          <a:r>
            <a:rPr lang="en-US" sz="1100" baseline="0"/>
            <a:t>12x16(R) = 12"x16" rectangular pattern</a:t>
          </a:r>
        </a:p>
        <a:p>
          <a:endParaRPr lang="en-US" sz="1100" baseline="0"/>
        </a:p>
        <a:p>
          <a:r>
            <a:rPr lang="en-US" sz="1100" baseline="0"/>
            <a:t>Use the "/" as a delimiter.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1133475</xdr:colOff>
          <xdr:row>20</xdr:row>
          <xdr:rowOff>57150</xdr:rowOff>
        </xdr:from>
        <xdr:to>
          <xdr:col>5</xdr:col>
          <xdr:colOff>1238250</xdr:colOff>
          <xdr:row>22</xdr:row>
          <xdr:rowOff>133350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1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STEP 2: OBTAIN PILE EMBEDMENT DEPTH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1828800</xdr:colOff>
      <xdr:row>72</xdr:row>
      <xdr:rowOff>114300</xdr:rowOff>
    </xdr:from>
    <xdr:to>
      <xdr:col>6</xdr:col>
      <xdr:colOff>1134666</xdr:colOff>
      <xdr:row>86</xdr:row>
      <xdr:rowOff>114672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6CC3C7-641B-A236-237E-9DFD92DD6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14097000"/>
          <a:ext cx="8535591" cy="2667372"/>
        </a:xfrm>
        <a:prstGeom prst="rect">
          <a:avLst/>
        </a:prstGeom>
      </xdr:spPr>
    </xdr:pic>
    <xdr:clientData/>
  </xdr:twoCellAnchor>
  <xdr:twoCellAnchor editAs="oneCell">
    <xdr:from>
      <xdr:col>10</xdr:col>
      <xdr:colOff>1438275</xdr:colOff>
      <xdr:row>34</xdr:row>
      <xdr:rowOff>19050</xdr:rowOff>
    </xdr:from>
    <xdr:to>
      <xdr:col>14</xdr:col>
      <xdr:colOff>429049</xdr:colOff>
      <xdr:row>50</xdr:row>
      <xdr:rowOff>57675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D924179-6777-FE46-76FF-4A94BB8CA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7343775"/>
          <a:ext cx="3038899" cy="3762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87800</xdr:colOff>
      <xdr:row>4</xdr:row>
      <xdr:rowOff>76200</xdr:rowOff>
    </xdr:from>
    <xdr:to>
      <xdr:col>29</xdr:col>
      <xdr:colOff>383162</xdr:colOff>
      <xdr:row>30</xdr:row>
      <xdr:rowOff>161925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25730C1-46C1-40E8-8609-2FD8AE05F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0375" y="914400"/>
          <a:ext cx="8829762" cy="66579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63345</xdr:colOff>
      <xdr:row>18</xdr:row>
      <xdr:rowOff>38100</xdr:rowOff>
    </xdr:from>
    <xdr:to>
      <xdr:col>10</xdr:col>
      <xdr:colOff>419762</xdr:colOff>
      <xdr:row>66</xdr:row>
      <xdr:rowOff>39412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145" y="3467100"/>
          <a:ext cx="4623617" cy="9145312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18</xdr:row>
      <xdr:rowOff>19050</xdr:rowOff>
    </xdr:from>
    <xdr:to>
      <xdr:col>23</xdr:col>
      <xdr:colOff>143905</xdr:colOff>
      <xdr:row>51</xdr:row>
      <xdr:rowOff>58033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81800" y="3448050"/>
          <a:ext cx="7382905" cy="63254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355465</xdr:colOff>
      <xdr:row>34</xdr:row>
      <xdr:rowOff>16563</xdr:rowOff>
    </xdr:from>
    <xdr:to>
      <xdr:col>27</xdr:col>
      <xdr:colOff>592407</xdr:colOff>
      <xdr:row>48</xdr:row>
      <xdr:rowOff>190497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44422" y="7164454"/>
          <a:ext cx="5272768" cy="3619500"/>
        </a:xfrm>
        <a:prstGeom prst="rect">
          <a:avLst/>
        </a:prstGeom>
      </xdr:spPr>
    </xdr:pic>
    <xdr:clientData/>
  </xdr:twoCellAnchor>
  <xdr:twoCellAnchor>
    <xdr:from>
      <xdr:col>2</xdr:col>
      <xdr:colOff>198783</xdr:colOff>
      <xdr:row>19</xdr:row>
      <xdr:rowOff>57979</xdr:rowOff>
    </xdr:from>
    <xdr:to>
      <xdr:col>2</xdr:col>
      <xdr:colOff>414131</xdr:colOff>
      <xdr:row>20</xdr:row>
      <xdr:rowOff>8283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417983" y="3877504"/>
          <a:ext cx="215348" cy="22652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192480</xdr:colOff>
      <xdr:row>20</xdr:row>
      <xdr:rowOff>46019</xdr:rowOff>
    </xdr:from>
    <xdr:to>
      <xdr:col>2</xdr:col>
      <xdr:colOff>407828</xdr:colOff>
      <xdr:row>20</xdr:row>
      <xdr:rowOff>270457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411680" y="4141769"/>
          <a:ext cx="215348" cy="22443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198783</xdr:colOff>
      <xdr:row>21</xdr:row>
      <xdr:rowOff>48867</xdr:rowOff>
    </xdr:from>
    <xdr:to>
      <xdr:col>2</xdr:col>
      <xdr:colOff>414131</xdr:colOff>
      <xdr:row>21</xdr:row>
      <xdr:rowOff>239366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417983" y="4420842"/>
          <a:ext cx="215348" cy="19049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513520</xdr:colOff>
      <xdr:row>50</xdr:row>
      <xdr:rowOff>157371</xdr:rowOff>
    </xdr:from>
    <xdr:to>
      <xdr:col>24</xdr:col>
      <xdr:colOff>306550</xdr:colOff>
      <xdr:row>63</xdr:row>
      <xdr:rowOff>57979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2477" y="11131828"/>
          <a:ext cx="2990116" cy="2377108"/>
        </a:xfrm>
        <a:prstGeom prst="rect">
          <a:avLst/>
        </a:prstGeom>
      </xdr:spPr>
    </xdr:pic>
    <xdr:clientData/>
  </xdr:twoCellAnchor>
  <xdr:twoCellAnchor editAs="oneCell">
    <xdr:from>
      <xdr:col>24</xdr:col>
      <xdr:colOff>149088</xdr:colOff>
      <xdr:row>4</xdr:row>
      <xdr:rowOff>57978</xdr:rowOff>
    </xdr:from>
    <xdr:to>
      <xdr:col>32</xdr:col>
      <xdr:colOff>180422</xdr:colOff>
      <xdr:row>20</xdr:row>
      <xdr:rowOff>202965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35131" y="1027043"/>
          <a:ext cx="4934639" cy="326753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GT%20COOP\AR32-KAMO\SUBS\Buffalo%20161KV\2027%20Original%20Construction\DESIGNDATA\STRUCTURAL\03%20FOUNDATION\BLFO_FTG_MTL_QTY.xlsm" TargetMode="External"/><Relationship Id="rId1" Type="http://schemas.openxmlformats.org/officeDocument/2006/relationships/externalLinkPath" Target="file:///Z:\GT%20COOP\AR32-KAMO\SUBS\Buffalo%20161KV\2027%20Original%20Construction\DESIGNDATA\STRUCTURAL\03%20FOUNDATION\BLFO_FTG_MTL_QT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ce-fs\client-proj\GT%20COOP\AR32-KAMO\SUBS\Orlando\2013%20T2%20Addition\DESIGNDATA\FOUNDATION%20DESIGN\FOUNDATION%20DESIGN%20WORK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P WORKFLOW and GUIDELINES"/>
      <sheetName val="PAD FTGS WORKFLOW AND GUIDELINE"/>
      <sheetName val="FOOTING CHECK LIST"/>
      <sheetName val="GEOTECH PARAMETERS"/>
      <sheetName val="SUMMARY TABLES"/>
      <sheetName val="void_FOOTING CHECK LIST"/>
      <sheetName val="ProjectFndnTable"/>
      <sheetName val="QTO"/>
      <sheetName val="TEMPLATE (PAD)"/>
      <sheetName val="TEMPLATE (DP)"/>
      <sheetName val="FTG A (DP)"/>
      <sheetName val="FTG B (DP)"/>
      <sheetName val="FTG C (DP)"/>
      <sheetName val="FTG D (DP)"/>
      <sheetName val="FTG E (DP)"/>
      <sheetName val="FTG H (DP)"/>
      <sheetName val="FTG J (DP)"/>
      <sheetName val="FTG K (DP)"/>
      <sheetName val="FTG L (DP)"/>
      <sheetName val="FTG M (DP)"/>
      <sheetName val="FTG S (DP)"/>
      <sheetName val="FTG P (PAD)"/>
      <sheetName val="FTG Q (PAD)"/>
      <sheetName val="FTG R (PAD)"/>
      <sheetName val="REBAR DATA"/>
    </sheetNames>
    <sheetDataSet>
      <sheetData sheetId="0">
        <row r="66">
          <cell r="C66">
            <v>0.03</v>
          </cell>
          <cell r="F66">
            <v>0.33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9">
          <cell r="G9">
            <v>3</v>
          </cell>
        </row>
        <row r="11">
          <cell r="J11">
            <v>3</v>
          </cell>
        </row>
        <row r="12">
          <cell r="J12">
            <v>3</v>
          </cell>
        </row>
        <row r="13">
          <cell r="J13">
            <v>3</v>
          </cell>
        </row>
        <row r="14">
          <cell r="J14">
            <v>3</v>
          </cell>
        </row>
        <row r="20">
          <cell r="W20">
            <v>1017.8760197630929</v>
          </cell>
        </row>
        <row r="30">
          <cell r="Q30">
            <v>18.378317023500291</v>
          </cell>
        </row>
        <row r="32">
          <cell r="G32">
            <v>12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6">
          <cell r="C6" t="str">
            <v>#3</v>
          </cell>
          <cell r="D6">
            <v>0.11</v>
          </cell>
          <cell r="E6">
            <v>0.375</v>
          </cell>
          <cell r="F6">
            <v>3</v>
          </cell>
          <cell r="G6">
            <v>3</v>
          </cell>
          <cell r="H6">
            <v>2.25</v>
          </cell>
        </row>
        <row r="7">
          <cell r="C7" t="str">
            <v>#4</v>
          </cell>
          <cell r="D7">
            <v>0.2</v>
          </cell>
          <cell r="E7">
            <v>0.5</v>
          </cell>
          <cell r="F7">
            <v>3</v>
          </cell>
          <cell r="G7">
            <v>3</v>
          </cell>
          <cell r="H7">
            <v>3</v>
          </cell>
        </row>
        <row r="8">
          <cell r="C8" t="str">
            <v>#5</v>
          </cell>
          <cell r="D8">
            <v>0.31</v>
          </cell>
          <cell r="E8">
            <v>0.625</v>
          </cell>
          <cell r="F8">
            <v>3.75</v>
          </cell>
          <cell r="G8">
            <v>3.75</v>
          </cell>
          <cell r="H8">
            <v>3.75</v>
          </cell>
        </row>
        <row r="9">
          <cell r="C9" t="str">
            <v>#6</v>
          </cell>
          <cell r="D9">
            <v>0.44</v>
          </cell>
          <cell r="E9">
            <v>0.75</v>
          </cell>
          <cell r="F9">
            <v>4.5</v>
          </cell>
          <cell r="G9">
            <v>9</v>
          </cell>
          <cell r="H9">
            <v>4.5</v>
          </cell>
        </row>
        <row r="10">
          <cell r="C10" t="str">
            <v>#7</v>
          </cell>
          <cell r="D10">
            <v>0.6</v>
          </cell>
          <cell r="E10">
            <v>0.875</v>
          </cell>
          <cell r="F10">
            <v>5.25</v>
          </cell>
          <cell r="G10">
            <v>10.5</v>
          </cell>
          <cell r="H10">
            <v>5.25</v>
          </cell>
        </row>
        <row r="11">
          <cell r="C11" t="str">
            <v>#8</v>
          </cell>
          <cell r="D11">
            <v>0.79</v>
          </cell>
          <cell r="E11">
            <v>1</v>
          </cell>
          <cell r="F11">
            <v>6</v>
          </cell>
          <cell r="G11">
            <v>12</v>
          </cell>
          <cell r="H11">
            <v>6</v>
          </cell>
        </row>
        <row r="12">
          <cell r="C12" t="str">
            <v>#9</v>
          </cell>
          <cell r="D12">
            <v>1</v>
          </cell>
          <cell r="E12">
            <v>1.1279999999999999</v>
          </cell>
        </row>
        <row r="13">
          <cell r="C13" t="str">
            <v>#10</v>
          </cell>
          <cell r="D13">
            <v>1.27</v>
          </cell>
          <cell r="E13">
            <v>1.27</v>
          </cell>
        </row>
        <row r="14">
          <cell r="C14" t="str">
            <v>#11</v>
          </cell>
          <cell r="D14">
            <v>1.56</v>
          </cell>
          <cell r="E14">
            <v>1.41</v>
          </cell>
        </row>
        <row r="15">
          <cell r="C15" t="str">
            <v>#14</v>
          </cell>
          <cell r="D15">
            <v>2.2599999999999998</v>
          </cell>
          <cell r="E15">
            <v>1.6930000000000001</v>
          </cell>
        </row>
        <row r="16">
          <cell r="C16" t="str">
            <v>#18</v>
          </cell>
          <cell r="D16">
            <v>4</v>
          </cell>
          <cell r="E16">
            <v>2.2570000000000001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WITCH STAND PIER (2)"/>
      <sheetName val="FUSE STAND PIER"/>
      <sheetName val="FUSE STAND REACTIONS"/>
      <sheetName val="DEAD END A-FRAME REACTIONS"/>
      <sheetName val="DEAD END PIER"/>
      <sheetName val="LVB PIER "/>
      <sheetName val="SWITCH STAND PIER"/>
      <sheetName val="Sheet3"/>
    </sheetNames>
    <sheetDataSet>
      <sheetData sheetId="0"/>
      <sheetData sheetId="1">
        <row r="3">
          <cell r="G3">
            <v>24</v>
          </cell>
        </row>
        <row r="4">
          <cell r="G4">
            <v>3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E0ACEFE-0585-4D5F-AB78-BC468DD52CB9}" autoFormatId="16" applyNumberFormats="0" applyBorderFormats="0" applyFontFormats="0" applyPatternFormats="0" applyAlignmentFormats="0" applyWidthHeightFormats="0">
  <queryTableRefresh nextId="6">
    <queryTableFields count="5">
      <queryTableField id="1" name="VERT REINF." tableColumnId="1"/>
      <queryTableField id="2" name="TOTAL VERT. LENGTH" tableColumnId="2"/>
      <queryTableField id="3" name="HORIZ TIES" tableColumnId="3"/>
      <queryTableField id="4" name="HORIZ. TOTAL LEN" tableColumnId="4"/>
      <queryTableField id="5" name="FTG COUNT" tableColumnId="5"/>
    </queryTableFields>
  </queryTableRefresh>
</queryTable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D4F0206-23E6-4BDB-9F2D-04F0A1AE62F5}" name="tblDEFLECTION_SIZE" displayName="tblDEFLECTION_SIZE" ref="B67:E75" totalsRowShown="0" headerRowDxfId="0">
  <autoFilter ref="B67:E75" xr:uid="{5D4F0206-23E6-4BDB-9F2D-04F0A1AE62F5}"/>
  <tableColumns count="4">
    <tableColumn id="1" xr3:uid="{BACB0908-4609-4FCE-81FC-3B893B2FD579}" name="DIA (FT)"/>
    <tableColumn id="2" xr3:uid="{641036BC-FDD6-4EFF-B716-BBA3A2AF7212}" name="TIP DEF (IN)" dataDxfId="3">
      <calculatedColumnFormula>B68*TIP_DEFLECTION_PERCENTAGE*12</calculatedColumnFormula>
    </tableColumn>
    <tableColumn id="3" xr3:uid="{C3325A86-671C-4ECB-B081-1BBA8BD0D2F5}" name="NON-RECOVERABLE (IN)" dataDxfId="2">
      <calculatedColumnFormula>C68*recoverable_factor</calculatedColumnFormula>
    </tableColumn>
    <tableColumn id="4" xr3:uid="{583BB613-551D-4F79-B706-0D50FADA2DFE}" name="MIN. EMBED DEPTH" dataDxfId="1">
      <calculatedColumnFormula>MAX(3*B68,10)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748E8AF-29AC-4D3D-BDA5-D6D615460B45}" name="ProjectStrTable" displayName="ProjectStrTable" ref="A7:I20" headerRowDxfId="144" dataDxfId="143" tableBorderDxfId="142">
  <autoFilter ref="A7:I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8:H13">
    <sortCondition ref="C7:C13"/>
  </sortState>
  <tableColumns count="9">
    <tableColumn id="1" xr3:uid="{D869928B-360F-4210-BC49-4317EF33C817}" name="STRUCTURE/EQUIPMENT" totalsRowLabel="Total" dataDxfId="141"/>
    <tableColumn id="2" xr3:uid="{F37507A5-DD2F-4656-A589-43E510746ECD}" name="ITEM_x000a_ QTY" dataDxfId="140" totalsRowDxfId="139"/>
    <tableColumn id="3" xr3:uid="{BC4F4BC6-B84E-4B9C-9CB1-DAC74C378B8D}" name="FTG MARK" dataDxfId="138" totalsRowDxfId="137"/>
    <tableColumn id="9" xr3:uid="{FAE89BEF-B592-4E28-AE13-E899FD948D5B}" name="FTG TYPE" dataDxfId="136" totalsRowDxfId="135"/>
    <tableColumn id="4" xr3:uid="{FF3807C5-8C2E-4EAD-99F7-18665F001A64}" name="A.B. CALLOUT/ITEM #" dataDxfId="134" totalsRowDxfId="133"/>
    <tableColumn id="5" xr3:uid="{81D4C1F2-5CD7-4ADD-A7D0-C8032B1305CA}" name="A.B. QTY PER STR" dataDxfId="132" totalsRowDxfId="131"/>
    <tableColumn id="6" xr3:uid="{791CCDB2-D277-4210-A2F1-60F875BCA7E6}" name="TOTAL A.B." totalsRowFunction="sum" dataDxfId="130" totalsRowDxfId="129">
      <calculatedColumnFormula>ProjectStrTable[[#This Row],[A.B. QTY PER STR]]*ProjectStrTable[[#This Row],[ITEM
 QTY]]</calculatedColumnFormula>
    </tableColumn>
    <tableColumn id="7" xr3:uid="{74107E86-D98D-4DC3-BB8A-3B8A08EFBBC0}" name="FTG PER STR" dataDxfId="128" totalsRowDxfId="127"/>
    <tableColumn id="8" xr3:uid="{F422C1DC-CB77-44BC-AE03-8A9F36531CE4}" name="TOTAL FTGS" dataDxfId="126" totalsRowDxfId="125">
      <calculatedColumnFormula>ProjectStrTable[[#This Row],[FTG PER STR]]*ProjectStrTable[[#This Row],[ITEM
 QTY]]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6B37DD-3DA9-4C84-BA0F-EE77FC61C5CD}" name="ProjectFndnTable" displayName="ProjectFndnTable" ref="K7:V17" totalsRowShown="0" headerRowDxfId="124" dataDxfId="123" tableBorderDxfId="122">
  <autoFilter ref="K7:V17" xr:uid="{00000000-0009-0000-0100-000004000000}"/>
  <tableColumns count="12">
    <tableColumn id="1" xr3:uid="{50EB0010-419D-4BC3-BB85-06A22908017B}" name="FTG MARK" dataDxfId="121"/>
    <tableColumn id="2" xr3:uid="{BC5156E6-5228-4D99-A482-C0119BF2358F}" name="DIA (FT)" dataDxfId="120"/>
    <tableColumn id="3" xr3:uid="{3A5DFF3B-0FA7-42A7-B97D-F69234F134DC}" name="LENGTH (FT)" dataDxfId="119"/>
    <tableColumn id="4" xr3:uid="{3E5E7959-C6AD-49DE-8B97-D7E12B1576AE}" name="VOLUME (YD3)" dataDxfId="118"/>
    <tableColumn id="5" xr3:uid="{DBD07D62-B78E-4A96-A902-07BA88B026F4}" name="VERT REINF." dataDxfId="117"/>
    <tableColumn id="9" xr3:uid="{B991C942-ADBF-4704-99C2-635409C7D9B0}" name="TOTAL VERT. LENGTH" dataDxfId="116"/>
    <tableColumn id="6" xr3:uid="{7285A430-3979-48E2-A80F-4BFEBF8C744F}" name="HORIZ TIES" dataDxfId="115"/>
    <tableColumn id="7" xr3:uid="{1977985A-30AB-4896-9079-327CA0D9CD71}" name="HORIZ. TOTAL LEN" dataDxfId="114"/>
    <tableColumn id="8" xr3:uid="{84EEF705-68AB-43BE-912B-2899798C568A}" name="A.B. CALL-OUT" dataDxfId="113"/>
    <tableColumn id="10" xr3:uid="{D070FDE2-82FE-4443-AC87-72527CA45900}" name="A.B. DIA (IN)" dataDxfId="112"/>
    <tableColumn id="11" xr3:uid="{6E240CCF-9E0F-4B05-9EEC-99B1BA118693}" name="FTG COUNT" dataDxfId="111">
      <calculatedColumnFormula>IFERROR(INDEX(ProjectStrTable[TOTAL FTGS],MATCH(ProjectFndnTable[[#This Row],[FTG MARK]],ProjectStrTable[FTG MARK],0)),"")</calculatedColumnFormula>
    </tableColumn>
    <tableColumn id="12" xr3:uid="{DD1E88C6-DE56-4BB4-98C1-81C7C0E5603C}" name="TOTAL VOLUME" dataDxfId="110">
      <calculatedColumnFormula>IFERROR(ProjectFndnTable[[#This Row],[VOLUME (YD3)]]*ProjectFndnTable[[#This Row],[FTG COUNT]],"")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8C2BDF2-6EA6-4896-B0DB-5DFA15495849}" name="tblREACTIONS" displayName="tblREACTIONS" ref="A56:F63" totalsRowShown="0" headerRowDxfId="109" tableBorderDxfId="108">
  <autoFilter ref="A56:F63" xr:uid="{A8C2BDF2-6EA6-4896-B0DB-5DFA154958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1B1E8A8-EE9B-41D5-8BFF-0B637635B0F7}" name="STRUCTURE/EQUIPMENT" dataDxfId="107">
      <calculatedColumnFormula>IF(A8="","",A8)</calculatedColumnFormula>
    </tableColumn>
    <tableColumn id="2" xr3:uid="{4AAAF610-DE48-4DD2-8D84-B56374BD3D1E}" name="LOAD _x000a_CASE"/>
    <tableColumn id="3" xr3:uid="{21FABD11-7B5E-4A1B-B183-035FE8745CAE}" name="AXIAL_x000a_ (KIP)"/>
    <tableColumn id="4" xr3:uid="{18002C76-3C29-4054-9E04-7C8F0BC8F019}" name="RESULTANT_x000a_ SHEAR_x000a_(KIP)"/>
    <tableColumn id="5" xr3:uid="{15E4C525-DCE2-410A-AAF2-57E489E7EF37}" name="RESULTANT _x000a_MOMENT_x000a_(KIP-FT)"/>
    <tableColumn id="7" xr3:uid="{B913BBF8-4068-470C-B7E7-4267FA91FD58}" name="FTG_x000a_MARK" dataDxfId="106">
      <calculatedColumnFormula>IFERROR(INDEX(ProjectStrTable[FTG MARK],MATCH(tblREACTIONS[[#This Row],[STRUCTURE/EQUIPMENT]],ProjectStrTable[STRUCTURE/EQUIPMENT],0)),"")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907807D-92EE-458D-B625-66799A3BF373}" name="tblBoringAssignment" displayName="tblBoringAssignment" ref="A44:K49" totalsRowShown="0" headerRowDxfId="105" tableBorderDxfId="104">
  <autoFilter ref="A44:K49" xr:uid="{9907807D-92EE-458D-B625-66799A3BF373}"/>
  <tableColumns count="11">
    <tableColumn id="1" xr3:uid="{8A6B13FD-07A0-4171-8B89-97674CF52AB7}" name="FTG MARK"/>
    <tableColumn id="2" xr3:uid="{AC19598A-C40E-4B6E-9FEB-F0AF705EB192}" name="BORING" dataDxfId="103"/>
    <tableColumn id="3" xr3:uid="{8621AC77-B002-4BFD-880D-D6438BA085C8}" name="PIER DIA (FT)"/>
    <tableColumn id="4" xr3:uid="{D1253BCA-938E-4B74-83FB-86ABD01A4423}" name="MIN EMBED DEPTH (FT)"/>
    <tableColumn id="5" xr3:uid="{25E6B4A7-7913-4385-87F4-745A6DEFDA97}" name="WATER TABLE DEPTH (FT)"/>
    <tableColumn id="6" xr3:uid="{B9D0B2E2-8865-42E8-B8FA-608C57326776}" name="ALLOWABLE _x000a_DEFLECTION (IN)"/>
    <tableColumn id="7" xr3:uid="{709A9B00-40E2-40EF-BDA3-2449BA83E3FF}" name="DESIGN _x000a_EMBEDMENT (FT)" dataDxfId="102"/>
    <tableColumn id="8" xr3:uid="{4EACA795-D830-44F0-A815-A7E8A3660EA4}" name="MAX MOMENT (KIP-FT)"/>
    <tableColumn id="9" xr3:uid="{2BAE45CF-3C46-42E8-ADAF-731C3FB712A5}" name="MAX SHEAR (KIP)" dataDxfId="101"/>
    <tableColumn id="10" xr3:uid="{3BEA1D3F-EAA8-48A9-ABCD-29ABFE39FD6D}" name="Column1"/>
    <tableColumn id="11" xr3:uid="{F7B682A1-9FC1-4F6F-A676-B0061B8DC216}" name="Column2" dataDxfId="100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9B64C1B-FE22-4627-91CA-8A6F24FD275C}" name="RSA_GROUP_MAPPING" displayName="RSA_GROUP_MAPPING" ref="B35:E38" totalsRowShown="0" dataDxfId="99">
  <autoFilter ref="B35:E38" xr:uid="{19B64C1B-FE22-4627-91CA-8A6F24FD275C}"/>
  <tableColumns count="4">
    <tableColumn id="1" xr3:uid="{7AC047A9-4461-4387-8909-40B522532F6F}" name="MARK" dataDxfId="98"/>
    <tableColumn id="2" xr3:uid="{39EDD708-DC5F-4DB6-9E38-98401939811E}" name="FOOTING QTY" dataDxfId="97"/>
    <tableColumn id="3" xr3:uid="{59832118-FD12-4579-BBA0-A03D2886EFDE}" name="GROUP NAME" dataDxfId="96"/>
    <tableColumn id="4" xr3:uid="{C1D22257-6471-4FEE-810C-B21AD38E4E8A}" name="ROBOT FILE NAME" dataDxfId="95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0A9919-45EC-42C6-9C9D-34F0AFBBEF0B}" name="tblSOIL_BORING_01" displayName="tblSOIL_BORING_01" ref="C7:N10" totalsRowShown="0" headerRowDxfId="185" dataDxfId="184">
  <autoFilter ref="C7:N10" xr:uid="{00DD9469-52BF-4BB2-A868-26A9B3C4512E}"/>
  <tableColumns count="12">
    <tableColumn id="1" xr3:uid="{F1F73F01-8261-4AD2-9B77-10DDD028F4C2}" name="START" dataDxfId="183">
      <calculatedColumnFormula>D7</calculatedColumnFormula>
    </tableColumn>
    <tableColumn id="2" xr3:uid="{F9C6F747-D295-40F4-A005-6965995375AD}" name="END" dataDxfId="182"/>
    <tableColumn id="3" xr3:uid="{EF02D644-99F5-480F-984A-1F7734B5A09F}" name="MODEL" dataDxfId="181"/>
    <tableColumn id="4" xr3:uid="{C4BF634E-BCFF-4C21-8335-19F9664CE472}" name="DENSITY" dataDxfId="180"/>
    <tableColumn id="5" xr3:uid="{794DEE06-2027-4E5F-85F2-620FAC74A734}" name="COHESION_x000a_ULT.(KSF)" dataDxfId="179"/>
    <tableColumn id="6" xr3:uid="{D2902092-48F2-43FF-B1B6-D2DA7FC439D4}" name="COHESION_x000a_FACT." dataDxfId="178">
      <calculatedColumnFormula>COHESION_PHI*G8</calculatedColumnFormula>
    </tableColumn>
    <tableColumn id="7" xr3:uid="{E03D1959-A0A1-491B-8E52-EFF46D490475}" name="FRICTION ANGLE" dataDxfId="177"/>
    <tableColumn id="8" xr3:uid="{85C50074-AB6D-400A-B074-38DC11636715}" name="MODULUS OF SUBGRADE REACTION (STATIC)" dataDxfId="176"/>
    <tableColumn id="9" xr3:uid="{8DE8F5FA-D827-4DE7-8058-CAD65000D298}" name="MODULUS OF SUBGRADE REACTION (CYCLIC)" dataDxfId="175"/>
    <tableColumn id="10" xr3:uid="{57A800D3-37E9-4ED0-88FB-AEA4F100715C}" name="fKh" dataDxfId="174">
      <calculatedColumnFormula>PHI_K*J8</calculatedColumnFormula>
    </tableColumn>
    <tableColumn id="11" xr3:uid="{C8548F29-41F7-45E8-B198-FE44D4D46855}" name="e50" dataDxfId="173"/>
    <tableColumn id="12" xr3:uid="{35CB9561-8626-488F-9FA7-91D5BBB1F746}" name="fe50" dataDxfId="172">
      <calculatedColumnFormula>PHI_EPSILON*M8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90A82B-4B5E-41B2-95E8-E25107B98C70}" name="tblSOIL_BORING_02" displayName="tblSOIL_BORING_02" ref="C17:N22" totalsRowShown="0" headerRowDxfId="171" dataDxfId="170">
  <autoFilter ref="C17:N22" xr:uid="{2A75D330-3F19-4AAF-9735-A0D86810CFBD}"/>
  <tableColumns count="12">
    <tableColumn id="1" xr3:uid="{26705F69-6C52-45BE-A9E9-9498FD663FBD}" name="START" dataDxfId="169">
      <calculatedColumnFormula>D17</calculatedColumnFormula>
    </tableColumn>
    <tableColumn id="2" xr3:uid="{E1F44FAD-DC1A-4BC9-B169-144810AEAA0B}" name="END" dataDxfId="168"/>
    <tableColumn id="3" xr3:uid="{EAD9FBBB-E556-4BB8-AAAD-5A8ADB924AC9}" name="MODEL" dataDxfId="167"/>
    <tableColumn id="4" xr3:uid="{2D01E3D2-DCD9-40C6-AD89-E866A993E0F8}" name="DENSITY" dataDxfId="166"/>
    <tableColumn id="5" xr3:uid="{CF00B798-929D-42F8-A1CF-4E9EA804573B}" name="COHESION_x000a_ULT.(KSF)" dataDxfId="165"/>
    <tableColumn id="6" xr3:uid="{F8328A7B-4F6E-4565-8F8A-83E1CAC62427}" name="COHESION_x000a_FACT." dataDxfId="164">
      <calculatedColumnFormula>COHESION_PHI*G18</calculatedColumnFormula>
    </tableColumn>
    <tableColumn id="7" xr3:uid="{9AEB1692-881D-433D-AE19-6FA0CA3441F1}" name="FRICTION ANGLE" dataDxfId="163"/>
    <tableColumn id="8" xr3:uid="{781C0184-0F39-4144-9339-2F8C73DC25D1}" name="MODULUS OF SUBGRADE REACTION (STATIC)" dataDxfId="162"/>
    <tableColumn id="9" xr3:uid="{A43CDB84-BA8E-4433-8B32-1E3FDEF8A407}" name="MODULUS OF SUBGRADE REACTION (CYCLIC)" dataDxfId="161"/>
    <tableColumn id="10" xr3:uid="{55215E75-C7FA-44E2-AC42-A8EFC7639413}" name="fKh" dataDxfId="160">
      <calculatedColumnFormula>PHI_K*J18</calculatedColumnFormula>
    </tableColumn>
    <tableColumn id="11" xr3:uid="{DD59DB40-6E39-454A-B72F-2D3429C5F402}" name="e50" dataDxfId="159"/>
    <tableColumn id="12" xr3:uid="{C845D8E0-5D74-48F8-896F-CA05F76E6EEA}" name="fe50" dataDxfId="158">
      <calculatedColumnFormula>PHI_EPSILON*M18</calculatedColumn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CA31426-2AE2-4263-A3A7-E995C3A5576A}" name="tblSOIL_BORING_03" displayName="tblSOIL_BORING_03" ref="C27:N32" totalsRowShown="0" dataDxfId="157">
  <autoFilter ref="C27:N32" xr:uid="{99165A75-F141-4289-8721-C29B186E4341}"/>
  <tableColumns count="12">
    <tableColumn id="1" xr3:uid="{F1F637A4-E01F-4D39-A62A-DB36EFFD9605}" name="START" dataDxfId="156">
      <calculatedColumnFormula>D27</calculatedColumnFormula>
    </tableColumn>
    <tableColumn id="2" xr3:uid="{425EDC98-E111-410E-9C8A-F3EF76E33C19}" name="END" dataDxfId="155"/>
    <tableColumn id="3" xr3:uid="{BCE7FA06-0B77-4ACE-89CC-813A774B7BF0}" name="MODEL" dataDxfId="154"/>
    <tableColumn id="4" xr3:uid="{76D1768D-54AA-4716-8BF1-7AD559FE9C20}" name="DENSITY" dataDxfId="153"/>
    <tableColumn id="5" xr3:uid="{7E2413FF-A624-438E-BC84-6C104F9F998C}" name="COHESION_x000a_ULT.(KSF)" dataDxfId="152"/>
    <tableColumn id="6" xr3:uid="{E255F98A-BB67-4CE1-B7BD-6579909B4606}" name="COHESION_x000a_FACT." dataDxfId="151">
      <calculatedColumnFormula>COHESION_PHI*G28</calculatedColumnFormula>
    </tableColumn>
    <tableColumn id="7" xr3:uid="{633E155B-E778-4653-A1D8-5FD4E70F1010}" name="FRICTION ANGLE" dataDxfId="150"/>
    <tableColumn id="8" xr3:uid="{008DA3BD-7BF2-45DE-9CEB-463EF32730AA}" name="MODULUS OF SUBGRADE REACTION (STATIC)" dataDxfId="149"/>
    <tableColumn id="9" xr3:uid="{D190161B-9491-4B59-A5B4-BD932286F275}" name="MODULUS OF SUBGRADE REACTION (CYCLIC)" dataDxfId="148"/>
    <tableColumn id="10" xr3:uid="{CEBDF5DC-3738-4BF0-9E05-CF1B19C83928}" name="fKh" dataDxfId="147">
      <calculatedColumnFormula>PHI_K*J28</calculatedColumnFormula>
    </tableColumn>
    <tableColumn id="11" xr3:uid="{9C2E5C6D-6038-42E5-B041-B5DC24CB8F63}" name="e50" dataDxfId="146"/>
    <tableColumn id="12" xr3:uid="{BA155F79-638A-45D2-A11A-587481656C22}" name="fe50" dataDxfId="145">
      <calculatedColumnFormula>PHI_EPSILON*M28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DCF14A-7849-47D3-8E9E-0FFE52E9A3AF}" name="FoundationCheckList8" displayName="FoundationCheckList8" ref="B6:L19" totalsRowShown="0" headerRowDxfId="94" dataDxfId="93">
  <autoFilter ref="B6:L19" xr:uid="{CE3EFDCB-EB01-4EAE-B9A3-70417BCBA6E9}"/>
  <sortState xmlns:xlrd2="http://schemas.microsoft.com/office/spreadsheetml/2017/richdata2" ref="B7:L19">
    <sortCondition ref="B6:B19"/>
  </sortState>
  <tableColumns count="11">
    <tableColumn id="1" xr3:uid="{E348DBEE-A6EC-4AC1-A266-E0193EDD7870}" name="FTG MARK" dataDxfId="92"/>
    <tableColumn id="2" xr3:uid="{E7569433-2EA4-49A3-8547-A25728030355}" name="CONC. VOLUME CHK #1" dataDxfId="91"/>
    <tableColumn id="8" xr3:uid="{31C40436-364D-4BE5-AF7B-FBEF8F899444}" name="CONC. VOLUME CHK #2" dataDxfId="90"/>
    <tableColumn id="3" xr3:uid="{45402730-883F-47A7-A5B5-29436C55B277}" name="STEEL REINF. _x000a_CHK #1" dataDxfId="89"/>
    <tableColumn id="9" xr3:uid="{601985F9-972E-4F72-8512-07ECE7ED308B}" name="STEEL REINF. _x000a_CHK #2" dataDxfId="88"/>
    <tableColumn id="4" xr3:uid="{9A9F284E-41DC-41C7-B771-BA11A9214225}" name="FTG QTY CHK #1" dataDxfId="87"/>
    <tableColumn id="10" xr3:uid="{5BBA0FF0-D213-4FC2-B8EB-3CC96170DD28}" name="FTG QTY CHK #2" dataDxfId="86"/>
    <tableColumn id="5" xr3:uid="{7555BB46-4DE7-498A-B047-130E5DE10D7E}" name="A.B. PATTERN CHK #1" dataDxfId="85"/>
    <tableColumn id="11" xr3:uid="{3745267B-93EF-4C87-B0D0-6C2EF9C3863F}" name="A.B. PATTERN CHK #2" dataDxfId="84"/>
    <tableColumn id="7" xr3:uid="{0C1B27B8-A497-4C81-8628-2394D8889D84}" name="A.B. CALLOUT CHK #1" dataDxfId="83"/>
    <tableColumn id="6" xr3:uid="{9066042E-E538-455A-8333-4E2D176ACDC0}" name="A.B. CALLOUT CHK #2" dataDxfId="82"/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6C9F9A-48E8-438D-B178-9251290C77D4}" name="FoundationCheckList" displayName="FoundationCheckList" ref="B2:H15" totalsRowShown="0" headerRowDxfId="81" dataDxfId="80">
  <autoFilter ref="B2:H15" xr:uid="{CE3EFDCB-EB01-4EAE-B9A3-70417BCBA6E9}"/>
  <sortState xmlns:xlrd2="http://schemas.microsoft.com/office/spreadsheetml/2017/richdata2" ref="B3:H15">
    <sortCondition ref="B2:B15"/>
  </sortState>
  <tableColumns count="7">
    <tableColumn id="1" xr3:uid="{754FF26F-D8DC-4DB1-9253-19F06B8B81BE}" name="FTG MARK" dataDxfId="79"/>
    <tableColumn id="2" xr3:uid="{CB7A4C05-9FF6-4EA3-879D-A95300B007D3}" name="CONC. VOLUME CHECKED" dataDxfId="78"/>
    <tableColumn id="3" xr3:uid="{5429294F-FC9A-47C6-AD79-B01B200A5346}" name="STEEL REINFORCEMENT CHECKED" dataDxfId="77"/>
    <tableColumn id="4" xr3:uid="{B792F712-68CC-4FA7-BE4B-9765CD3A087C}" name="FTG QTY CHECKED" dataDxfId="76"/>
    <tableColumn id="5" xr3:uid="{233BF54D-6603-4E2C-BBF7-B60ADB1A4C46}" name="A.B. SPACING CHECKED" dataDxfId="75"/>
    <tableColumn id="7" xr3:uid="{8B7B7593-9D53-456B-BF0D-13BC11D8305C}" name="A.B. SIZE AND QTY CHECKED" dataDxfId="74"/>
    <tableColumn id="6" xr3:uid="{0A2FA627-B647-4BBE-869C-B23585B93D31}" name="DATE" dataDxfId="73"/>
  </tableColumns>
  <tableStyleInfo name="TableStyleLight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34AFE7-D02C-4B97-AC3F-F71D58DF8908}" name="ProjectFndnTable_2" displayName="ProjectFndnTable_2" ref="A1:E11" tableType="queryTable" totalsRowShown="0">
  <autoFilter ref="A1:E11" xr:uid="{8934AFE7-D02C-4B97-AC3F-F71D58DF8908}"/>
  <tableColumns count="5">
    <tableColumn id="1" xr3:uid="{CCD26FAD-2976-4045-96E9-DF06CF1638F0}" uniqueName="1" name="VERT REINF." queryTableFieldId="1"/>
    <tableColumn id="2" xr3:uid="{1C7694AB-16BD-4E6D-8A34-3B52C7802073}" uniqueName="2" name="TOTAL VERT. LENGTH" queryTableFieldId="2"/>
    <tableColumn id="3" xr3:uid="{ADEE613F-D412-4374-AF60-112124E1CDA0}" uniqueName="3" name="HORIZ TIES" queryTableFieldId="3"/>
    <tableColumn id="4" xr3:uid="{BFDEA761-26B1-4961-8911-2569FD74022E}" uniqueName="4" name="HORIZ. TOTAL LEN" queryTableFieldId="4"/>
    <tableColumn id="5" xr3:uid="{E2FBBA36-6146-4001-A733-5DA6AED62FE9}" uniqueName="5" name="FTG COUNT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9136B4-0399-47E0-9872-B20CC91D517B}" name="Table4" displayName="Table4" ref="D10:G13" totalsRowCount="1">
  <autoFilter ref="D10:G12" xr:uid="{6E087432-0996-49B5-AE06-42C22EB25AA2}"/>
  <tableColumns count="4">
    <tableColumn id="1" xr3:uid="{0CAB05F8-A4B1-4F7A-8C7C-C31242E1F57F}" name="FTG  " totalsRowLabel="Total" dataDxfId="72" totalsRowDxfId="71"/>
    <tableColumn id="2" xr3:uid="{1D648B6E-0893-409A-B857-AE07A5365E4F}" name="FTG QTY"/>
    <tableColumn id="3" xr3:uid="{5419147D-E971-416C-9A3C-C455F0E30FD6}" name="CONC. PER FTG YD3" dataDxfId="70" totalsRowDxfId="69">
      <calculatedColumnFormula>#REF!</calculatedColumnFormula>
    </tableColumn>
    <tableColumn id="4" xr3:uid="{96486696-C487-41C7-B520-42F5523CF7F4}" name="TOTAL CONC. YD3" totalsRowFunction="sum" dataDxfId="68" totalsRowDxfId="67">
      <calculatedColumnFormula>F11*E11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DCF615-8E37-46A1-9918-616B5915E52E}" name="Table5" displayName="Table5" ref="D16:G19" headerRowDxfId="66">
  <autoFilter ref="D16:G19" xr:uid="{6634336C-DF1F-454B-8247-469D6587BA34}"/>
  <tableColumns count="4">
    <tableColumn id="1" xr3:uid="{D3795D66-A988-420E-9D95-39D3EB857098}" name="BAR SIZE" totalsRowLabel="Total" dataDxfId="65"/>
    <tableColumn id="2" xr3:uid="{6FB74823-95E3-48A6-80B9-C1204D865266}" name="L"/>
    <tableColumn id="3" xr3:uid="{638F0B48-E1DB-4891-8BD1-AABC45873348}" name="M"/>
    <tableColumn id="4" xr3:uid="{EE187F32-4B66-48D2-A8A0-1239ECBB8FAF}" name="TOTAL (FT)" totalsRowFunction="sum" dataDxfId="64">
      <calculatedColumnFormula>Table5[[#This Row],[L]]*$E$11+Table5[[#This Row],[M]]*$E$12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FCC880-63B8-44E9-970D-06F9941FD185}" name="Table632424" displayName="Table632424" ref="C3:K13" totalsRowCount="1" headerRowDxfId="63">
  <autoFilter ref="C3:K12" xr:uid="{00000000-0009-0000-0100-000002000000}"/>
  <tableColumns count="9">
    <tableColumn id="1" xr3:uid="{F6007D07-AA46-4140-9F07-1E1718DCB921}" name="ITEM" dataDxfId="62" totalsRowDxfId="61"/>
    <tableColumn id="2" xr3:uid="{2D46CD03-9771-4C80-AE20-CD77CF3BD993}" name="QTY" dataDxfId="60" totalsRowDxfId="59"/>
    <tableColumn id="3" xr3:uid="{A3C84005-9902-48DE-8EDD-1F6E1F43C9F9}" name="BAR_x000a_SIZE" dataDxfId="58" totalsRowDxfId="57"/>
    <tableColumn id="4" xr3:uid="{BB10F68F-4A4F-4E4F-AA9C-2928B6B95829}" name="LEN_x000a_(FT)"/>
    <tableColumn id="5" xr3:uid="{1DACB183-5117-40BC-AE40-A0F34762BC53}" name="TOTAL LEN_x000a_(FT)" totalsRowFunction="custom" dataDxfId="56" totalsRowDxfId="55">
      <calculatedColumnFormula>F4*D4</calculatedColumnFormula>
      <totalsRowFormula>SUM(G5:G12)</totalsRowFormula>
    </tableColumn>
    <tableColumn id="6" xr3:uid="{3DFE3945-3A42-4DE1-9F4C-FEB575A22855}" name="COMMENT" totalsRowDxfId="54"/>
    <tableColumn id="7" xr3:uid="{A0B678C2-B423-4973-8E2C-31CC7FF05304}" name="FT" dataDxfId="53" totalsRowDxfId="52">
      <calculatedColumnFormula>(12*Table632424[[#This Row],[LEN
(FT)]]-MOD(12*Table632424[[#This Row],[LEN
(FT)]],12))/12</calculatedColumnFormula>
    </tableColumn>
    <tableColumn id="8" xr3:uid="{46BC7A80-15C9-4336-BC70-A36E80DD3AE3}" name="IN" dataDxfId="51" totalsRowDxfId="50">
      <calculatedColumnFormula>ROUND(MOD(12*Table632424[[#This Row],[LEN
(FT)]],12),0)</calculatedColumnFormula>
    </tableColumn>
    <tableColumn id="9" xr3:uid="{54E0553B-625C-4FF8-90FF-3A9283E4918B}" name="TIES (Y/N)" dataDxfId="49" totalsRowDxfId="48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FF94-BB6E-46FC-B556-73268C907251}" name="Table25673634" displayName="Table25673634" ref="B8:G13" totalsRowShown="0" headerRowDxfId="45" dataDxfId="44" tableBorderDxfId="43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C8593A24-983E-4E1F-A708-9A23BAD983CE}" name="DIA (FT)" dataDxfId="42"/>
    <tableColumn id="2" xr3:uid="{CDE6C64D-18B7-4A3A-A8B4-78B8775DBAAD}" name="LENGTH (FT)" dataDxfId="41">
      <calculatedColumnFormula>10.5+1.666</calculatedColumnFormula>
    </tableColumn>
    <tableColumn id="3" xr3:uid="{41115FDA-685D-4D38-93AF-49025ED69314}" name="REBAR QTY" dataDxfId="40"/>
    <tableColumn id="4" xr3:uid="{03D3C6CB-2011-4C04-8C40-7C2688489FB1}" name="SIZE" dataDxfId="39"/>
    <tableColumn id="5" xr3:uid="{CF2C93CE-352B-4553-B756-C21CF3519689}" name="CONC. VOL. (FT3)" dataDxfId="38">
      <calculatedColumnFormula>PI()*((B9/2)^2)*C9</calculatedColumnFormula>
    </tableColumn>
    <tableColumn id="6" xr3:uid="{4A9A61D6-13A8-4479-8007-F4F4212C454A}" name="STEEL AREA (IN2)" dataDxfId="37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04314-C055-4308-819C-191DD6470436}" name="Table2567363413" displayName="Table2567363413" ref="B8:G13" totalsRowShown="0" headerRowDxfId="34" dataDxfId="33" tableBorderDxfId="32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AE1032FD-E759-46F6-A8F8-BE87EE9E5EC8}" name="DIA (FT)" dataDxfId="31"/>
    <tableColumn id="2" xr3:uid="{2B8E0636-68C0-4C1F-8A21-B99BF66DBA67}" name="LENGTH (FT)" dataDxfId="30">
      <calculatedColumnFormula>10.5+1.666</calculatedColumnFormula>
    </tableColumn>
    <tableColumn id="3" xr3:uid="{4EB55A6F-45C2-416E-9BB3-256779DCF3B7}" name="REBAR QTY" dataDxfId="29"/>
    <tableColumn id="4" xr3:uid="{23A04EAF-C472-4A48-9B3E-37DAA858A8AE}" name="SIZE" dataDxfId="28"/>
    <tableColumn id="5" xr3:uid="{89361597-DEC0-4290-953E-9799E2A7FBE2}" name="CONC. VOL. (FT3)" dataDxfId="27">
      <calculatedColumnFormula>PI()*((B9/2)^2)*C9</calculatedColumnFormula>
    </tableColumn>
    <tableColumn id="6" xr3:uid="{957B56C1-F406-41C1-88BB-DBAEE65B2901}" name="STEEL AREA (IN2)" dataDxfId="26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B759C92-A62F-4C40-A0BB-20703CBB7D5D}" name="Table2567363421" displayName="Table2567363421" ref="B8:G13" totalsRowShown="0" headerRowDxfId="23" dataDxfId="22" tableBorderDxfId="21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E0713019-DAA8-43C0-AB30-8B78E257C06F}" name="DIA (FT)" dataDxfId="20"/>
    <tableColumn id="2" xr3:uid="{43920172-5F72-415B-A947-5AD201FCD97F}" name="LENGTH (FT)" dataDxfId="19">
      <calculatedColumnFormula>10.5+1.666</calculatedColumnFormula>
    </tableColumn>
    <tableColumn id="3" xr3:uid="{558CB82F-2943-4FC6-A40B-3D7F1CA77023}" name="REBAR QTY" dataDxfId="18"/>
    <tableColumn id="4" xr3:uid="{0AC3AE78-9C66-4A55-BAC0-A8955DE26A5E}" name="SIZE" dataDxfId="17"/>
    <tableColumn id="5" xr3:uid="{054EF9E2-C696-44A5-9BF8-3848EC02795B}" name="CONC. VOL. (FT3)" dataDxfId="16">
      <calculatedColumnFormula>PI()*((B9/2)^2)*C9</calculatedColumnFormula>
    </tableColumn>
    <tableColumn id="6" xr3:uid="{9ECC8685-B706-4CF2-A1E2-91BDC0751D00}" name="STEEL AREA (IN2)" dataDxfId="15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4E66D0-0FE5-42AF-8A76-9BE30BAF4245}" name="Table2567363422" displayName="Table2567363422" ref="B8:G13" totalsRowShown="0" headerRowDxfId="12" dataDxfId="11" tableBorderDxfId="10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0FA34F56-574D-4C2A-AE70-444C206D66A0}" name="DIA (FT)" dataDxfId="9"/>
    <tableColumn id="2" xr3:uid="{019D0A79-31EC-4A5C-A392-94E34D6158B1}" name="LENGTH (FT)" dataDxfId="8">
      <calculatedColumnFormula>10.5+1.666</calculatedColumnFormula>
    </tableColumn>
    <tableColumn id="3" xr3:uid="{33197D3C-CA69-4828-973F-1FE918FFCE43}" name="REBAR QTY" dataDxfId="7"/>
    <tableColumn id="4" xr3:uid="{6495E3DE-B46B-4D61-8076-E2BD6AD29C05}" name="SIZE" dataDxfId="6"/>
    <tableColumn id="5" xr3:uid="{A071580D-691E-42D5-A5E2-40BC728BA889}" name="CONC. VOL. (FT3)" dataDxfId="5">
      <calculatedColumnFormula>PI()*((B9/2)^2)*C9</calculatedColumnFormula>
    </tableColumn>
    <tableColumn id="6" xr3:uid="{E0D01C05-7655-445C-B635-EB42AA38D6DD}" name="STEEL AREA (IN2)" dataDxfId="4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table" Target="../tables/table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12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TEST_SUB_LAT_PILE_PY.xlsm" TargetMode="External"/><Relationship Id="rId6" Type="http://schemas.openxmlformats.org/officeDocument/2006/relationships/ctrlProp" Target="../ctrlProps/ctrlProp2.xml"/><Relationship Id="rId11" Type="http://schemas.openxmlformats.org/officeDocument/2006/relationships/table" Target="../tables/table4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B8F5-984B-4782-AC11-805B747337BE}">
  <sheetPr codeName="Sheet2">
    <pageSetUpPr fitToPage="1"/>
  </sheetPr>
  <dimension ref="A1:M75"/>
  <sheetViews>
    <sheetView tabSelected="1" topLeftCell="A49" zoomScaleNormal="100" workbookViewId="0">
      <selection activeCell="B67" sqref="B67"/>
    </sheetView>
  </sheetViews>
  <sheetFormatPr defaultRowHeight="15"/>
  <cols>
    <col min="2" max="2" width="10.140625" customWidth="1"/>
    <col min="3" max="3" width="13.7109375" customWidth="1"/>
    <col min="4" max="4" width="24.42578125" customWidth="1"/>
    <col min="5" max="5" width="20.42578125" customWidth="1"/>
  </cols>
  <sheetData>
    <row r="1" spans="1:7">
      <c r="A1" t="s">
        <v>0</v>
      </c>
    </row>
    <row r="3" spans="1:7" s="151" customFormat="1" ht="18.75">
      <c r="B3" s="160" t="s">
        <v>1</v>
      </c>
    </row>
    <row r="4" spans="1:7" ht="161.25" customHeight="1">
      <c r="B4" s="117"/>
    </row>
    <row r="5" spans="1:7" s="151" customFormat="1" ht="18.75">
      <c r="B5" s="160" t="s">
        <v>2</v>
      </c>
    </row>
    <row r="6" spans="1:7" s="153" customFormat="1" ht="18.75">
      <c r="B6" s="262" t="s">
        <v>3</v>
      </c>
      <c r="C6" s="154"/>
      <c r="D6" s="154"/>
      <c r="E6" s="154"/>
      <c r="F6" s="154"/>
    </row>
    <row r="7" spans="1:7" s="153" customFormat="1" ht="18.75">
      <c r="B7" s="262" t="s">
        <v>4</v>
      </c>
      <c r="C7" s="154"/>
      <c r="D7" s="154"/>
      <c r="E7" s="154"/>
      <c r="F7" s="154"/>
    </row>
    <row r="8" spans="1:7">
      <c r="B8" s="148"/>
      <c r="C8" s="148" t="s">
        <v>5</v>
      </c>
      <c r="D8" s="148"/>
      <c r="E8" s="148"/>
      <c r="F8" s="148"/>
      <c r="G8" s="148"/>
    </row>
    <row r="9" spans="1:7" ht="28.5" customHeight="1">
      <c r="B9" s="148"/>
      <c r="C9" s="148"/>
      <c r="D9" s="148"/>
      <c r="E9" s="148"/>
      <c r="F9" s="148"/>
      <c r="G9" s="148"/>
    </row>
    <row r="10" spans="1:7">
      <c r="B10" s="148"/>
      <c r="C10" s="148" t="s">
        <v>6</v>
      </c>
      <c r="D10" s="148"/>
      <c r="E10" s="148"/>
      <c r="F10" s="148"/>
      <c r="G10" s="148"/>
    </row>
    <row r="11" spans="1:7" ht="29.25" customHeight="1">
      <c r="B11" s="148"/>
      <c r="C11" s="148"/>
      <c r="D11" s="148"/>
      <c r="E11" s="148"/>
      <c r="F11" s="148"/>
      <c r="G11" s="148"/>
    </row>
    <row r="12" spans="1:7" s="153" customFormat="1" ht="18.75">
      <c r="B12" s="261" t="s">
        <v>7</v>
      </c>
    </row>
    <row r="13" spans="1:7">
      <c r="C13" s="150" t="s">
        <v>8</v>
      </c>
    </row>
    <row r="14" spans="1:7">
      <c r="C14" s="150" t="s">
        <v>9</v>
      </c>
    </row>
    <row r="15" spans="1:7">
      <c r="C15" s="150" t="s">
        <v>10</v>
      </c>
    </row>
    <row r="16" spans="1:7" s="153" customFormat="1" ht="18.75">
      <c r="B16" s="261" t="s">
        <v>11</v>
      </c>
    </row>
    <row r="17" spans="2:8">
      <c r="C17" t="s">
        <v>12</v>
      </c>
    </row>
    <row r="18" spans="2:8">
      <c r="D18" t="s">
        <v>13</v>
      </c>
      <c r="H18" t="s">
        <v>14</v>
      </c>
    </row>
    <row r="19" spans="2:8" ht="102.75" customHeight="1"/>
    <row r="21" spans="2:8">
      <c r="C21" t="s">
        <v>15</v>
      </c>
    </row>
    <row r="22" spans="2:8">
      <c r="C22" t="s">
        <v>16</v>
      </c>
    </row>
    <row r="24" spans="2:8" s="151" customFormat="1" ht="18.75">
      <c r="B24" s="160" t="s">
        <v>17</v>
      </c>
    </row>
    <row r="25" spans="2:8" s="151" customFormat="1" ht="18.75">
      <c r="B25" s="160" t="s">
        <v>18</v>
      </c>
    </row>
    <row r="26" spans="2:8" s="153" customFormat="1">
      <c r="C26" s="153" t="s">
        <v>19</v>
      </c>
    </row>
    <row r="27" spans="2:8">
      <c r="C27" s="150" t="s">
        <v>20</v>
      </c>
    </row>
    <row r="28" spans="2:8" s="153" customFormat="1">
      <c r="C28" s="153" t="s">
        <v>21</v>
      </c>
    </row>
    <row r="29" spans="2:8" ht="18">
      <c r="C29" t="s">
        <v>22</v>
      </c>
    </row>
    <row r="30" spans="2:8" s="153" customFormat="1">
      <c r="C30" s="161" t="s">
        <v>23</v>
      </c>
    </row>
    <row r="31" spans="2:8">
      <c r="C31" t="s">
        <v>24</v>
      </c>
    </row>
    <row r="33" spans="1:3" s="151" customFormat="1" ht="18.75">
      <c r="B33" s="160" t="s">
        <v>25</v>
      </c>
    </row>
    <row r="34" spans="1:3">
      <c r="C34" t="s">
        <v>303</v>
      </c>
    </row>
    <row r="36" spans="1:3" s="151" customFormat="1" ht="18.75">
      <c r="B36" s="160" t="s">
        <v>26</v>
      </c>
    </row>
    <row r="37" spans="1:3">
      <c r="B37" s="117"/>
      <c r="C37" t="s">
        <v>218</v>
      </c>
    </row>
    <row r="38" spans="1:3">
      <c r="B38" s="117"/>
      <c r="C38" t="s">
        <v>219</v>
      </c>
    </row>
    <row r="39" spans="1:3" s="151" customFormat="1" ht="18.75">
      <c r="B39" s="160" t="s">
        <v>27</v>
      </c>
    </row>
    <row r="40" spans="1:3">
      <c r="B40" s="117"/>
      <c r="C40" t="s">
        <v>225</v>
      </c>
    </row>
    <row r="41" spans="1:3">
      <c r="B41" s="117"/>
      <c r="C41" t="s">
        <v>220</v>
      </c>
    </row>
    <row r="42" spans="1:3">
      <c r="B42" s="117"/>
      <c r="C42" t="s">
        <v>221</v>
      </c>
    </row>
    <row r="43" spans="1:3">
      <c r="B43" s="117"/>
      <c r="C43" t="s">
        <v>224</v>
      </c>
    </row>
    <row r="44" spans="1:3">
      <c r="B44" s="117"/>
      <c r="C44" t="s">
        <v>222</v>
      </c>
    </row>
    <row r="45" spans="1:3">
      <c r="B45" s="117"/>
      <c r="C45" t="s">
        <v>223</v>
      </c>
    </row>
    <row r="46" spans="1:3" s="151" customFormat="1" ht="26.25">
      <c r="A46" s="260" t="s">
        <v>28</v>
      </c>
      <c r="B46" s="152"/>
    </row>
    <row r="47" spans="1:3">
      <c r="B47" s="117"/>
    </row>
    <row r="48" spans="1:3" s="151" customFormat="1" ht="18.75">
      <c r="B48" s="160" t="s">
        <v>29</v>
      </c>
    </row>
    <row r="49" spans="1:13">
      <c r="C49" t="s">
        <v>301</v>
      </c>
    </row>
    <row r="50" spans="1:13">
      <c r="C50" t="s">
        <v>302</v>
      </c>
    </row>
    <row r="51" spans="1:13">
      <c r="C51" t="s">
        <v>30</v>
      </c>
    </row>
    <row r="53" spans="1:13" s="151" customFormat="1" ht="18.75">
      <c r="B53" s="160" t="s">
        <v>31</v>
      </c>
    </row>
    <row r="54" spans="1:13">
      <c r="C54" s="357" t="s">
        <v>32</v>
      </c>
      <c r="D54" s="357"/>
      <c r="E54" s="358" t="s">
        <v>33</v>
      </c>
      <c r="F54" s="358"/>
    </row>
    <row r="55" spans="1:13">
      <c r="C55" s="119" t="s">
        <v>34</v>
      </c>
      <c r="D55" s="119" t="s">
        <v>35</v>
      </c>
      <c r="E55" s="358"/>
      <c r="F55" s="358"/>
      <c r="G55" t="s">
        <v>395</v>
      </c>
    </row>
    <row r="56" spans="1:13">
      <c r="C56" s="55">
        <v>24</v>
      </c>
      <c r="D56" s="55">
        <v>42</v>
      </c>
      <c r="E56" s="356">
        <v>3</v>
      </c>
      <c r="F56" s="356"/>
      <c r="G56" t="s">
        <v>114</v>
      </c>
    </row>
    <row r="57" spans="1:13">
      <c r="C57" s="55">
        <v>48</v>
      </c>
      <c r="D57" s="55">
        <v>59</v>
      </c>
      <c r="E57" s="356">
        <v>4</v>
      </c>
      <c r="F57" s="356"/>
      <c r="G57" t="s">
        <v>396</v>
      </c>
    </row>
    <row r="58" spans="1:13">
      <c r="C58" s="55">
        <v>60</v>
      </c>
      <c r="D58" s="55" t="s">
        <v>36</v>
      </c>
      <c r="E58" s="356">
        <v>6</v>
      </c>
      <c r="F58" s="356"/>
      <c r="G58" t="s">
        <v>397</v>
      </c>
    </row>
    <row r="59" spans="1:13">
      <c r="B59" s="148"/>
      <c r="C59" s="148"/>
      <c r="D59" s="148"/>
      <c r="E59" s="148"/>
      <c r="F59" s="148"/>
      <c r="G59" s="148"/>
      <c r="H59" s="148"/>
      <c r="I59" s="148"/>
      <c r="J59" s="148"/>
    </row>
    <row r="60" spans="1:13" s="151" customFormat="1" ht="18.75">
      <c r="B60" s="263" t="s">
        <v>37</v>
      </c>
      <c r="C60" s="155"/>
      <c r="D60" s="155"/>
      <c r="E60" s="155"/>
      <c r="F60" s="155"/>
      <c r="G60" s="155"/>
      <c r="H60" s="155"/>
      <c r="I60" s="155"/>
      <c r="J60" s="155"/>
    </row>
    <row r="61" spans="1:13">
      <c r="C61" t="s">
        <v>38</v>
      </c>
    </row>
    <row r="62" spans="1:13">
      <c r="C62" t="s">
        <v>39</v>
      </c>
    </row>
    <row r="64" spans="1:13" ht="18.75">
      <c r="A64" s="151"/>
      <c r="B64" s="160" t="s">
        <v>241</v>
      </c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</row>
    <row r="65" spans="1:6">
      <c r="B65" s="117" t="s">
        <v>242</v>
      </c>
    </row>
    <row r="66" spans="1:6" ht="15.75" thickBot="1">
      <c r="B66" t="s">
        <v>243</v>
      </c>
      <c r="C66">
        <v>0.03</v>
      </c>
      <c r="F66">
        <v>0.33</v>
      </c>
    </row>
    <row r="67" spans="1:6" ht="45">
      <c r="A67" s="208"/>
      <c r="B67" s="207" t="s">
        <v>69</v>
      </c>
      <c r="C67" s="207" t="s">
        <v>244</v>
      </c>
      <c r="D67" s="226" t="s">
        <v>245</v>
      </c>
      <c r="E67" s="207" t="s">
        <v>246</v>
      </c>
    </row>
    <row r="68" spans="1:6">
      <c r="B68">
        <v>2.5</v>
      </c>
      <c r="C68" s="123">
        <f t="shared" ref="C68:C75" si="0">B68*TIP_DEFLECTION_PERCENTAGE*12</f>
        <v>0.89999999999999991</v>
      </c>
      <c r="D68" s="227">
        <f>C68*recoverable_factor</f>
        <v>0.29699999999999999</v>
      </c>
      <c r="E68" s="55">
        <f>MAX(3*B68,10)</f>
        <v>10</v>
      </c>
    </row>
    <row r="69" spans="1:6">
      <c r="B69">
        <v>3</v>
      </c>
      <c r="C69" s="123">
        <f t="shared" si="0"/>
        <v>1.08</v>
      </c>
      <c r="D69" s="227">
        <f t="shared" ref="D69:D75" si="1">C69*recoverable_factor</f>
        <v>0.35640000000000005</v>
      </c>
      <c r="E69" s="55">
        <f t="shared" ref="E69:E75" si="2">MAX(3*B69,10)</f>
        <v>10</v>
      </c>
    </row>
    <row r="70" spans="1:6">
      <c r="B70">
        <v>3.5</v>
      </c>
      <c r="C70" s="123">
        <f t="shared" si="0"/>
        <v>1.26</v>
      </c>
      <c r="D70" s="227">
        <f t="shared" si="1"/>
        <v>0.4158</v>
      </c>
      <c r="E70" s="55">
        <f t="shared" si="2"/>
        <v>10.5</v>
      </c>
    </row>
    <row r="71" spans="1:6">
      <c r="B71">
        <v>4</v>
      </c>
      <c r="C71" s="123">
        <f t="shared" si="0"/>
        <v>1.44</v>
      </c>
      <c r="D71" s="227">
        <f t="shared" si="1"/>
        <v>0.47520000000000001</v>
      </c>
      <c r="E71" s="55">
        <f t="shared" si="2"/>
        <v>12</v>
      </c>
    </row>
    <row r="72" spans="1:6">
      <c r="B72">
        <v>4.5</v>
      </c>
      <c r="C72" s="123">
        <f t="shared" si="0"/>
        <v>1.62</v>
      </c>
      <c r="D72" s="227">
        <f t="shared" si="1"/>
        <v>0.53460000000000008</v>
      </c>
      <c r="E72" s="55">
        <f t="shared" si="2"/>
        <v>13.5</v>
      </c>
    </row>
    <row r="73" spans="1:6">
      <c r="B73">
        <v>5</v>
      </c>
      <c r="C73" s="123">
        <f t="shared" si="0"/>
        <v>1.7999999999999998</v>
      </c>
      <c r="D73" s="227">
        <f t="shared" si="1"/>
        <v>0.59399999999999997</v>
      </c>
      <c r="E73" s="55">
        <f t="shared" si="2"/>
        <v>15</v>
      </c>
    </row>
    <row r="74" spans="1:6">
      <c r="B74">
        <v>5.5</v>
      </c>
      <c r="C74" s="123">
        <f t="shared" si="0"/>
        <v>1.9799999999999998</v>
      </c>
      <c r="D74" s="227">
        <f t="shared" si="1"/>
        <v>0.65339999999999998</v>
      </c>
      <c r="E74" s="55">
        <f t="shared" si="2"/>
        <v>16.5</v>
      </c>
    </row>
    <row r="75" spans="1:6" ht="15.75" thickBot="1">
      <c r="B75">
        <v>6</v>
      </c>
      <c r="C75" s="123">
        <f t="shared" si="0"/>
        <v>2.16</v>
      </c>
      <c r="D75" s="228">
        <f t="shared" si="1"/>
        <v>0.7128000000000001</v>
      </c>
      <c r="E75" s="55">
        <f t="shared" si="2"/>
        <v>18</v>
      </c>
    </row>
  </sheetData>
  <mergeCells count="5">
    <mergeCell ref="E58:F58"/>
    <mergeCell ref="C54:D54"/>
    <mergeCell ref="E56:F56"/>
    <mergeCell ref="E54:F55"/>
    <mergeCell ref="E57:F57"/>
  </mergeCells>
  <printOptions horizontalCentered="1" verticalCentered="1"/>
  <pageMargins left="0.7" right="0.7" top="0.75" bottom="0.75" header="0.3" footer="0.3"/>
  <pageSetup paperSize="17" scale="96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D919B-ABE7-41BC-8FAC-672C8FC184C9}">
  <sheetPr codeName="Sheet13">
    <pageSetUpPr fitToPage="1"/>
  </sheetPr>
  <dimension ref="A1:AN85"/>
  <sheetViews>
    <sheetView showGridLines="0" topLeftCell="A38" workbookViewId="0">
      <selection activeCell="D45" sqref="D45"/>
    </sheetView>
  </sheetViews>
  <sheetFormatPr defaultRowHeight="15"/>
  <cols>
    <col min="1" max="1" width="31.140625" customWidth="1"/>
    <col min="2" max="2" width="11.140625" customWidth="1"/>
    <col min="3" max="3" width="15.140625" customWidth="1"/>
    <col min="4" max="4" width="23.42578125" customWidth="1"/>
    <col min="5" max="5" width="32.7109375" customWidth="1"/>
    <col min="6" max="6" width="24.85546875" customWidth="1"/>
    <col min="7" max="7" width="17.42578125" customWidth="1"/>
    <col min="8" max="8" width="16.28515625" bestFit="1" customWidth="1"/>
    <col min="9" max="9" width="16" style="204" bestFit="1" customWidth="1"/>
    <col min="10" max="10" width="10.85546875" bestFit="1" customWidth="1"/>
    <col min="11" max="11" width="28.140625" bestFit="1" customWidth="1"/>
    <col min="12" max="12" width="10.140625" customWidth="1"/>
    <col min="13" max="13" width="9.7109375" customWidth="1"/>
    <col min="14" max="14" width="12.7109375" customWidth="1"/>
    <col min="15" max="15" width="10.28515625" customWidth="1"/>
    <col min="16" max="16" width="12" customWidth="1"/>
    <col min="17" max="17" width="10" customWidth="1"/>
    <col min="18" max="18" width="12.5703125" customWidth="1"/>
    <col min="19" max="19" width="19.85546875" customWidth="1"/>
    <col min="20" max="20" width="9.140625" style="55"/>
    <col min="22" max="22" width="10.5703125" customWidth="1"/>
    <col min="25" max="25" width="6.7109375" style="55" bestFit="1" customWidth="1"/>
    <col min="26" max="26" width="9.140625" style="55" bestFit="1" customWidth="1"/>
    <col min="27" max="27" width="11.5703125" style="55" bestFit="1" customWidth="1"/>
    <col min="28" max="28" width="20" style="55" bestFit="1" customWidth="1"/>
    <col min="29" max="29" width="9.140625" style="55"/>
    <col min="30" max="30" width="10.140625" style="55" customWidth="1"/>
    <col min="31" max="31" width="19" style="55" bestFit="1" customWidth="1"/>
    <col min="32" max="32" width="6.28515625" style="55" bestFit="1" customWidth="1"/>
    <col min="33" max="33" width="18" style="55" bestFit="1" customWidth="1"/>
    <col min="34" max="34" width="27" style="55" bestFit="1" customWidth="1"/>
    <col min="35" max="35" width="27" style="55" customWidth="1"/>
    <col min="36" max="36" width="10.7109375" style="55" customWidth="1"/>
    <col min="37" max="37" width="14.7109375" style="55" bestFit="1" customWidth="1"/>
    <col min="38" max="38" width="7.7109375" style="55" customWidth="1"/>
    <col min="39" max="39" width="6.28515625" style="55" bestFit="1" customWidth="1"/>
    <col min="40" max="40" width="27" style="55" bestFit="1" customWidth="1"/>
  </cols>
  <sheetData>
    <row r="1" spans="1:40">
      <c r="J1" s="333" t="s">
        <v>403</v>
      </c>
    </row>
    <row r="3" spans="1:40">
      <c r="Y3" s="55" t="s">
        <v>59</v>
      </c>
      <c r="Z3" s="55" t="s">
        <v>60</v>
      </c>
      <c r="AA3" s="55" t="s">
        <v>61</v>
      </c>
      <c r="AB3" s="55" t="s">
        <v>59</v>
      </c>
      <c r="AC3" s="55" t="s">
        <v>60</v>
      </c>
      <c r="AD3" s="55" t="s">
        <v>61</v>
      </c>
    </row>
    <row r="4" spans="1:40" ht="15.75" thickBot="1"/>
    <row r="5" spans="1:40" ht="24" thickBot="1">
      <c r="A5" s="359" t="s">
        <v>416</v>
      </c>
      <c r="B5" s="360"/>
      <c r="C5" s="360"/>
      <c r="D5" s="360"/>
      <c r="E5" s="360"/>
      <c r="F5" s="360"/>
      <c r="G5" s="360"/>
      <c r="H5" s="360"/>
      <c r="I5" s="361"/>
      <c r="K5" s="359" t="s">
        <v>294</v>
      </c>
      <c r="L5" s="360"/>
      <c r="M5" s="360"/>
      <c r="N5" s="360"/>
      <c r="O5" s="360"/>
      <c r="P5" s="360"/>
      <c r="Q5" s="360"/>
      <c r="R5" s="360"/>
      <c r="S5" s="360"/>
      <c r="T5" s="360"/>
      <c r="U5" s="360"/>
      <c r="V5" s="361"/>
      <c r="X5" s="266" t="s">
        <v>62</v>
      </c>
    </row>
    <row r="6" spans="1:40" ht="6.75" customHeight="1" thickBot="1">
      <c r="A6" s="119"/>
      <c r="B6" s="119"/>
      <c r="C6" s="119"/>
      <c r="D6" s="119"/>
      <c r="E6" s="119"/>
      <c r="F6" s="119"/>
      <c r="G6" s="119"/>
    </row>
    <row r="7" spans="1:40" s="60" customFormat="1" ht="42.75" customHeight="1" thickBot="1">
      <c r="A7" s="16" t="s">
        <v>63</v>
      </c>
      <c r="B7" s="116" t="s">
        <v>300</v>
      </c>
      <c r="C7" s="116" t="s">
        <v>40</v>
      </c>
      <c r="D7" s="116" t="s">
        <v>64</v>
      </c>
      <c r="E7" s="116" t="s">
        <v>347</v>
      </c>
      <c r="F7" s="116" t="s">
        <v>65</v>
      </c>
      <c r="G7" s="270" t="s">
        <v>66</v>
      </c>
      <c r="H7" s="271" t="s">
        <v>67</v>
      </c>
      <c r="I7" s="272" t="s">
        <v>68</v>
      </c>
      <c r="K7" s="116" t="s">
        <v>40</v>
      </c>
      <c r="L7" s="264" t="s">
        <v>69</v>
      </c>
      <c r="M7" s="116" t="s">
        <v>70</v>
      </c>
      <c r="N7" s="116" t="s">
        <v>71</v>
      </c>
      <c r="O7" s="116" t="s">
        <v>72</v>
      </c>
      <c r="P7" s="116" t="s">
        <v>73</v>
      </c>
      <c r="Q7" s="116" t="s">
        <v>74</v>
      </c>
      <c r="R7" s="116" t="s">
        <v>75</v>
      </c>
      <c r="S7" s="116" t="s">
        <v>76</v>
      </c>
      <c r="T7" s="116" t="s">
        <v>77</v>
      </c>
      <c r="U7" s="116" t="s">
        <v>78</v>
      </c>
      <c r="V7" s="116" t="s">
        <v>79</v>
      </c>
      <c r="W7" s="116"/>
      <c r="X7" s="265" t="s">
        <v>40</v>
      </c>
      <c r="Y7" s="264" t="s">
        <v>335</v>
      </c>
      <c r="Z7" s="264" t="s">
        <v>338</v>
      </c>
      <c r="AA7" s="264" t="s">
        <v>337</v>
      </c>
      <c r="AB7" s="264" t="s">
        <v>336</v>
      </c>
      <c r="AC7" s="264" t="s">
        <v>339</v>
      </c>
      <c r="AD7" s="264" t="s">
        <v>343</v>
      </c>
      <c r="AE7" s="264" t="s">
        <v>342</v>
      </c>
      <c r="AF7" s="264" t="s">
        <v>340</v>
      </c>
      <c r="AG7" s="264" t="s">
        <v>341</v>
      </c>
      <c r="AH7" s="264" t="s">
        <v>80</v>
      </c>
      <c r="AI7" s="264" t="s">
        <v>344</v>
      </c>
      <c r="AJ7" s="264" t="s">
        <v>345</v>
      </c>
      <c r="AK7" s="264" t="s">
        <v>346</v>
      </c>
      <c r="AL7" s="264"/>
      <c r="AM7" s="264"/>
      <c r="AN7" s="264"/>
    </row>
    <row r="8" spans="1:40">
      <c r="A8" t="s">
        <v>411</v>
      </c>
      <c r="B8" s="268">
        <v>21</v>
      </c>
      <c r="C8" s="55" t="s">
        <v>47</v>
      </c>
      <c r="D8" s="55" t="s">
        <v>227</v>
      </c>
      <c r="E8" s="55" t="s">
        <v>417</v>
      </c>
      <c r="F8" s="55">
        <v>4</v>
      </c>
      <c r="G8" s="124">
        <f>ProjectStrTable[[#This Row],[A.B. QTY PER STR]]*ProjectStrTable[[#This Row],[ITEM
 QTY]]</f>
        <v>84</v>
      </c>
      <c r="H8" s="55">
        <v>1</v>
      </c>
      <c r="I8" s="130">
        <f>ProjectStrTable[[#This Row],[FTG PER STR]]*ProjectStrTable[[#This Row],[ITEM
 QTY]]</f>
        <v>21</v>
      </c>
      <c r="J8" s="122"/>
      <c r="K8" s="122" t="s">
        <v>47</v>
      </c>
      <c r="L8" s="122">
        <v>3</v>
      </c>
      <c r="M8" s="122">
        <v>10</v>
      </c>
      <c r="N8" s="122">
        <v>2.6179938779914944</v>
      </c>
      <c r="O8" s="122" t="s">
        <v>325</v>
      </c>
      <c r="P8" s="122" t="s">
        <v>326</v>
      </c>
      <c r="Q8" s="122" t="s">
        <v>327</v>
      </c>
      <c r="R8" s="122" t="s">
        <v>328</v>
      </c>
      <c r="S8" s="122" t="s">
        <v>305</v>
      </c>
      <c r="T8" s="197">
        <v>2.25</v>
      </c>
      <c r="U8" s="197"/>
      <c r="V8" s="243"/>
      <c r="X8" t="s">
        <v>53</v>
      </c>
      <c r="Y8">
        <v>5.5555555555555554</v>
      </c>
      <c r="Z8">
        <v>1</v>
      </c>
      <c r="AA8">
        <v>12</v>
      </c>
      <c r="AB8" t="s">
        <v>329</v>
      </c>
      <c r="AC8">
        <v>2</v>
      </c>
      <c r="AD8">
        <v>20</v>
      </c>
      <c r="AE8" t="s">
        <v>330</v>
      </c>
      <c r="AF8">
        <v>3</v>
      </c>
      <c r="AG8">
        <v>4</v>
      </c>
      <c r="AH8" t="s">
        <v>194</v>
      </c>
      <c r="AI8"/>
      <c r="AJ8"/>
      <c r="AK8"/>
      <c r="AL8"/>
      <c r="AM8"/>
      <c r="AN8"/>
    </row>
    <row r="9" spans="1:40">
      <c r="A9" t="s">
        <v>413</v>
      </c>
      <c r="B9" s="55">
        <v>10</v>
      </c>
      <c r="C9" s="55" t="s">
        <v>48</v>
      </c>
      <c r="D9" s="55" t="s">
        <v>227</v>
      </c>
      <c r="E9" s="55" t="s">
        <v>418</v>
      </c>
      <c r="F9" s="55">
        <v>4</v>
      </c>
      <c r="G9" s="124">
        <f>ProjectStrTable[[#This Row],[A.B. QTY PER STR]]*ProjectStrTable[[#This Row],[ITEM
 QTY]]</f>
        <v>40</v>
      </c>
      <c r="H9" s="55">
        <v>2</v>
      </c>
      <c r="I9" s="130">
        <f>ProjectStrTable[[#This Row],[FTG PER STR]]*ProjectStrTable[[#This Row],[ITEM
 QTY]]</f>
        <v>20</v>
      </c>
      <c r="J9" s="122"/>
      <c r="K9" s="122" t="s">
        <v>332</v>
      </c>
      <c r="L9" s="122">
        <v>3</v>
      </c>
      <c r="M9" s="122">
        <v>10</v>
      </c>
      <c r="N9" s="122">
        <v>2.6179938779914944</v>
      </c>
      <c r="O9" s="122" t="s">
        <v>325</v>
      </c>
      <c r="P9" s="122" t="s">
        <v>326</v>
      </c>
      <c r="Q9" s="122" t="s">
        <v>327</v>
      </c>
      <c r="R9" s="122" t="s">
        <v>328</v>
      </c>
      <c r="S9" s="122" t="s">
        <v>305</v>
      </c>
      <c r="T9" s="55">
        <v>2.25</v>
      </c>
      <c r="U9" s="55"/>
      <c r="V9" s="132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</row>
    <row r="10" spans="1:40" ht="15" customHeight="1">
      <c r="A10" t="s">
        <v>414</v>
      </c>
      <c r="B10" s="55">
        <v>4</v>
      </c>
      <c r="C10" s="55" t="s">
        <v>49</v>
      </c>
      <c r="D10" s="55" t="s">
        <v>227</v>
      </c>
      <c r="E10" s="55" t="s">
        <v>419</v>
      </c>
      <c r="F10" s="55">
        <v>4</v>
      </c>
      <c r="G10" s="124">
        <f>ProjectStrTable[[#This Row],[A.B. QTY PER STR]]*ProjectStrTable[[#This Row],[ITEM
 QTY]]</f>
        <v>16</v>
      </c>
      <c r="H10" s="55">
        <v>2</v>
      </c>
      <c r="I10" s="130">
        <f>ProjectStrTable[[#This Row],[FTG PER STR]]*ProjectStrTable[[#This Row],[ITEM
 QTY]]</f>
        <v>8</v>
      </c>
      <c r="J10" s="122"/>
      <c r="K10" s="122" t="s">
        <v>334</v>
      </c>
      <c r="L10" s="122">
        <v>3</v>
      </c>
      <c r="M10" s="122">
        <v>10</v>
      </c>
      <c r="N10" s="122">
        <v>2.6179938779914944</v>
      </c>
      <c r="O10" s="122" t="s">
        <v>325</v>
      </c>
      <c r="P10" s="122" t="s">
        <v>326</v>
      </c>
      <c r="Q10" s="122" t="s">
        <v>327</v>
      </c>
      <c r="R10" s="122" t="s">
        <v>328</v>
      </c>
      <c r="S10" s="122" t="s">
        <v>305</v>
      </c>
      <c r="T10" s="55">
        <v>2.25</v>
      </c>
      <c r="U10" s="55"/>
      <c r="V10" s="132"/>
    </row>
    <row r="11" spans="1:40">
      <c r="A11" s="267"/>
      <c r="B11" s="268"/>
      <c r="C11" s="55"/>
      <c r="D11" s="55"/>
      <c r="E11" s="245"/>
      <c r="F11" s="55"/>
      <c r="G11" s="124">
        <f>ProjectStrTable[[#This Row],[A.B. QTY PER STR]]*ProjectStrTable[[#This Row],[ITEM
 QTY]]</f>
        <v>0</v>
      </c>
      <c r="H11" s="55"/>
      <c r="I11" s="130">
        <f>ProjectStrTable[[#This Row],[FTG PER STR]]*ProjectStrTable[[#This Row],[ITEM
 QTY]]</f>
        <v>0</v>
      </c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244"/>
      <c r="U11" s="123"/>
      <c r="V11" s="122"/>
    </row>
    <row r="12" spans="1:40">
      <c r="A12" s="267"/>
      <c r="B12" s="55"/>
      <c r="C12" s="55"/>
      <c r="D12" s="55"/>
      <c r="E12" s="55"/>
      <c r="F12" s="55"/>
      <c r="G12" s="124">
        <f>ProjectStrTable[[#This Row],[A.B. QTY PER STR]]*ProjectStrTable[[#This Row],[ITEM
 QTY]]</f>
        <v>0</v>
      </c>
      <c r="H12" s="55"/>
      <c r="I12" s="130">
        <f>ProjectStrTable[[#This Row],[FTG PER STR]]*ProjectStrTable[[#This Row],[ITEM
 QTY]]</f>
        <v>0</v>
      </c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244"/>
      <c r="U12" s="123"/>
      <c r="V12" s="122"/>
    </row>
    <row r="13" spans="1:40">
      <c r="A13" s="267"/>
      <c r="B13" s="55"/>
      <c r="C13" s="55"/>
      <c r="D13" s="55"/>
      <c r="E13" s="55"/>
      <c r="F13" s="55"/>
      <c r="G13" s="124">
        <f>ProjectStrTable[[#This Row],[A.B. QTY PER STR]]*ProjectStrTable[[#This Row],[ITEM
 QTY]]</f>
        <v>0</v>
      </c>
      <c r="H13" s="55"/>
      <c r="I13" s="130">
        <f>ProjectStrTable[[#This Row],[FTG PER STR]]*ProjectStrTable[[#This Row],[ITEM
 QTY]]</f>
        <v>0</v>
      </c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244"/>
      <c r="U13" s="123"/>
      <c r="V13" s="122"/>
    </row>
    <row r="14" spans="1:40">
      <c r="A14" s="269"/>
      <c r="B14" s="55"/>
      <c r="C14" s="55"/>
      <c r="D14" s="55"/>
      <c r="E14" s="55"/>
      <c r="F14" s="55"/>
      <c r="G14" s="124">
        <f>ProjectStrTable[[#This Row],[A.B. QTY PER STR]]*ProjectStrTable[[#This Row],[ITEM
 QTY]]</f>
        <v>0</v>
      </c>
      <c r="H14" s="55"/>
      <c r="I14" s="130">
        <f>ProjectStrTable[[#This Row],[FTG PER STR]]*ProjectStrTable[[#This Row],[ITEM
 QTY]]</f>
        <v>0</v>
      </c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244"/>
      <c r="U14" s="123"/>
      <c r="V14" s="122"/>
    </row>
    <row r="15" spans="1:40">
      <c r="A15" s="269"/>
      <c r="B15" s="55"/>
      <c r="C15" s="55"/>
      <c r="D15" s="55"/>
      <c r="E15" s="55"/>
      <c r="F15" s="55"/>
      <c r="G15" s="124">
        <f>ProjectStrTable[[#This Row],[A.B. QTY PER STR]]*ProjectStrTable[[#This Row],[ITEM
 QTY]]</f>
        <v>0</v>
      </c>
      <c r="H15" s="55"/>
      <c r="I15" s="130">
        <f>ProjectStrTable[[#This Row],[FTG PER STR]]*ProjectStrTable[[#This Row],[ITEM
 QTY]]</f>
        <v>0</v>
      </c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244"/>
      <c r="U15" s="123"/>
      <c r="V15" s="122"/>
    </row>
    <row r="16" spans="1:40">
      <c r="A16" s="269"/>
      <c r="B16" s="55"/>
      <c r="C16" s="55"/>
      <c r="D16" s="55"/>
      <c r="E16" s="55"/>
      <c r="F16" s="55"/>
      <c r="G16" s="124">
        <f>ProjectStrTable[[#This Row],[A.B. QTY PER STR]]*ProjectStrTable[[#This Row],[ITEM
 QTY]]</f>
        <v>0</v>
      </c>
      <c r="H16" s="55"/>
      <c r="I16" s="130">
        <f>ProjectStrTable[[#This Row],[FTG PER STR]]*ProjectStrTable[[#This Row],[ITEM
 QTY]]</f>
        <v>0</v>
      </c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244"/>
      <c r="U16" s="123" t="str">
        <f>IFERROR(INDEX(ProjectStrTable[TOTAL FTGS],MATCH(ProjectFndnTable[[#This Row],[FTG MARK]],ProjectStrTable[FTG MARK],0)),"")</f>
        <v/>
      </c>
      <c r="V16" s="122" t="str">
        <f>IFERROR(ProjectFndnTable[[#This Row],[VOLUME (YD3)]]*ProjectFndnTable[[#This Row],[FTG COUNT]],"")</f>
        <v/>
      </c>
    </row>
    <row r="17" spans="1:40" ht="15.75" thickBot="1">
      <c r="A17" s="269"/>
      <c r="B17" s="55"/>
      <c r="C17" s="55"/>
      <c r="D17" s="55"/>
      <c r="E17" s="55"/>
      <c r="F17" s="55"/>
      <c r="G17" s="124">
        <f>ProjectStrTable[[#This Row],[A.B. QTY PER STR]]*ProjectStrTable[[#This Row],[ITEM
 QTY]]</f>
        <v>0</v>
      </c>
      <c r="H17" s="55"/>
      <c r="I17" s="130">
        <f>ProjectStrTable[[#This Row],[FTG PER STR]]*ProjectStrTable[[#This Row],[ITEM
 QTY]]</f>
        <v>0</v>
      </c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3" t="str">
        <f>IFERROR(INDEX(ProjectStrTable[TOTAL FTGS],MATCH(ProjectFndnTable[[#This Row],[FTG MARK]],ProjectStrTable[FTG MARK],0)),"")</f>
        <v/>
      </c>
      <c r="V17" s="122" t="str">
        <f>IFERROR(ProjectFndnTable[[#This Row],[VOLUME (YD3)]]*ProjectFndnTable[[#This Row],[FTG COUNT]],"")</f>
        <v/>
      </c>
    </row>
    <row r="18" spans="1:40">
      <c r="A18" s="269"/>
      <c r="B18" s="55"/>
      <c r="C18" s="55"/>
      <c r="D18" s="55"/>
      <c r="E18" s="55"/>
      <c r="F18" s="55"/>
      <c r="G18" s="124">
        <f>ProjectStrTable[[#This Row],[A.B. QTY PER STR]]*ProjectStrTable[[#This Row],[ITEM
 QTY]]</f>
        <v>0</v>
      </c>
      <c r="H18" s="55"/>
      <c r="I18" s="130">
        <f>ProjectStrTable[[#This Row],[FTG PER STR]]*ProjectStrTable[[#This Row],[ITEM
 QTY]]</f>
        <v>0</v>
      </c>
      <c r="K18" s="315"/>
      <c r="L18" s="197"/>
      <c r="M18" s="197"/>
      <c r="N18" s="316"/>
      <c r="O18" s="197"/>
      <c r="P18" s="197"/>
      <c r="Q18" s="197"/>
      <c r="R18" s="197"/>
      <c r="S18" s="197"/>
      <c r="T18" s="197"/>
      <c r="U18" s="9"/>
      <c r="V18" s="10"/>
    </row>
    <row r="19" spans="1:40">
      <c r="A19" s="269"/>
      <c r="B19" s="55"/>
      <c r="C19" s="55"/>
      <c r="D19" s="55"/>
      <c r="E19" s="55"/>
      <c r="F19" s="55"/>
      <c r="G19" s="124">
        <f>ProjectStrTable[[#This Row],[A.B. QTY PER STR]]*ProjectStrTable[[#This Row],[ITEM
 QTY]]</f>
        <v>0</v>
      </c>
      <c r="H19" s="55"/>
      <c r="I19" s="130">
        <f>ProjectStrTable[[#This Row],[FTG PER STR]]*ProjectStrTable[[#This Row],[ITEM
 QTY]]</f>
        <v>0</v>
      </c>
      <c r="K19" s="124"/>
      <c r="L19" s="55"/>
      <c r="M19" s="55"/>
      <c r="N19" s="123"/>
      <c r="O19" s="55"/>
      <c r="P19" s="55"/>
      <c r="Q19" s="55"/>
      <c r="R19" s="55"/>
      <c r="S19" s="55"/>
      <c r="V19" s="12"/>
    </row>
    <row r="20" spans="1:40" ht="15.75" thickBot="1">
      <c r="A20" s="269"/>
      <c r="B20" s="55"/>
      <c r="C20" s="55"/>
      <c r="D20" s="55"/>
      <c r="E20" s="55"/>
      <c r="F20" s="55"/>
      <c r="G20" s="125">
        <f>ProjectStrTable[[#This Row],[A.B. QTY PER STR]]*ProjectStrTable[[#This Row],[ITEM
 QTY]]</f>
        <v>0</v>
      </c>
      <c r="H20" s="131"/>
      <c r="I20" s="126">
        <f>ProjectStrTable[[#This Row],[FTG PER STR]]*ProjectStrTable[[#This Row],[ITEM
 QTY]]</f>
        <v>0</v>
      </c>
      <c r="K20" s="124"/>
      <c r="L20" s="55"/>
      <c r="M20" s="55"/>
      <c r="N20" s="123"/>
      <c r="O20" s="55"/>
      <c r="P20" s="55"/>
      <c r="Q20" s="55"/>
      <c r="R20" s="55"/>
      <c r="S20" s="55"/>
      <c r="V20" s="12"/>
    </row>
    <row r="21" spans="1:40">
      <c r="A21" s="334"/>
      <c r="B21" s="335"/>
      <c r="C21" s="335"/>
      <c r="D21" s="335"/>
      <c r="E21" s="335"/>
      <c r="F21" s="340"/>
      <c r="G21" s="197"/>
      <c r="H21" s="197"/>
      <c r="I21" s="328"/>
      <c r="K21" s="124"/>
      <c r="L21" s="55"/>
      <c r="M21" s="55"/>
      <c r="N21" s="123"/>
      <c r="O21" s="55"/>
      <c r="P21" s="55"/>
      <c r="Q21" s="55"/>
      <c r="R21" s="55"/>
      <c r="S21" s="55"/>
      <c r="V21" s="12"/>
    </row>
    <row r="22" spans="1:40">
      <c r="A22" s="336"/>
      <c r="B22" s="337"/>
      <c r="C22" s="337"/>
      <c r="D22" s="337"/>
      <c r="E22" s="337"/>
      <c r="F22" s="341"/>
      <c r="G22" s="55"/>
      <c r="H22" s="55"/>
      <c r="I22" s="329"/>
      <c r="K22" s="124"/>
      <c r="L22" s="55"/>
      <c r="M22" s="55"/>
      <c r="N22" s="123"/>
      <c r="O22" s="55"/>
      <c r="P22" s="55"/>
      <c r="Q22" s="55"/>
      <c r="R22" s="55"/>
      <c r="S22" s="55"/>
      <c r="V22" s="12"/>
    </row>
    <row r="23" spans="1:40" ht="15.75" thickBot="1">
      <c r="A23" s="338"/>
      <c r="B23" s="339"/>
      <c r="C23" s="339"/>
      <c r="D23" s="339"/>
      <c r="E23" s="339"/>
      <c r="F23" s="342"/>
      <c r="G23" s="55"/>
      <c r="H23" s="55"/>
      <c r="I23" s="329"/>
      <c r="K23" s="124"/>
      <c r="L23" s="55"/>
      <c r="M23" s="55"/>
      <c r="N23" s="123"/>
      <c r="O23" s="55"/>
      <c r="P23" s="55"/>
      <c r="Q23" s="55"/>
      <c r="R23" s="55"/>
      <c r="S23" s="55"/>
      <c r="V23" s="12"/>
    </row>
    <row r="24" spans="1:40" ht="23.25">
      <c r="A24" s="362" t="s">
        <v>295</v>
      </c>
      <c r="B24" s="363"/>
      <c r="C24" s="363"/>
      <c r="D24" s="363"/>
      <c r="E24" s="363"/>
      <c r="F24" s="363"/>
      <c r="G24" s="124"/>
      <c r="H24" s="55"/>
      <c r="I24" s="329"/>
      <c r="K24" s="124"/>
      <c r="L24" s="55"/>
      <c r="M24" s="55"/>
      <c r="N24" s="123"/>
      <c r="O24" s="55"/>
      <c r="P24" s="55"/>
      <c r="Q24" s="55"/>
      <c r="R24" s="55"/>
      <c r="S24" s="55"/>
      <c r="V24" s="12"/>
    </row>
    <row r="25" spans="1:40" s="60" customFormat="1" ht="30.75" thickBot="1">
      <c r="A25" s="306" t="s">
        <v>63</v>
      </c>
      <c r="B25" s="307" t="s">
        <v>166</v>
      </c>
      <c r="C25" s="307" t="s">
        <v>297</v>
      </c>
      <c r="D25" s="307" t="s">
        <v>298</v>
      </c>
      <c r="E25" s="308" t="s">
        <v>382</v>
      </c>
      <c r="F25" s="324" t="s">
        <v>352</v>
      </c>
      <c r="G25" s="140"/>
      <c r="I25" s="330"/>
      <c r="K25" s="133"/>
      <c r="L25" s="54"/>
      <c r="M25" s="54"/>
      <c r="N25" s="292"/>
      <c r="O25" s="54"/>
      <c r="P25" s="54"/>
      <c r="Q25" s="54"/>
      <c r="R25" s="54"/>
      <c r="S25" s="54"/>
      <c r="T25" s="54"/>
      <c r="V25" s="135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</row>
    <row r="26" spans="1:40">
      <c r="A26" s="309" t="s">
        <v>296</v>
      </c>
      <c r="B26" s="310">
        <v>1</v>
      </c>
      <c r="C26" s="310" t="s">
        <v>47</v>
      </c>
      <c r="D26" s="310" t="s">
        <v>227</v>
      </c>
      <c r="E26" s="310" t="s">
        <v>381</v>
      </c>
      <c r="F26" s="325">
        <v>16</v>
      </c>
      <c r="G26" s="11"/>
      <c r="I26" s="331"/>
      <c r="K26" s="124"/>
      <c r="L26" s="55"/>
      <c r="M26" s="55"/>
      <c r="N26" s="123"/>
      <c r="O26" s="55"/>
      <c r="P26" s="55"/>
      <c r="Q26" s="55"/>
      <c r="R26" s="55"/>
      <c r="S26" s="55"/>
      <c r="V26" s="12"/>
    </row>
    <row r="27" spans="1:40">
      <c r="A27" s="311" t="s">
        <v>299</v>
      </c>
      <c r="B27" s="312">
        <v>2</v>
      </c>
      <c r="C27" s="312" t="s">
        <v>53</v>
      </c>
      <c r="D27" s="312" t="s">
        <v>181</v>
      </c>
      <c r="E27" s="312" t="s">
        <v>384</v>
      </c>
      <c r="F27" s="326">
        <v>8</v>
      </c>
      <c r="G27" s="11"/>
      <c r="I27" s="331"/>
      <c r="K27" s="124"/>
      <c r="L27" s="55"/>
      <c r="M27" s="55"/>
      <c r="N27" s="123"/>
      <c r="O27" s="55"/>
      <c r="P27" s="55"/>
      <c r="Q27" s="55"/>
      <c r="R27" s="55"/>
      <c r="S27" s="55"/>
      <c r="V27" s="12"/>
    </row>
    <row r="28" spans="1:40">
      <c r="A28" s="311" t="s">
        <v>331</v>
      </c>
      <c r="B28" s="312">
        <v>1</v>
      </c>
      <c r="C28" s="312" t="s">
        <v>332</v>
      </c>
      <c r="D28" s="312" t="s">
        <v>227</v>
      </c>
      <c r="E28" s="312" t="s">
        <v>384</v>
      </c>
      <c r="F28" s="326">
        <v>48</v>
      </c>
      <c r="G28" s="11"/>
      <c r="I28" s="331"/>
      <c r="K28" s="124"/>
      <c r="L28" s="55"/>
      <c r="M28" s="55"/>
      <c r="N28" s="123"/>
      <c r="O28" s="55"/>
      <c r="P28" s="55"/>
      <c r="Q28" s="55"/>
      <c r="R28" s="55"/>
      <c r="S28" s="55"/>
      <c r="V28" s="12"/>
    </row>
    <row r="29" spans="1:40" ht="15.75" thickBot="1">
      <c r="A29" s="313" t="s">
        <v>333</v>
      </c>
      <c r="B29" s="314">
        <v>1</v>
      </c>
      <c r="C29" s="314" t="s">
        <v>334</v>
      </c>
      <c r="D29" s="314" t="s">
        <v>227</v>
      </c>
      <c r="E29" s="314" t="s">
        <v>383</v>
      </c>
      <c r="F29" s="327">
        <v>32</v>
      </c>
      <c r="G29" s="11"/>
      <c r="I29" s="331"/>
      <c r="K29" s="124"/>
      <c r="L29" s="55"/>
      <c r="M29" s="55"/>
      <c r="N29" s="123"/>
      <c r="O29" s="55"/>
      <c r="P29" s="55"/>
      <c r="Q29" s="55"/>
      <c r="R29" s="55"/>
      <c r="S29" s="55"/>
      <c r="V29" s="12"/>
    </row>
    <row r="30" spans="1:40">
      <c r="A30" s="8"/>
      <c r="B30" s="9"/>
      <c r="C30" s="9"/>
      <c r="D30" s="9"/>
      <c r="E30" s="9"/>
      <c r="F30" s="9"/>
      <c r="I30" s="331"/>
      <c r="K30" s="124"/>
      <c r="L30" s="55"/>
      <c r="M30" s="55"/>
      <c r="N30" s="123"/>
      <c r="O30" s="55"/>
      <c r="P30" s="55"/>
      <c r="Q30" s="55"/>
      <c r="R30" s="55"/>
      <c r="S30" s="55"/>
      <c r="V30" s="12"/>
    </row>
    <row r="31" spans="1:40" ht="15.75" thickBot="1">
      <c r="A31" s="13"/>
      <c r="B31" s="14"/>
      <c r="C31" s="14"/>
      <c r="D31" s="14"/>
      <c r="E31" s="14"/>
      <c r="F31" s="14"/>
      <c r="G31" s="14"/>
      <c r="H31" s="14"/>
      <c r="I31" s="332"/>
      <c r="K31" s="124"/>
      <c r="L31" s="55"/>
      <c r="M31" s="55"/>
      <c r="N31" s="123"/>
      <c r="O31" s="55"/>
      <c r="P31" s="55"/>
      <c r="Q31" s="55"/>
      <c r="R31" s="55"/>
      <c r="S31" s="55"/>
      <c r="V31" s="12"/>
    </row>
    <row r="32" spans="1:40" ht="15.75" thickBot="1">
      <c r="K32" s="124"/>
      <c r="L32" s="55"/>
      <c r="M32" s="55"/>
      <c r="N32" s="123"/>
      <c r="O32" s="55"/>
      <c r="P32" s="55"/>
      <c r="Q32" s="55"/>
      <c r="R32" s="55"/>
      <c r="S32" s="55"/>
      <c r="V32" s="12"/>
    </row>
    <row r="33" spans="1:40" ht="24" thickBot="1">
      <c r="A33" s="359" t="s">
        <v>408</v>
      </c>
      <c r="B33" s="360"/>
      <c r="C33" s="360"/>
      <c r="D33" s="360"/>
      <c r="E33" s="360"/>
      <c r="F33" s="361"/>
      <c r="K33" s="124"/>
      <c r="L33" s="55"/>
      <c r="M33" s="55"/>
      <c r="N33" s="123"/>
      <c r="O33" s="55"/>
      <c r="P33" s="55"/>
      <c r="Q33" s="55"/>
      <c r="R33" s="55"/>
      <c r="S33" s="55"/>
      <c r="V33" s="12"/>
    </row>
    <row r="34" spans="1:40">
      <c r="K34" s="124"/>
      <c r="L34" s="55"/>
      <c r="M34" s="55"/>
      <c r="N34" s="123"/>
      <c r="O34" s="55"/>
      <c r="P34" s="55"/>
      <c r="Q34" s="55"/>
      <c r="R34" s="55"/>
      <c r="S34" s="55"/>
      <c r="V34" s="12"/>
    </row>
    <row r="35" spans="1:40">
      <c r="B35" t="s">
        <v>297</v>
      </c>
      <c r="C35" t="s">
        <v>415</v>
      </c>
      <c r="D35" t="s">
        <v>409</v>
      </c>
      <c r="E35" t="s">
        <v>410</v>
      </c>
      <c r="K35" s="124"/>
      <c r="L35" s="55"/>
      <c r="M35" s="55"/>
      <c r="N35" s="123"/>
      <c r="O35" s="55"/>
      <c r="P35" s="55"/>
      <c r="Q35" s="55"/>
      <c r="R35" s="55"/>
      <c r="S35" s="55"/>
      <c r="V35" s="12"/>
    </row>
    <row r="36" spans="1:40">
      <c r="B36" s="346" t="s">
        <v>47</v>
      </c>
      <c r="C36" s="346">
        <v>21</v>
      </c>
      <c r="D36" s="346" t="s">
        <v>411</v>
      </c>
      <c r="E36" s="346" t="s">
        <v>412</v>
      </c>
      <c r="K36" s="124"/>
      <c r="L36" s="55"/>
      <c r="M36" s="55"/>
      <c r="N36" s="123"/>
      <c r="O36" s="55"/>
      <c r="P36" s="55"/>
      <c r="Q36" s="55"/>
      <c r="R36" s="55"/>
      <c r="S36" s="55"/>
      <c r="V36" s="12"/>
    </row>
    <row r="37" spans="1:40">
      <c r="B37" s="346" t="s">
        <v>48</v>
      </c>
      <c r="C37" s="346">
        <v>20</v>
      </c>
      <c r="D37" s="346" t="s">
        <v>413</v>
      </c>
      <c r="E37" s="346" t="s">
        <v>412</v>
      </c>
      <c r="K37" s="124"/>
      <c r="L37" s="55"/>
      <c r="M37" s="55"/>
      <c r="N37" s="123"/>
      <c r="O37" s="55"/>
      <c r="P37" s="55"/>
      <c r="Q37" s="55"/>
      <c r="R37" s="55"/>
      <c r="S37" s="55"/>
      <c r="V37" s="12"/>
    </row>
    <row r="38" spans="1:40">
      <c r="B38" s="346" t="s">
        <v>49</v>
      </c>
      <c r="C38" s="346">
        <v>8</v>
      </c>
      <c r="D38" s="346" t="s">
        <v>414</v>
      </c>
      <c r="E38" s="346" t="s">
        <v>412</v>
      </c>
      <c r="K38" s="124"/>
      <c r="L38" s="55"/>
      <c r="M38" s="55"/>
      <c r="N38" s="123"/>
      <c r="O38" s="55"/>
      <c r="P38" s="55"/>
      <c r="Q38" s="55"/>
      <c r="R38" s="55"/>
      <c r="S38" s="55"/>
      <c r="V38" s="12"/>
    </row>
    <row r="39" spans="1:40">
      <c r="K39" s="124"/>
      <c r="L39" s="55"/>
      <c r="M39" s="55"/>
      <c r="N39" s="123"/>
      <c r="O39" s="55"/>
      <c r="P39" s="55"/>
      <c r="Q39" s="55"/>
      <c r="R39" s="55"/>
      <c r="S39" s="55"/>
      <c r="V39" s="12"/>
    </row>
    <row r="40" spans="1:40">
      <c r="K40" s="124"/>
      <c r="L40" s="55"/>
      <c r="M40" s="55"/>
      <c r="N40" s="123"/>
      <c r="O40" s="55"/>
      <c r="P40" s="55"/>
      <c r="Q40" s="55"/>
      <c r="R40" s="55"/>
      <c r="S40" s="55"/>
      <c r="V40" s="12"/>
    </row>
    <row r="41" spans="1:40" ht="15.75" thickBot="1">
      <c r="K41" s="124"/>
      <c r="L41" s="55"/>
      <c r="M41" s="55"/>
      <c r="N41" s="123"/>
      <c r="O41" s="55"/>
      <c r="P41" s="55"/>
      <c r="Q41" s="55"/>
      <c r="R41" s="55"/>
      <c r="S41" s="55"/>
      <c r="V41" s="12"/>
    </row>
    <row r="42" spans="1:40" ht="24" thickBot="1">
      <c r="A42" s="359" t="s">
        <v>399</v>
      </c>
      <c r="B42" s="360"/>
      <c r="C42" s="360"/>
      <c r="D42" s="360"/>
      <c r="E42" s="360"/>
      <c r="F42" s="361"/>
      <c r="K42" s="124"/>
      <c r="L42" s="55"/>
      <c r="M42" s="55"/>
      <c r="N42" s="123"/>
      <c r="O42" s="55"/>
      <c r="P42" s="55"/>
      <c r="Q42" s="55"/>
      <c r="R42" s="55"/>
      <c r="S42" s="55"/>
      <c r="V42" s="12"/>
    </row>
    <row r="43" spans="1:40" ht="24" thickBot="1">
      <c r="A43" s="359"/>
      <c r="B43" s="360"/>
      <c r="C43" s="360"/>
      <c r="D43" s="360"/>
      <c r="E43" s="361"/>
      <c r="F43" s="286"/>
      <c r="G43" s="59"/>
      <c r="K43" s="124"/>
      <c r="L43" s="55"/>
      <c r="M43" s="55"/>
      <c r="N43" s="123"/>
      <c r="O43" s="55"/>
      <c r="P43" s="55"/>
      <c r="Q43" s="55"/>
      <c r="R43" s="55"/>
      <c r="S43" s="55"/>
      <c r="V43" s="12"/>
    </row>
    <row r="44" spans="1:40" s="3" customFormat="1" ht="49.5" customHeight="1">
      <c r="A44" s="343" t="s">
        <v>40</v>
      </c>
      <c r="B44" s="343" t="s">
        <v>377</v>
      </c>
      <c r="C44" s="343" t="s">
        <v>387</v>
      </c>
      <c r="D44" s="343" t="s">
        <v>388</v>
      </c>
      <c r="E44" s="343" t="s">
        <v>389</v>
      </c>
      <c r="F44" s="343" t="s">
        <v>402</v>
      </c>
      <c r="G44" s="343" t="s">
        <v>401</v>
      </c>
      <c r="H44" s="343" t="s">
        <v>405</v>
      </c>
      <c r="I44" s="344" t="s">
        <v>406</v>
      </c>
      <c r="J44" s="343" t="s">
        <v>422</v>
      </c>
      <c r="K44" s="347" t="s">
        <v>423</v>
      </c>
      <c r="L44" s="6"/>
      <c r="M44" s="6"/>
      <c r="N44" s="345"/>
      <c r="O44" s="6"/>
      <c r="P44" s="6"/>
      <c r="Q44" s="6"/>
      <c r="R44" s="6"/>
      <c r="S44" s="6"/>
      <c r="T44" s="6"/>
      <c r="V44" s="14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</row>
    <row r="45" spans="1:40">
      <c r="A45" s="59" t="s">
        <v>47</v>
      </c>
      <c r="B45" s="59" t="s">
        <v>362</v>
      </c>
      <c r="C45" s="59">
        <v>2.5</v>
      </c>
      <c r="D45" s="59"/>
      <c r="E45" s="59"/>
      <c r="F45" s="59">
        <v>0.35640000000000005</v>
      </c>
      <c r="G45" s="55">
        <v>9</v>
      </c>
      <c r="H45">
        <v>12.633436280836662</v>
      </c>
      <c r="I45" s="55">
        <v>4.146947419285774</v>
      </c>
      <c r="K45" s="124"/>
      <c r="L45" s="55"/>
      <c r="M45" s="55"/>
      <c r="N45" s="123"/>
      <c r="O45" s="55"/>
      <c r="P45" s="55"/>
      <c r="Q45" s="55"/>
      <c r="R45" s="55"/>
      <c r="S45" s="55"/>
      <c r="V45" s="12"/>
    </row>
    <row r="46" spans="1:40">
      <c r="A46" s="59" t="s">
        <v>48</v>
      </c>
      <c r="B46" s="59" t="s">
        <v>378</v>
      </c>
      <c r="C46" s="59">
        <v>3</v>
      </c>
      <c r="D46" s="59"/>
      <c r="E46" s="59"/>
      <c r="F46" s="59"/>
      <c r="G46" s="55"/>
      <c r="I46" s="55"/>
      <c r="J46" t="s">
        <v>377</v>
      </c>
      <c r="K46" s="124" t="s">
        <v>63</v>
      </c>
      <c r="N46" s="317"/>
      <c r="V46" s="12"/>
    </row>
    <row r="47" spans="1:40">
      <c r="A47" s="59" t="s">
        <v>49</v>
      </c>
      <c r="B47" s="59" t="s">
        <v>390</v>
      </c>
      <c r="C47" s="59">
        <v>3</v>
      </c>
      <c r="D47" s="59"/>
      <c r="E47" s="59"/>
      <c r="F47" s="59"/>
      <c r="G47" s="55"/>
      <c r="I47" s="55"/>
      <c r="J47" t="s">
        <v>362</v>
      </c>
      <c r="K47" s="124" t="s">
        <v>411</v>
      </c>
      <c r="N47" s="317"/>
      <c r="V47" s="12"/>
    </row>
    <row r="48" spans="1:40">
      <c r="A48" s="59"/>
      <c r="B48" s="59"/>
      <c r="C48" s="59"/>
      <c r="D48" s="59"/>
      <c r="E48" s="59"/>
      <c r="F48" s="59"/>
      <c r="G48" s="55"/>
      <c r="I48" s="55"/>
      <c r="J48" t="s">
        <v>378</v>
      </c>
      <c r="K48" s="11" t="s">
        <v>413</v>
      </c>
      <c r="N48" s="317"/>
      <c r="V48" s="12"/>
    </row>
    <row r="49" spans="1:22">
      <c r="A49" s="59"/>
      <c r="B49" s="59"/>
      <c r="C49" s="59"/>
      <c r="D49" s="59"/>
      <c r="E49" s="59"/>
      <c r="F49" s="59"/>
      <c r="G49" s="55"/>
      <c r="J49" t="s">
        <v>390</v>
      </c>
      <c r="K49" s="11" t="s">
        <v>414</v>
      </c>
      <c r="V49" s="12"/>
    </row>
    <row r="50" spans="1:22">
      <c r="G50" s="55"/>
      <c r="K50" s="11"/>
      <c r="V50" s="12"/>
    </row>
    <row r="51" spans="1:22">
      <c r="K51" s="11"/>
      <c r="V51" s="12"/>
    </row>
    <row r="52" spans="1:22">
      <c r="K52" s="11"/>
      <c r="V52" s="12"/>
    </row>
    <row r="53" spans="1:22" ht="6" customHeight="1" thickBot="1"/>
    <row r="54" spans="1:22" s="54" customFormat="1" ht="24" thickBot="1">
      <c r="A54" s="359" t="s">
        <v>400</v>
      </c>
      <c r="B54" s="360"/>
      <c r="C54" s="360"/>
      <c r="D54" s="360"/>
      <c r="E54" s="360"/>
      <c r="F54" s="361"/>
      <c r="I54" s="287"/>
      <c r="J54" s="322"/>
      <c r="K54" s="323"/>
    </row>
    <row r="55" spans="1:22">
      <c r="J55" s="318" t="s">
        <v>362</v>
      </c>
      <c r="K55" s="320" t="s">
        <v>296</v>
      </c>
    </row>
    <row r="56" spans="1:22" ht="45">
      <c r="A56" s="54" t="s">
        <v>63</v>
      </c>
      <c r="B56" s="59" t="s">
        <v>353</v>
      </c>
      <c r="C56" s="59" t="s">
        <v>349</v>
      </c>
      <c r="D56" s="59" t="s">
        <v>350</v>
      </c>
      <c r="E56" s="59" t="s">
        <v>348</v>
      </c>
      <c r="F56" s="59" t="s">
        <v>354</v>
      </c>
      <c r="J56" s="318" t="s">
        <v>378</v>
      </c>
      <c r="K56" s="320" t="s">
        <v>331</v>
      </c>
    </row>
    <row r="57" spans="1:22">
      <c r="A57" t="s">
        <v>296</v>
      </c>
      <c r="B57">
        <v>1</v>
      </c>
      <c r="C57" s="55">
        <v>2.1</v>
      </c>
      <c r="D57" s="55">
        <v>1.8</v>
      </c>
      <c r="E57" s="55">
        <v>7.1</v>
      </c>
      <c r="F57" s="55" t="str">
        <f>IFERROR(INDEX(ProjectStrTable[FTG MARK],MATCH(tblREACTIONS[[#This Row],[STRUCTURE/EQUIPMENT]],ProjectStrTable[STRUCTURE/EQUIPMENT],0)),"")</f>
        <v/>
      </c>
      <c r="J57" s="318" t="s">
        <v>390</v>
      </c>
      <c r="K57" s="320" t="s">
        <v>333</v>
      </c>
    </row>
    <row r="58" spans="1:22">
      <c r="A58" t="s">
        <v>331</v>
      </c>
      <c r="C58" s="55"/>
      <c r="D58" s="55"/>
      <c r="E58" s="55"/>
      <c r="F58" s="55"/>
      <c r="J58" s="318"/>
      <c r="K58" s="320" t="s">
        <v>351</v>
      </c>
    </row>
    <row r="59" spans="1:22" ht="15.75" thickBot="1">
      <c r="A59" t="s">
        <v>333</v>
      </c>
      <c r="C59" s="55"/>
      <c r="D59" s="55"/>
      <c r="E59" s="55"/>
      <c r="F59" s="55"/>
      <c r="J59" s="319"/>
      <c r="K59" s="321"/>
    </row>
    <row r="60" spans="1:22">
      <c r="A60" t="s">
        <v>351</v>
      </c>
      <c r="C60" s="55"/>
      <c r="D60" s="55"/>
      <c r="E60" s="55"/>
      <c r="F60" s="55"/>
    </row>
    <row r="61" spans="1:22">
      <c r="F61" s="55" t="str">
        <f>IFERROR(INDEX(ProjectStrTable[FTG MARK],MATCH(tblREACTIONS[[#This Row],[STRUCTURE/EQUIPMENT]],ProjectStrTable[STRUCTURE/EQUIPMENT],0)),"")</f>
        <v/>
      </c>
    </row>
    <row r="62" spans="1:22">
      <c r="F62" s="55" t="str">
        <f>IFERROR(INDEX(ProjectStrTable[FTG MARK],MATCH(tblREACTIONS[[#This Row],[STRUCTURE/EQUIPMENT]],ProjectStrTable[STRUCTURE/EQUIPMENT],0)),"")</f>
        <v/>
      </c>
    </row>
    <row r="63" spans="1:22">
      <c r="A63" t="str">
        <f>IF(A14="","",A14)</f>
        <v/>
      </c>
      <c r="F63" s="55" t="str">
        <f>IFERROR(INDEX(ProjectStrTable[FTG MARK],MATCH(tblREACTIONS[[#This Row],[STRUCTURE/EQUIPMENT]],ProjectStrTable[STRUCTURE/EQUIPMENT],0)),"")</f>
        <v/>
      </c>
    </row>
    <row r="67" spans="2:13">
      <c r="C67" t="s">
        <v>404</v>
      </c>
      <c r="L67" s="242" t="s">
        <v>291</v>
      </c>
      <c r="M67" t="s">
        <v>292</v>
      </c>
    </row>
    <row r="68" spans="2:13">
      <c r="L68" t="s">
        <v>290</v>
      </c>
      <c r="M68" t="s">
        <v>293</v>
      </c>
    </row>
    <row r="69" spans="2:13">
      <c r="L69" t="s">
        <v>287</v>
      </c>
      <c r="M69" t="s">
        <v>239</v>
      </c>
    </row>
    <row r="70" spans="2:13">
      <c r="L70" t="s">
        <v>288</v>
      </c>
      <c r="M70" t="s">
        <v>236</v>
      </c>
    </row>
    <row r="71" spans="2:13">
      <c r="L71" t="s">
        <v>289</v>
      </c>
      <c r="M71" t="s">
        <v>238</v>
      </c>
    </row>
    <row r="72" spans="2:13">
      <c r="B72" s="55"/>
      <c r="M72" t="s">
        <v>237</v>
      </c>
    </row>
    <row r="73" spans="2:13">
      <c r="B73" s="55"/>
    </row>
    <row r="74" spans="2:13">
      <c r="B74" s="55"/>
    </row>
    <row r="75" spans="2:13">
      <c r="B75" s="55"/>
    </row>
    <row r="76" spans="2:13">
      <c r="B76" s="55"/>
    </row>
    <row r="77" spans="2:13">
      <c r="B77" s="55"/>
    </row>
    <row r="78" spans="2:13">
      <c r="B78" s="55"/>
    </row>
    <row r="79" spans="2:13">
      <c r="B79" s="55"/>
    </row>
    <row r="80" spans="2:13">
      <c r="B80" s="55"/>
    </row>
    <row r="81" spans="2:2">
      <c r="B81" s="55"/>
    </row>
    <row r="82" spans="2:2">
      <c r="B82" s="55"/>
    </row>
    <row r="83" spans="2:2">
      <c r="B83" s="55"/>
    </row>
    <row r="84" spans="2:2">
      <c r="B84" s="55"/>
    </row>
    <row r="85" spans="2:2">
      <c r="B85" s="55"/>
    </row>
  </sheetData>
  <dataConsolidate link="1"/>
  <mergeCells count="7">
    <mergeCell ref="A54:F54"/>
    <mergeCell ref="K5:V5"/>
    <mergeCell ref="A5:I5"/>
    <mergeCell ref="A24:F24"/>
    <mergeCell ref="A43:E43"/>
    <mergeCell ref="A42:F42"/>
    <mergeCell ref="A33:F33"/>
  </mergeCells>
  <phoneticPr fontId="48" type="noConversion"/>
  <dataValidations xWindow="134" yWindow="861" count="3">
    <dataValidation type="list" allowBlank="1" showInputMessage="1" showErrorMessage="1" sqref="D26:D29 D8:D20" xr:uid="{78DF3E83-DE43-41FC-A111-6AA746831D90}">
      <formula1>"DP,PAD"</formula1>
    </dataValidation>
    <dataValidation type="list" allowBlank="1" showInputMessage="1" showErrorMessage="1" errorTitle="Invalid Boring" error="Please select a boring from the list." sqref="B45:B49" xr:uid="{3F084697-FFEC-4BEE-BEC6-F6E87AE3DFA6}">
      <formula1>BoringNumbers</formula1>
    </dataValidation>
    <dataValidation type="list" allowBlank="1" showInputMessage="1" showErrorMessage="1" errorTitle="Invalid Structure" error="The value entered does not match any structure in ProjectStrTable._x000d__x000a_Please select a valid entry from the dropdown." promptTitle="Structure/Equipment" prompt="Select from the list of structures defined in ProjectStrTable." sqref="A57:A63" xr:uid="{C57B1B1A-F71F-4507-8242-7FCF0C4923DC}">
      <formula1>StructureList</formula1>
    </dataValidation>
  </dataValidations>
  <hyperlinks>
    <hyperlink ref="J1" r:id="rId1" xr:uid="{F90216F0-44C8-4A37-BE1B-A3E012D080DD}"/>
  </hyperlinks>
  <pageMargins left="0.7" right="0.7" top="0.75" bottom="0.75" header="0.3" footer="0.3"/>
  <pageSetup paperSize="1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1">
              <controlPr defaultSize="0" print="0" autoFill="0" autoPict="0" macro="[0]!fndntable">
                <anchor moveWithCells="1" sizeWithCells="1">
                  <from>
                    <xdr:col>11</xdr:col>
                    <xdr:colOff>314325</xdr:colOff>
                    <xdr:row>1</xdr:row>
                    <xdr:rowOff>161925</xdr:rowOff>
                  </from>
                  <to>
                    <xdr:col>16</xdr:col>
                    <xdr:colOff>57150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SetupWS">
                <anchor moveWithCells="1" sizeWithCells="1">
                  <from>
                    <xdr:col>0</xdr:col>
                    <xdr:colOff>104775</xdr:colOff>
                    <xdr:row>20</xdr:row>
                    <xdr:rowOff>57150</xdr:rowOff>
                  </from>
                  <to>
                    <xdr:col>1</xdr:col>
                    <xdr:colOff>314325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7" name="Button 11">
              <controlPr defaultSize="0" print="0" autoFill="0" autoPict="0" macro="[0]!BuildBoringValidationList">
                <anchor moveWithCells="1" sizeWithCells="1">
                  <from>
                    <xdr:col>2</xdr:col>
                    <xdr:colOff>95250</xdr:colOff>
                    <xdr:row>20</xdr:row>
                    <xdr:rowOff>57150</xdr:rowOff>
                  </from>
                  <to>
                    <xdr:col>4</xdr:col>
                    <xdr:colOff>85725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8" name="Button 13">
              <controlPr defaultSize="0" print="0" autoFill="0" autoPict="0" macro="[0]!IterateAllFootings">
                <anchor moveWithCells="1" sizeWithCells="1">
                  <from>
                    <xdr:col>4</xdr:col>
                    <xdr:colOff>1133475</xdr:colOff>
                    <xdr:row>20</xdr:row>
                    <xdr:rowOff>57150</xdr:rowOff>
                  </from>
                  <to>
                    <xdr:col>5</xdr:col>
                    <xdr:colOff>1238250</xdr:colOff>
                    <xdr:row>22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5"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C38AF-C602-4A2A-B85F-CFC7429A7BB9}">
  <sheetPr codeName="Sheet25"/>
  <dimension ref="C1:N32"/>
  <sheetViews>
    <sheetView workbookViewId="0">
      <selection activeCell="C14" sqref="C14:D14"/>
    </sheetView>
  </sheetViews>
  <sheetFormatPr defaultRowHeight="15"/>
  <cols>
    <col min="3" max="3" width="13.42578125" bestFit="1" customWidth="1"/>
    <col min="5" max="5" width="17.7109375" style="55" bestFit="1" customWidth="1"/>
    <col min="6" max="6" width="10.5703125" customWidth="1"/>
    <col min="7" max="7" width="14.5703125" customWidth="1"/>
    <col min="8" max="8" width="11.42578125" customWidth="1"/>
    <col min="9" max="9" width="17.85546875" customWidth="1"/>
    <col min="10" max="10" width="20" style="55" customWidth="1"/>
    <col min="11" max="11" width="14.85546875" style="55" customWidth="1"/>
    <col min="12" max="12" width="16.140625" style="55" customWidth="1"/>
    <col min="13" max="13" width="12.42578125" style="55" customWidth="1"/>
  </cols>
  <sheetData>
    <row r="1" spans="3:14" ht="15.75" thickBot="1"/>
    <row r="2" spans="3:14" ht="19.5" thickBot="1">
      <c r="G2" s="274" t="s">
        <v>355</v>
      </c>
      <c r="H2" s="273">
        <v>0.66600000000000004</v>
      </c>
      <c r="I2" s="116"/>
      <c r="J2" s="274" t="s">
        <v>356</v>
      </c>
      <c r="K2" s="273">
        <v>0.66600000000000004</v>
      </c>
      <c r="L2" s="264"/>
      <c r="M2" s="275" t="s">
        <v>357</v>
      </c>
      <c r="N2" s="273">
        <v>1.5</v>
      </c>
    </row>
    <row r="3" spans="3:14" ht="15.75" thickBot="1"/>
    <row r="4" spans="3:14">
      <c r="C4" s="352" t="s">
        <v>358</v>
      </c>
      <c r="D4" s="353"/>
      <c r="E4" s="197"/>
      <c r="F4" s="9"/>
      <c r="G4" s="9"/>
      <c r="H4" s="9"/>
      <c r="I4" s="9"/>
      <c r="J4" s="197"/>
      <c r="K4" s="197"/>
      <c r="L4" s="197"/>
      <c r="M4" s="197"/>
      <c r="N4" s="10"/>
    </row>
    <row r="5" spans="3:14" s="16" customFormat="1">
      <c r="C5" s="276" t="s">
        <v>359</v>
      </c>
      <c r="D5">
        <v>1065.8</v>
      </c>
      <c r="E5" s="16" t="s">
        <v>360</v>
      </c>
      <c r="F5" s="264">
        <v>1065.3399999999999</v>
      </c>
      <c r="N5" s="277"/>
    </row>
    <row r="6" spans="3:14" s="16" customFormat="1" ht="15.75" thickBot="1">
      <c r="C6" s="278" t="s">
        <v>361</v>
      </c>
      <c r="D6" s="279" t="s">
        <v>362</v>
      </c>
      <c r="E6" s="279"/>
      <c r="F6" s="280"/>
      <c r="G6" s="279"/>
      <c r="H6" s="279"/>
      <c r="I6" s="281"/>
      <c r="J6" s="282"/>
      <c r="K6" s="279"/>
      <c r="L6" s="279"/>
      <c r="M6" s="279"/>
      <c r="N6" s="283"/>
    </row>
    <row r="7" spans="3:14" s="54" customFormat="1" ht="57.75" customHeight="1">
      <c r="C7" s="348" t="s">
        <v>363</v>
      </c>
      <c r="D7" s="348" t="s">
        <v>364</v>
      </c>
      <c r="E7" s="348" t="s">
        <v>365</v>
      </c>
      <c r="F7" s="348" t="s">
        <v>366</v>
      </c>
      <c r="G7" s="349" t="s">
        <v>367</v>
      </c>
      <c r="H7" s="349" t="s">
        <v>368</v>
      </c>
      <c r="I7" s="349" t="s">
        <v>369</v>
      </c>
      <c r="J7" s="349" t="s">
        <v>370</v>
      </c>
      <c r="K7" s="349" t="s">
        <v>371</v>
      </c>
      <c r="L7" s="350" t="s">
        <v>424</v>
      </c>
      <c r="M7" s="351" t="s">
        <v>425</v>
      </c>
      <c r="N7" s="351" t="s">
        <v>426</v>
      </c>
    </row>
    <row r="8" spans="3:14" s="60" customFormat="1">
      <c r="C8" s="54">
        <v>0</v>
      </c>
      <c r="D8" s="54">
        <v>2.5</v>
      </c>
      <c r="E8" s="54" t="s">
        <v>407</v>
      </c>
      <c r="F8" s="54">
        <v>125</v>
      </c>
      <c r="G8" s="54">
        <v>0.01</v>
      </c>
      <c r="H8" s="54">
        <f t="shared" ref="H8:H10" si="0">COHESION_PHI*G8</f>
        <v>6.6600000000000001E-3</v>
      </c>
      <c r="I8" s="54">
        <v>0</v>
      </c>
      <c r="J8" s="54">
        <v>0.01</v>
      </c>
      <c r="K8" s="54" t="s">
        <v>376</v>
      </c>
      <c r="L8" s="54">
        <f>PHI_K*J8</f>
        <v>6.6600000000000001E-3</v>
      </c>
      <c r="M8" s="54">
        <v>5.38</v>
      </c>
      <c r="N8" s="54">
        <f t="shared" ref="N8:N10" si="1">PHI_EPSILON*M8</f>
        <v>8.07</v>
      </c>
    </row>
    <row r="9" spans="3:14" s="60" customFormat="1">
      <c r="C9" s="54">
        <f>D8</f>
        <v>2.5</v>
      </c>
      <c r="D9" s="54">
        <v>15</v>
      </c>
      <c r="E9" s="54" t="s">
        <v>407</v>
      </c>
      <c r="F9" s="54">
        <v>125</v>
      </c>
      <c r="G9" s="54">
        <v>1000</v>
      </c>
      <c r="H9" s="54">
        <f t="shared" si="0"/>
        <v>666</v>
      </c>
      <c r="I9" s="54">
        <v>0</v>
      </c>
      <c r="J9" s="54">
        <v>220</v>
      </c>
      <c r="K9" s="54" t="s">
        <v>376</v>
      </c>
      <c r="L9" s="54">
        <f>PHI_K*J9</f>
        <v>146.52000000000001</v>
      </c>
      <c r="M9" s="54">
        <v>1.33</v>
      </c>
      <c r="N9" s="54">
        <f t="shared" si="1"/>
        <v>1.9950000000000001</v>
      </c>
    </row>
    <row r="10" spans="3:14" s="60" customFormat="1">
      <c r="C10" s="54">
        <f t="shared" ref="C10" si="2">D9</f>
        <v>15</v>
      </c>
      <c r="D10" s="54">
        <v>25</v>
      </c>
      <c r="E10" s="54" t="s">
        <v>375</v>
      </c>
      <c r="F10" s="54">
        <v>150</v>
      </c>
      <c r="G10" s="54">
        <v>1300</v>
      </c>
      <c r="H10" s="54">
        <f t="shared" si="0"/>
        <v>865.80000000000007</v>
      </c>
      <c r="I10" s="54">
        <v>0</v>
      </c>
      <c r="J10" s="54">
        <v>330</v>
      </c>
      <c r="K10" s="54" t="s">
        <v>376</v>
      </c>
      <c r="L10" s="54">
        <f>PHI_K*J10</f>
        <v>219.78</v>
      </c>
      <c r="M10" s="54">
        <v>0.86</v>
      </c>
      <c r="N10" s="54">
        <f t="shared" si="1"/>
        <v>1.29</v>
      </c>
    </row>
    <row r="11" spans="3:14" s="60" customFormat="1"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</row>
    <row r="12" spans="3:14"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</row>
    <row r="13" spans="3:14" ht="15.75" thickBot="1"/>
    <row r="14" spans="3:14">
      <c r="C14" s="354" t="s">
        <v>358</v>
      </c>
      <c r="D14" s="355"/>
      <c r="E14" s="197"/>
      <c r="F14" s="9"/>
      <c r="G14" s="9"/>
      <c r="H14" s="9"/>
      <c r="I14" s="9"/>
      <c r="J14" s="197"/>
      <c r="K14" s="197"/>
      <c r="L14" s="197"/>
      <c r="M14" s="197"/>
      <c r="N14" s="10"/>
    </row>
    <row r="15" spans="3:14">
      <c r="C15" s="11" t="s">
        <v>359</v>
      </c>
      <c r="D15">
        <v>1065.1289999999999</v>
      </c>
      <c r="N15" s="12"/>
    </row>
    <row r="16" spans="3:14" ht="15.75" thickBot="1">
      <c r="C16" s="278" t="s">
        <v>377</v>
      </c>
      <c r="D16" s="279" t="s">
        <v>378</v>
      </c>
      <c r="E16" s="131"/>
      <c r="F16" s="14"/>
      <c r="G16" s="14"/>
      <c r="H16" s="14"/>
      <c r="I16" s="14"/>
      <c r="J16" s="131"/>
      <c r="K16" s="131"/>
      <c r="L16" s="131"/>
      <c r="M16" s="131"/>
      <c r="N16" s="15"/>
    </row>
    <row r="17" spans="3:14" ht="51">
      <c r="C17" s="348" t="s">
        <v>363</v>
      </c>
      <c r="D17" s="348" t="s">
        <v>364</v>
      </c>
      <c r="E17" s="348" t="s">
        <v>365</v>
      </c>
      <c r="F17" s="348" t="s">
        <v>366</v>
      </c>
      <c r="G17" s="349" t="s">
        <v>367</v>
      </c>
      <c r="H17" s="349" t="s">
        <v>368</v>
      </c>
      <c r="I17" s="349" t="s">
        <v>369</v>
      </c>
      <c r="J17" s="349" t="s">
        <v>370</v>
      </c>
      <c r="K17" s="349" t="s">
        <v>371</v>
      </c>
      <c r="L17" s="350" t="s">
        <v>424</v>
      </c>
      <c r="M17" s="351" t="s">
        <v>425</v>
      </c>
      <c r="N17" s="351" t="s">
        <v>426</v>
      </c>
    </row>
    <row r="18" spans="3:14">
      <c r="C18" s="54">
        <v>0</v>
      </c>
      <c r="D18" s="54">
        <v>2.5</v>
      </c>
      <c r="E18" s="54" t="s">
        <v>375</v>
      </c>
      <c r="F18" s="54">
        <v>125</v>
      </c>
      <c r="G18" s="54">
        <v>0.01</v>
      </c>
      <c r="H18" s="54">
        <f t="shared" ref="H18:H21" si="3">COHESION_PHI*G18</f>
        <v>6.6600000000000001E-3</v>
      </c>
      <c r="I18" s="54">
        <v>0</v>
      </c>
      <c r="J18" s="54">
        <v>0.01</v>
      </c>
      <c r="K18" s="54" t="s">
        <v>376</v>
      </c>
      <c r="L18" s="54">
        <f>PHI_K*J18</f>
        <v>6.6600000000000001E-3</v>
      </c>
      <c r="M18" s="54">
        <v>1</v>
      </c>
      <c r="N18" s="54">
        <f t="shared" ref="N18:N21" si="4">PHI_EPSILON*M18</f>
        <v>1.5</v>
      </c>
    </row>
    <row r="19" spans="3:14">
      <c r="C19" s="54">
        <f>D18</f>
        <v>2.5</v>
      </c>
      <c r="D19" s="54">
        <v>3.5</v>
      </c>
      <c r="E19" s="54" t="s">
        <v>375</v>
      </c>
      <c r="F19" s="54">
        <v>125</v>
      </c>
      <c r="G19" s="54">
        <v>1000</v>
      </c>
      <c r="H19" s="54">
        <f t="shared" si="3"/>
        <v>666</v>
      </c>
      <c r="I19" s="54">
        <v>0</v>
      </c>
      <c r="J19" s="54">
        <v>220</v>
      </c>
      <c r="K19" s="54" t="s">
        <v>376</v>
      </c>
      <c r="L19" s="54">
        <f>PHI_K*J19</f>
        <v>146.52000000000001</v>
      </c>
      <c r="M19" s="54">
        <v>0.99</v>
      </c>
      <c r="N19" s="54">
        <f t="shared" si="4"/>
        <v>1.4849999999999999</v>
      </c>
    </row>
    <row r="20" spans="3:14">
      <c r="C20" s="54">
        <f t="shared" ref="C20:C22" si="5">D19</f>
        <v>3.5</v>
      </c>
      <c r="D20" s="54">
        <v>9.3000000000000007</v>
      </c>
      <c r="E20" s="54" t="s">
        <v>375</v>
      </c>
      <c r="F20" s="54">
        <v>125</v>
      </c>
      <c r="G20" s="54">
        <v>1500</v>
      </c>
      <c r="H20" s="54">
        <f t="shared" si="3"/>
        <v>999</v>
      </c>
      <c r="I20" s="54">
        <v>0</v>
      </c>
      <c r="J20" s="54">
        <v>430</v>
      </c>
      <c r="K20" s="54" t="s">
        <v>376</v>
      </c>
      <c r="L20" s="54">
        <f>PHI_K*J20</f>
        <v>286.38</v>
      </c>
      <c r="M20" s="54">
        <v>0.75</v>
      </c>
      <c r="N20" s="54">
        <f t="shared" si="4"/>
        <v>1.125</v>
      </c>
    </row>
    <row r="21" spans="3:14">
      <c r="C21" s="54">
        <f t="shared" si="5"/>
        <v>9.3000000000000007</v>
      </c>
      <c r="D21" s="54">
        <v>19.100000000000001</v>
      </c>
      <c r="E21" s="54" t="s">
        <v>375</v>
      </c>
      <c r="F21" s="54">
        <v>125</v>
      </c>
      <c r="G21" s="54">
        <v>2000</v>
      </c>
      <c r="H21" s="54">
        <f t="shared" si="3"/>
        <v>1332</v>
      </c>
      <c r="I21" s="54">
        <v>8</v>
      </c>
      <c r="J21" s="54">
        <v>600</v>
      </c>
      <c r="K21" s="54" t="s">
        <v>376</v>
      </c>
      <c r="L21" s="54">
        <f>PHI_K*J21</f>
        <v>399.6</v>
      </c>
      <c r="M21" s="54">
        <v>0.66</v>
      </c>
      <c r="N21" s="54">
        <f t="shared" si="4"/>
        <v>0.99</v>
      </c>
    </row>
    <row r="22" spans="3:14">
      <c r="C22" s="54">
        <f t="shared" si="5"/>
        <v>19.100000000000001</v>
      </c>
      <c r="D22" s="54">
        <v>30</v>
      </c>
      <c r="E22" s="54" t="s">
        <v>379</v>
      </c>
      <c r="F22" s="54">
        <v>155</v>
      </c>
      <c r="G22" s="54">
        <v>200000</v>
      </c>
      <c r="H22" s="54">
        <f>COHESION_PHI*G22</f>
        <v>133200</v>
      </c>
      <c r="I22" s="54">
        <v>15</v>
      </c>
      <c r="J22" s="54">
        <v>1000</v>
      </c>
      <c r="K22" s="54"/>
      <c r="L22" s="54">
        <f>PHI_K*J22</f>
        <v>666</v>
      </c>
      <c r="M22" s="54">
        <v>0.05</v>
      </c>
      <c r="N22" s="54">
        <f>PHI_EPSILON*M22</f>
        <v>7.5000000000000011E-2</v>
      </c>
    </row>
    <row r="23" spans="3:14" ht="15.75" thickBot="1"/>
    <row r="24" spans="3:14">
      <c r="C24" s="352" t="s">
        <v>358</v>
      </c>
      <c r="D24" s="353"/>
      <c r="E24" s="197"/>
      <c r="F24" s="9"/>
      <c r="G24" s="9"/>
      <c r="H24" s="9"/>
      <c r="I24" s="9"/>
      <c r="J24" s="197"/>
      <c r="K24" s="197"/>
      <c r="L24" s="197"/>
      <c r="M24" s="197"/>
      <c r="N24" s="10"/>
    </row>
    <row r="25" spans="3:14">
      <c r="C25" s="276" t="s">
        <v>359</v>
      </c>
      <c r="D25">
        <v>1059.058</v>
      </c>
      <c r="E25" s="55" t="s">
        <v>360</v>
      </c>
      <c r="F25">
        <v>1063.43</v>
      </c>
      <c r="N25" s="12"/>
    </row>
    <row r="26" spans="3:14" ht="15.75" thickBot="1">
      <c r="C26" s="278" t="s">
        <v>377</v>
      </c>
      <c r="D26" s="279" t="s">
        <v>390</v>
      </c>
      <c r="E26" s="131"/>
      <c r="F26" s="14"/>
      <c r="G26" s="14"/>
      <c r="H26" s="14"/>
      <c r="I26" s="14"/>
      <c r="J26" s="131"/>
      <c r="K26" s="131"/>
      <c r="L26" s="131"/>
      <c r="M26" s="131"/>
      <c r="N26" s="15"/>
    </row>
    <row r="27" spans="3:14" ht="60">
      <c r="C27" s="264" t="s">
        <v>363</v>
      </c>
      <c r="D27" s="264" t="s">
        <v>364</v>
      </c>
      <c r="E27" s="264" t="s">
        <v>365</v>
      </c>
      <c r="F27" s="264" t="s">
        <v>366</v>
      </c>
      <c r="G27" s="116" t="s">
        <v>367</v>
      </c>
      <c r="H27" s="116" t="s">
        <v>368</v>
      </c>
      <c r="I27" s="116" t="s">
        <v>369</v>
      </c>
      <c r="J27" s="116" t="s">
        <v>370</v>
      </c>
      <c r="K27" s="116" t="s">
        <v>371</v>
      </c>
      <c r="L27" s="284" t="s">
        <v>372</v>
      </c>
      <c r="M27" s="285" t="s">
        <v>373</v>
      </c>
      <c r="N27" s="285" t="s">
        <v>374</v>
      </c>
    </row>
    <row r="28" spans="3:14">
      <c r="C28" s="54">
        <v>0</v>
      </c>
      <c r="D28" s="54">
        <v>2.5</v>
      </c>
      <c r="E28" s="54" t="s">
        <v>375</v>
      </c>
      <c r="F28" s="54">
        <v>125</v>
      </c>
      <c r="G28" s="54">
        <v>0.01</v>
      </c>
      <c r="H28" s="54">
        <f t="shared" ref="H28:H31" si="6">COHESION_PHI*G28</f>
        <v>6.6600000000000001E-3</v>
      </c>
      <c r="I28" s="54">
        <v>0</v>
      </c>
      <c r="J28" s="54">
        <v>0.01</v>
      </c>
      <c r="K28" s="54" t="s">
        <v>376</v>
      </c>
      <c r="L28" s="54">
        <f>PHI_K*J28</f>
        <v>6.6600000000000001E-3</v>
      </c>
      <c r="M28" s="54">
        <v>1</v>
      </c>
      <c r="N28" s="54">
        <f t="shared" ref="N28:N31" si="7">PHI_EPSILON*M28</f>
        <v>1.5</v>
      </c>
    </row>
    <row r="29" spans="3:14">
      <c r="C29" s="54">
        <f>D28</f>
        <v>2.5</v>
      </c>
      <c r="D29" s="54">
        <v>5.5</v>
      </c>
      <c r="E29" s="54" t="s">
        <v>380</v>
      </c>
      <c r="F29" s="54">
        <v>125</v>
      </c>
      <c r="G29" s="54">
        <v>0</v>
      </c>
      <c r="H29" s="54">
        <f t="shared" si="6"/>
        <v>0</v>
      </c>
      <c r="I29" s="54">
        <v>35</v>
      </c>
      <c r="J29" s="54">
        <v>75.599999999999994</v>
      </c>
      <c r="K29" s="54" t="s">
        <v>376</v>
      </c>
      <c r="L29" s="54">
        <f>PHI_K*J29</f>
        <v>50.349600000000002</v>
      </c>
      <c r="M29" s="54">
        <v>1</v>
      </c>
      <c r="N29" s="54">
        <f t="shared" si="7"/>
        <v>1.5</v>
      </c>
    </row>
    <row r="30" spans="3:14">
      <c r="C30" s="54">
        <f t="shared" ref="C30:C32" si="8">D29</f>
        <v>5.5</v>
      </c>
      <c r="D30" s="54">
        <v>8.8000000000000007</v>
      </c>
      <c r="E30" s="54" t="s">
        <v>375</v>
      </c>
      <c r="F30" s="54">
        <v>125</v>
      </c>
      <c r="G30" s="54">
        <v>2500</v>
      </c>
      <c r="H30" s="54">
        <f t="shared" si="6"/>
        <v>1665</v>
      </c>
      <c r="I30" s="54">
        <v>0</v>
      </c>
      <c r="J30" s="54">
        <v>150</v>
      </c>
      <c r="K30" s="54" t="s">
        <v>376</v>
      </c>
      <c r="L30" s="54">
        <f>PHI_K*J30</f>
        <v>99.9</v>
      </c>
      <c r="M30" s="54">
        <v>0.56999999999999995</v>
      </c>
      <c r="N30" s="54">
        <f t="shared" si="7"/>
        <v>0.85499999999999998</v>
      </c>
    </row>
    <row r="31" spans="3:14">
      <c r="C31" s="54">
        <f t="shared" si="8"/>
        <v>8.8000000000000007</v>
      </c>
      <c r="D31" s="54">
        <v>10.5</v>
      </c>
      <c r="E31" s="54" t="s">
        <v>379</v>
      </c>
      <c r="F31" s="54">
        <v>150</v>
      </c>
      <c r="G31" s="54">
        <v>100000</v>
      </c>
      <c r="H31" s="54">
        <f t="shared" si="6"/>
        <v>66600</v>
      </c>
      <c r="I31" s="54">
        <v>8</v>
      </c>
      <c r="J31" s="54">
        <v>700</v>
      </c>
      <c r="K31" s="54" t="s">
        <v>376</v>
      </c>
      <c r="L31" s="54">
        <f>PHI_K*J31</f>
        <v>466.20000000000005</v>
      </c>
      <c r="M31" s="54">
        <v>0.06</v>
      </c>
      <c r="N31" s="54">
        <f t="shared" si="7"/>
        <v>0.09</v>
      </c>
    </row>
    <row r="32" spans="3:14">
      <c r="C32" s="54">
        <f t="shared" si="8"/>
        <v>10.5</v>
      </c>
      <c r="D32" s="54">
        <v>30</v>
      </c>
      <c r="E32" s="54" t="s">
        <v>379</v>
      </c>
      <c r="F32" s="54">
        <v>160</v>
      </c>
      <c r="G32" s="54">
        <v>200000</v>
      </c>
      <c r="H32" s="54">
        <f>COHESION_PHI*G32</f>
        <v>133200</v>
      </c>
      <c r="I32" s="54">
        <v>15</v>
      </c>
      <c r="J32" s="54">
        <v>1000</v>
      </c>
      <c r="K32" s="54"/>
      <c r="L32" s="54">
        <f>PHI_K*J32</f>
        <v>666</v>
      </c>
      <c r="M32" s="54">
        <v>0.05</v>
      </c>
      <c r="N32" s="54">
        <f>PHI_EPSILON*M32</f>
        <v>7.5000000000000011E-2</v>
      </c>
    </row>
  </sheetData>
  <mergeCells count="3">
    <mergeCell ref="C4:D4"/>
    <mergeCell ref="C24:D24"/>
    <mergeCell ref="C14:D14"/>
  </mergeCell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D7C1-B5C9-45C8-B0AD-5388E70F1AA2}">
  <sheetPr codeName="Sheet3"/>
  <dimension ref="B2:M17"/>
  <sheetViews>
    <sheetView topLeftCell="A5" workbookViewId="0">
      <selection activeCell="I9" sqref="I9"/>
    </sheetView>
  </sheetViews>
  <sheetFormatPr defaultRowHeight="15"/>
  <sheetData>
    <row r="2" spans="2:13">
      <c r="B2" s="151"/>
      <c r="C2" s="152" t="s">
        <v>27</v>
      </c>
      <c r="D2" s="151"/>
      <c r="E2" s="151"/>
      <c r="F2" s="151"/>
      <c r="G2" s="151"/>
      <c r="H2" s="151"/>
      <c r="I2" s="151"/>
      <c r="J2" s="151"/>
      <c r="K2" s="151"/>
      <c r="L2" s="151"/>
      <c r="M2" s="151"/>
    </row>
    <row r="3" spans="2:13">
      <c r="C3" s="117"/>
      <c r="D3" t="s">
        <v>225</v>
      </c>
    </row>
    <row r="4" spans="2:13">
      <c r="C4" s="117"/>
      <c r="D4" t="s">
        <v>220</v>
      </c>
    </row>
    <row r="5" spans="2:13">
      <c r="C5" s="117"/>
      <c r="D5" t="s">
        <v>221</v>
      </c>
    </row>
    <row r="6" spans="2:13">
      <c r="C6" s="117"/>
      <c r="D6" t="s">
        <v>224</v>
      </c>
    </row>
    <row r="7" spans="2:13">
      <c r="C7" s="117"/>
      <c r="D7" t="s">
        <v>222</v>
      </c>
    </row>
    <row r="8" spans="2:13">
      <c r="C8" s="117"/>
      <c r="D8" t="s">
        <v>223</v>
      </c>
    </row>
    <row r="12" spans="2:13">
      <c r="B12" s="117" t="s">
        <v>249</v>
      </c>
    </row>
    <row r="13" spans="2:13">
      <c r="D13" t="s">
        <v>253</v>
      </c>
    </row>
    <row r="14" spans="2:13">
      <c r="D14" s="117" t="s">
        <v>250</v>
      </c>
      <c r="E14" t="s">
        <v>251</v>
      </c>
    </row>
    <row r="15" spans="2:13">
      <c r="E15" t="s">
        <v>252</v>
      </c>
    </row>
    <row r="17" spans="4:4">
      <c r="D17" t="s">
        <v>254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8261C-72FE-41B8-8606-A0FEBCE2B3EC}">
  <sheetPr codeName="Sheet7"/>
  <dimension ref="B1:S19"/>
  <sheetViews>
    <sheetView workbookViewId="0">
      <selection activeCell="H22" sqref="H22"/>
    </sheetView>
  </sheetViews>
  <sheetFormatPr defaultRowHeight="15"/>
  <cols>
    <col min="2" max="2" width="13.85546875" style="55" customWidth="1"/>
    <col min="3" max="10" width="15.85546875" style="55" customWidth="1"/>
    <col min="11" max="12" width="17.85546875" customWidth="1"/>
  </cols>
  <sheetData>
    <row r="1" spans="2:19" ht="40.5" customHeight="1"/>
    <row r="2" spans="2:19" s="60" customFormat="1" ht="24.75" customHeight="1">
      <c r="B2" s="364" t="s">
        <v>420</v>
      </c>
      <c r="C2" s="364"/>
      <c r="D2" s="364"/>
      <c r="E2" s="364"/>
      <c r="F2" s="364"/>
      <c r="G2" s="364"/>
      <c r="H2" s="364"/>
      <c r="I2" s="364"/>
      <c r="J2" s="364"/>
      <c r="K2" s="364"/>
      <c r="L2" s="259" t="s">
        <v>314</v>
      </c>
    </row>
    <row r="3" spans="2:19" ht="12" customHeight="1"/>
    <row r="4" spans="2:19" ht="12" customHeight="1"/>
    <row r="5" spans="2:19" ht="12" customHeight="1"/>
    <row r="6" spans="2:19" s="117" customFormat="1" ht="53.25" customHeight="1">
      <c r="B6" s="116" t="s">
        <v>40</v>
      </c>
      <c r="C6" s="116" t="s">
        <v>315</v>
      </c>
      <c r="D6" s="116" t="s">
        <v>316</v>
      </c>
      <c r="E6" s="116" t="s">
        <v>317</v>
      </c>
      <c r="F6" s="116" t="s">
        <v>318</v>
      </c>
      <c r="G6" s="116" t="s">
        <v>319</v>
      </c>
      <c r="H6" s="116" t="s">
        <v>320</v>
      </c>
      <c r="I6" s="116" t="s">
        <v>321</v>
      </c>
      <c r="J6" s="116" t="s">
        <v>322</v>
      </c>
      <c r="K6" s="116" t="s">
        <v>323</v>
      </c>
      <c r="L6" s="116" t="s">
        <v>324</v>
      </c>
      <c r="M6" s="116"/>
      <c r="N6" s="116"/>
      <c r="O6" s="116"/>
      <c r="P6" s="116"/>
      <c r="Q6" s="116"/>
      <c r="R6" s="116"/>
      <c r="S6" s="116"/>
    </row>
    <row r="7" spans="2:19">
      <c r="B7" s="55" t="s">
        <v>47</v>
      </c>
      <c r="K7" s="55"/>
      <c r="L7" s="55"/>
    </row>
    <row r="8" spans="2:19">
      <c r="B8" s="55" t="s">
        <v>48</v>
      </c>
      <c r="K8" s="55"/>
      <c r="L8" s="55"/>
    </row>
    <row r="9" spans="2:19">
      <c r="B9" s="55" t="s">
        <v>49</v>
      </c>
      <c r="K9" s="55"/>
      <c r="L9" s="55"/>
    </row>
    <row r="10" spans="2:19">
      <c r="B10" s="55" t="s">
        <v>50</v>
      </c>
      <c r="K10" s="55"/>
      <c r="L10" s="55"/>
    </row>
    <row r="11" spans="2:19">
      <c r="B11" s="55" t="s">
        <v>51</v>
      </c>
      <c r="K11" s="55"/>
      <c r="L11" s="55"/>
    </row>
    <row r="12" spans="2:19">
      <c r="B12" s="55" t="s">
        <v>52</v>
      </c>
      <c r="K12" s="55"/>
      <c r="L12" s="55"/>
    </row>
    <row r="13" spans="2:19">
      <c r="B13" s="55" t="s">
        <v>53</v>
      </c>
      <c r="K13" s="55"/>
      <c r="L13" s="55"/>
    </row>
    <row r="14" spans="2:19">
      <c r="B14" s="55" t="s">
        <v>54</v>
      </c>
      <c r="K14" s="55"/>
      <c r="L14" s="55"/>
    </row>
    <row r="15" spans="2:19">
      <c r="B15" s="55" t="s">
        <v>55</v>
      </c>
      <c r="K15" s="55"/>
      <c r="L15" s="55"/>
    </row>
    <row r="16" spans="2:19">
      <c r="B16" s="55" t="s">
        <v>56</v>
      </c>
      <c r="K16" s="55"/>
      <c r="L16" s="55"/>
    </row>
    <row r="17" spans="2:12">
      <c r="B17" s="55" t="s">
        <v>57</v>
      </c>
      <c r="K17" s="55"/>
      <c r="L17" s="118"/>
    </row>
    <row r="18" spans="2:12">
      <c r="B18" s="55" t="s">
        <v>58</v>
      </c>
      <c r="K18" s="55"/>
      <c r="L18" s="118"/>
    </row>
    <row r="19" spans="2:12">
      <c r="K19" s="55"/>
      <c r="L19" s="55"/>
    </row>
  </sheetData>
  <mergeCells count="1">
    <mergeCell ref="B2:K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BEBF-4C56-4C3E-B319-7837E2BC4DA9}">
  <sheetPr codeName="Sheet4"/>
  <dimension ref="B2:O15"/>
  <sheetViews>
    <sheetView workbookViewId="0">
      <selection activeCell="E25" sqref="E25"/>
    </sheetView>
  </sheetViews>
  <sheetFormatPr defaultRowHeight="15"/>
  <cols>
    <col min="2" max="2" width="12.42578125" style="55" customWidth="1"/>
    <col min="3" max="3" width="25.5703125" style="55" customWidth="1"/>
    <col min="4" max="4" width="32" style="55" customWidth="1"/>
    <col min="5" max="5" width="19" style="55" customWidth="1"/>
    <col min="6" max="7" width="23.5703125" style="55" customWidth="1"/>
    <col min="8" max="8" width="10.7109375" bestFit="1" customWidth="1"/>
  </cols>
  <sheetData>
    <row r="2" spans="2:15" s="117" customFormat="1" ht="53.25" customHeight="1">
      <c r="B2" s="116" t="s">
        <v>40</v>
      </c>
      <c r="C2" s="116" t="s">
        <v>41</v>
      </c>
      <c r="D2" s="116" t="s">
        <v>42</v>
      </c>
      <c r="E2" s="116" t="s">
        <v>43</v>
      </c>
      <c r="F2" s="116" t="s">
        <v>44</v>
      </c>
      <c r="G2" s="116" t="s">
        <v>45</v>
      </c>
      <c r="H2" s="116" t="s">
        <v>46</v>
      </c>
      <c r="I2" s="116"/>
      <c r="J2" s="116"/>
      <c r="K2" s="116"/>
      <c r="L2" s="116"/>
      <c r="M2" s="116"/>
      <c r="N2" s="116"/>
      <c r="O2" s="116"/>
    </row>
    <row r="3" spans="2:15">
      <c r="B3" s="55" t="s">
        <v>47</v>
      </c>
      <c r="H3" s="55"/>
    </row>
    <row r="4" spans="2:15">
      <c r="B4" s="55" t="s">
        <v>48</v>
      </c>
      <c r="H4" s="55"/>
    </row>
    <row r="5" spans="2:15">
      <c r="B5" s="55" t="s">
        <v>49</v>
      </c>
      <c r="H5" s="55"/>
    </row>
    <row r="6" spans="2:15">
      <c r="B6" s="55" t="s">
        <v>50</v>
      </c>
      <c r="H6" s="55"/>
    </row>
    <row r="7" spans="2:15">
      <c r="B7" s="55" t="s">
        <v>51</v>
      </c>
      <c r="H7" s="55"/>
    </row>
    <row r="8" spans="2:15">
      <c r="B8" s="55" t="s">
        <v>52</v>
      </c>
      <c r="H8" s="55"/>
    </row>
    <row r="9" spans="2:15">
      <c r="B9" s="55" t="s">
        <v>53</v>
      </c>
      <c r="H9" s="55"/>
    </row>
    <row r="10" spans="2:15">
      <c r="B10" s="55" t="s">
        <v>54</v>
      </c>
      <c r="H10" s="55"/>
    </row>
    <row r="11" spans="2:15">
      <c r="B11" s="55" t="s">
        <v>55</v>
      </c>
      <c r="H11" s="55"/>
    </row>
    <row r="12" spans="2:15">
      <c r="B12" s="55" t="s">
        <v>56</v>
      </c>
      <c r="H12" s="55"/>
    </row>
    <row r="13" spans="2:15">
      <c r="B13" s="55" t="s">
        <v>57</v>
      </c>
      <c r="H13" s="118"/>
    </row>
    <row r="14" spans="2:15">
      <c r="B14" s="55" t="s">
        <v>58</v>
      </c>
      <c r="H14" s="118"/>
    </row>
    <row r="15" spans="2:15">
      <c r="H15" s="5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B0FA2-6437-4BB4-A9FA-C2035E5EC9CE}">
  <sheetPr codeName="Sheet5"/>
  <dimension ref="A1:E11"/>
  <sheetViews>
    <sheetView workbookViewId="0">
      <selection activeCell="H10" sqref="H10"/>
    </sheetView>
  </sheetViews>
  <sheetFormatPr defaultRowHeight="15"/>
  <cols>
    <col min="1" max="1" width="13.85546875" bestFit="1" customWidth="1"/>
    <col min="2" max="2" width="22" bestFit="1" customWidth="1"/>
    <col min="3" max="3" width="12.7109375" bestFit="1" customWidth="1"/>
    <col min="4" max="4" width="19.140625" bestFit="1" customWidth="1"/>
    <col min="5" max="5" width="13.5703125" bestFit="1" customWidth="1"/>
  </cols>
  <sheetData>
    <row r="1" spans="1:5">
      <c r="A1" t="s">
        <v>72</v>
      </c>
      <c r="B1" t="s">
        <v>73</v>
      </c>
      <c r="C1" t="s">
        <v>74</v>
      </c>
      <c r="D1" t="s">
        <v>75</v>
      </c>
      <c r="E1" t="s">
        <v>78</v>
      </c>
    </row>
    <row r="2" spans="1:5">
      <c r="A2" t="s">
        <v>228</v>
      </c>
      <c r="B2" t="s">
        <v>229</v>
      </c>
      <c r="C2" t="s">
        <v>230</v>
      </c>
      <c r="D2" t="s">
        <v>231</v>
      </c>
    </row>
    <row r="3" spans="1:5">
      <c r="A3" t="s">
        <v>232</v>
      </c>
      <c r="B3" t="s">
        <v>233</v>
      </c>
      <c r="C3" t="s">
        <v>234</v>
      </c>
      <c r="D3" t="s">
        <v>235</v>
      </c>
    </row>
    <row r="8" spans="1:5">
      <c r="E8" t="s">
        <v>226</v>
      </c>
    </row>
    <row r="9" spans="1:5">
      <c r="E9" t="s">
        <v>226</v>
      </c>
    </row>
    <row r="10" spans="1:5">
      <c r="E10" t="s">
        <v>226</v>
      </c>
    </row>
    <row r="11" spans="1:5">
      <c r="E11" t="s">
        <v>226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39CC1-502B-481D-B60F-682E8E883B02}">
  <sheetPr codeName="Sheet1"/>
  <dimension ref="D7:G19"/>
  <sheetViews>
    <sheetView workbookViewId="0">
      <selection activeCell="J17" sqref="J13:K17"/>
    </sheetView>
  </sheetViews>
  <sheetFormatPr defaultRowHeight="15"/>
  <cols>
    <col min="4" max="4" width="19.140625" customWidth="1"/>
    <col min="5" max="5" width="10.28515625" customWidth="1"/>
    <col min="6" max="6" width="9.7109375" customWidth="1"/>
    <col min="7" max="7" width="10.28515625" customWidth="1"/>
  </cols>
  <sheetData>
    <row r="7" spans="4:7" ht="15.75" thickBot="1"/>
    <row r="8" spans="4:7" ht="16.5" thickBot="1">
      <c r="D8" s="365" t="s">
        <v>82</v>
      </c>
      <c r="E8" s="366"/>
      <c r="F8" s="366"/>
      <c r="G8" s="367"/>
    </row>
    <row r="10" spans="4:7" s="60" customFormat="1" ht="54.75" customHeight="1">
      <c r="D10" s="54" t="s">
        <v>83</v>
      </c>
      <c r="E10" s="54" t="s">
        <v>84</v>
      </c>
      <c r="F10" s="59" t="s">
        <v>85</v>
      </c>
      <c r="G10" s="59" t="s">
        <v>86</v>
      </c>
    </row>
    <row r="11" spans="4:7">
      <c r="D11" s="55" t="s">
        <v>47</v>
      </c>
      <c r="E11">
        <v>2</v>
      </c>
      <c r="F11" s="58"/>
      <c r="G11" s="58">
        <f>F11*E11</f>
        <v>0</v>
      </c>
    </row>
    <row r="12" spans="4:7">
      <c r="D12" s="55" t="s">
        <v>48</v>
      </c>
      <c r="E12">
        <v>2</v>
      </c>
      <c r="F12" s="58"/>
      <c r="G12" s="58">
        <f>F12*E12</f>
        <v>0</v>
      </c>
    </row>
    <row r="13" spans="4:7">
      <c r="D13" s="55" t="s">
        <v>81</v>
      </c>
      <c r="F13" s="55"/>
      <c r="G13" s="58">
        <f>SUBTOTAL(109,Table4[TOTAL CONC. YD3])</f>
        <v>0</v>
      </c>
    </row>
    <row r="16" spans="4:7" s="3" customFormat="1" ht="27.75" customHeight="1">
      <c r="D16" s="6" t="s">
        <v>87</v>
      </c>
      <c r="E16" s="6" t="s">
        <v>57</v>
      </c>
      <c r="F16" s="6" t="s">
        <v>58</v>
      </c>
      <c r="G16" s="6" t="s">
        <v>88</v>
      </c>
    </row>
    <row r="17" spans="4:7">
      <c r="D17" s="55" t="s">
        <v>89</v>
      </c>
      <c r="E17">
        <v>40</v>
      </c>
      <c r="F17">
        <v>129</v>
      </c>
      <c r="G17">
        <f>Table5[[#This Row],[L]]*$E$11+Table5[[#This Row],[M]]*$E$12</f>
        <v>338</v>
      </c>
    </row>
    <row r="18" spans="4:7">
      <c r="D18" s="55" t="s">
        <v>90</v>
      </c>
      <c r="E18">
        <v>115</v>
      </c>
      <c r="F18">
        <v>0</v>
      </c>
      <c r="G18">
        <f>Table5[[#This Row],[L]]*$E$11+Table5[[#This Row],[M]]*$E$12</f>
        <v>230</v>
      </c>
    </row>
    <row r="19" spans="4:7">
      <c r="D19" s="55" t="s">
        <v>91</v>
      </c>
      <c r="E19">
        <v>0</v>
      </c>
      <c r="F19">
        <v>90</v>
      </c>
      <c r="G19">
        <f>Table5[[#This Row],[L]]*$E$11+Table5[[#This Row],[M]]*$E$12</f>
        <v>180</v>
      </c>
    </row>
  </sheetData>
  <mergeCells count="1">
    <mergeCell ref="D8:G8"/>
  </mergeCell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BBA41-BBA3-4623-8C0A-3E9348D2CCFC}">
  <sheetPr codeName="Sheet9"/>
  <dimension ref="C2:Y43"/>
  <sheetViews>
    <sheetView topLeftCell="A5" zoomScale="115" zoomScaleNormal="115" workbookViewId="0">
      <selection activeCell="A14" sqref="A14"/>
    </sheetView>
  </sheetViews>
  <sheetFormatPr defaultRowHeight="15"/>
  <cols>
    <col min="3" max="5" width="9.140625" style="55"/>
    <col min="6" max="6" width="10.140625" customWidth="1"/>
    <col min="7" max="7" width="13.28515625" style="55" customWidth="1"/>
    <col min="8" max="8" width="12" customWidth="1"/>
    <col min="11" max="11" width="9.140625" style="55"/>
    <col min="12" max="13" width="9.140625" customWidth="1"/>
    <col min="19" max="19" width="16.85546875" customWidth="1"/>
    <col min="22" max="22" width="11.140625" bestFit="1" customWidth="1"/>
  </cols>
  <sheetData>
    <row r="2" spans="3:23" ht="15.75" thickBot="1"/>
    <row r="3" spans="3:23" s="3" customFormat="1" ht="30" customHeight="1" thickBot="1">
      <c r="C3" s="127" t="s">
        <v>165</v>
      </c>
      <c r="D3" s="120" t="s">
        <v>166</v>
      </c>
      <c r="E3" s="121" t="s">
        <v>167</v>
      </c>
      <c r="F3" s="121" t="s">
        <v>168</v>
      </c>
      <c r="G3" s="121" t="s">
        <v>169</v>
      </c>
      <c r="H3" s="128" t="s">
        <v>170</v>
      </c>
      <c r="I3" s="120" t="s">
        <v>171</v>
      </c>
      <c r="J3" s="120" t="s">
        <v>172</v>
      </c>
      <c r="K3" s="129" t="s">
        <v>173</v>
      </c>
      <c r="L3" s="2"/>
      <c r="M3" s="2"/>
      <c r="N3" s="371" t="s">
        <v>174</v>
      </c>
      <c r="O3" s="372"/>
      <c r="P3" s="372"/>
      <c r="Q3" s="372"/>
      <c r="R3" s="372"/>
      <c r="S3" s="372"/>
      <c r="T3" s="372"/>
      <c r="U3" s="372"/>
      <c r="V3" s="373"/>
      <c r="W3" s="16"/>
    </row>
    <row r="4" spans="3:23" ht="15.75" thickBot="1">
      <c r="C4" s="124">
        <v>1</v>
      </c>
      <c r="D4" s="55">
        <v>12</v>
      </c>
      <c r="E4" s="55" t="s">
        <v>90</v>
      </c>
      <c r="F4">
        <v>12</v>
      </c>
      <c r="G4" s="55">
        <f>F4*D4</f>
        <v>144</v>
      </c>
      <c r="H4" t="s">
        <v>175</v>
      </c>
      <c r="I4">
        <f>(12*Table632424[[#This Row],[LEN
(FT)]]-MOD(12*Table632424[[#This Row],[LEN
(FT)]],12))/12</f>
        <v>12</v>
      </c>
      <c r="J4">
        <f>ROUND(MOD(12*Table632424[[#This Row],[LEN
(FT)]],12),0)</f>
        <v>0</v>
      </c>
      <c r="K4" s="130" t="s">
        <v>176</v>
      </c>
    </row>
    <row r="5" spans="3:23">
      <c r="C5" s="124">
        <v>2</v>
      </c>
      <c r="D5" s="55">
        <v>20</v>
      </c>
      <c r="E5" s="55" t="s">
        <v>90</v>
      </c>
      <c r="F5">
        <v>8</v>
      </c>
      <c r="G5" s="55">
        <f>ROUND(F5*D5,0)</f>
        <v>160</v>
      </c>
      <c r="H5" t="s">
        <v>175</v>
      </c>
      <c r="I5">
        <f>(12*Table632424[[#This Row],[LEN
(FT)]]-MOD(12*Table632424[[#This Row],[LEN
(FT)]],12))/12</f>
        <v>8</v>
      </c>
      <c r="J5">
        <f>ROUND(MOD(12*Table632424[[#This Row],[LEN
(FT)]],12),0)</f>
        <v>0</v>
      </c>
      <c r="K5" s="130" t="s">
        <v>176</v>
      </c>
      <c r="N5" s="8">
        <v>1</v>
      </c>
      <c r="O5" s="9">
        <v>10</v>
      </c>
      <c r="P5" s="10" t="s">
        <v>177</v>
      </c>
      <c r="Q5" s="8">
        <v>2</v>
      </c>
      <c r="R5" s="9">
        <v>8</v>
      </c>
      <c r="S5" s="10" t="s">
        <v>178</v>
      </c>
      <c r="T5" s="8">
        <v>3</v>
      </c>
      <c r="U5" s="9">
        <v>4</v>
      </c>
      <c r="V5" s="10" t="s">
        <v>179</v>
      </c>
    </row>
    <row r="6" spans="3:23">
      <c r="C6" s="124"/>
      <c r="I6">
        <f>(12*Table632424[[#This Row],[LEN
(FT)]]-MOD(12*Table632424[[#This Row],[LEN
(FT)]],12))/12</f>
        <v>0</v>
      </c>
      <c r="J6">
        <f>ROUND(MOD(12*Table632424[[#This Row],[LEN
(FT)]],12),0)</f>
        <v>0</v>
      </c>
      <c r="K6" s="130" t="s">
        <v>180</v>
      </c>
      <c r="N6" s="11"/>
      <c r="P6" s="12"/>
      <c r="Q6" s="11"/>
      <c r="S6" s="12"/>
      <c r="T6" s="11"/>
      <c r="V6" s="12"/>
    </row>
    <row r="7" spans="3:23">
      <c r="C7" s="124"/>
      <c r="I7">
        <f>(12*Table632424[[#This Row],[LEN
(FT)]]-MOD(12*Table632424[[#This Row],[LEN
(FT)]],12))/12</f>
        <v>0</v>
      </c>
      <c r="J7">
        <f>ROUND(MOD(12*Table632424[[#This Row],[LEN
(FT)]],12),0)</f>
        <v>0</v>
      </c>
      <c r="K7" s="130" t="s">
        <v>176</v>
      </c>
      <c r="N7" s="11"/>
      <c r="P7" s="12"/>
      <c r="Q7" s="11"/>
      <c r="S7" s="12"/>
      <c r="T7" s="11"/>
      <c r="V7" s="12"/>
    </row>
    <row r="8" spans="3:23">
      <c r="C8" s="124"/>
      <c r="I8">
        <f>(12*Table632424[[#This Row],[LEN
(FT)]]-MOD(12*Table632424[[#This Row],[LEN
(FT)]],12))/12</f>
        <v>0</v>
      </c>
      <c r="J8">
        <f>ROUND(MOD(12*Table632424[[#This Row],[LEN
(FT)]],12),0)</f>
        <v>0</v>
      </c>
      <c r="K8" s="130"/>
      <c r="N8" s="11"/>
      <c r="P8" s="12"/>
      <c r="Q8" s="11"/>
      <c r="S8" s="12"/>
      <c r="T8" s="11"/>
      <c r="V8" s="12"/>
    </row>
    <row r="9" spans="3:23" ht="15.75" thickBot="1">
      <c r="C9" s="124"/>
      <c r="I9">
        <f>(12*Table632424[[#This Row],[LEN
(FT)]]-MOD(12*Table632424[[#This Row],[LEN
(FT)]],12))/12</f>
        <v>0</v>
      </c>
      <c r="J9">
        <f>ROUND(MOD(12*Table632424[[#This Row],[LEN
(FT)]],12),0)</f>
        <v>0</v>
      </c>
      <c r="K9" s="130"/>
      <c r="N9" s="13"/>
      <c r="O9" s="14">
        <f>SUM(O5:O8)</f>
        <v>10</v>
      </c>
      <c r="P9" s="15"/>
      <c r="Q9" s="11"/>
      <c r="R9">
        <f>SUM(R5:R8)</f>
        <v>8</v>
      </c>
      <c r="S9" s="12"/>
      <c r="T9" s="11"/>
      <c r="U9" s="14">
        <f>SUM(U5:U8)</f>
        <v>4</v>
      </c>
      <c r="V9" s="15"/>
    </row>
    <row r="10" spans="3:23" ht="15.75" thickBot="1">
      <c r="C10" s="124"/>
      <c r="I10">
        <f>(12*Table632424[[#This Row],[LEN
(FT)]]-MOD(12*Table632424[[#This Row],[LEN
(FT)]],12))/12</f>
        <v>0</v>
      </c>
      <c r="J10">
        <f>ROUND(MOD(12*Table632424[[#This Row],[LEN
(FT)]],12),0)</f>
        <v>0</v>
      </c>
      <c r="K10" s="130"/>
      <c r="Q10" s="374" t="s">
        <v>181</v>
      </c>
      <c r="R10" s="375"/>
      <c r="S10" s="149" t="s">
        <v>182</v>
      </c>
      <c r="T10" s="17">
        <v>0</v>
      </c>
    </row>
    <row r="11" spans="3:23">
      <c r="C11" s="124"/>
      <c r="I11">
        <f>(12*Table632424[[#This Row],[LEN
(FT)]]-MOD(12*Table632424[[#This Row],[LEN
(FT)]],12))/12</f>
        <v>0</v>
      </c>
      <c r="J11">
        <f>ROUND(MOD(12*Table632424[[#This Row],[LEN
(FT)]],12),0)</f>
        <v>0</v>
      </c>
      <c r="K11" s="130"/>
      <c r="Q11" s="11" t="s">
        <v>183</v>
      </c>
      <c r="R11" s="12">
        <v>10</v>
      </c>
      <c r="S11" t="s">
        <v>183</v>
      </c>
      <c r="T11" s="12">
        <v>2</v>
      </c>
    </row>
    <row r="12" spans="3:23" ht="15.75" thickBot="1">
      <c r="C12" s="125"/>
      <c r="D12" s="131"/>
      <c r="E12" s="131"/>
      <c r="F12" s="14"/>
      <c r="G12" s="131"/>
      <c r="H12" s="14"/>
      <c r="I12" s="14">
        <f>(12*Table632424[[#This Row],[LEN
(FT)]]-MOD(12*Table632424[[#This Row],[LEN
(FT)]],12))/12</f>
        <v>0</v>
      </c>
      <c r="J12" s="14">
        <f>ROUND(MOD(12*Table632424[[#This Row],[LEN
(FT)]],12),0)</f>
        <v>0</v>
      </c>
      <c r="K12" s="126"/>
      <c r="Q12" s="11" t="s">
        <v>184</v>
      </c>
      <c r="R12" s="12">
        <v>6</v>
      </c>
      <c r="S12" t="s">
        <v>184</v>
      </c>
      <c r="T12" s="12">
        <v>2</v>
      </c>
    </row>
    <row r="13" spans="3:23" hidden="1">
      <c r="G13" s="55">
        <f>SUM(G5:G12)</f>
        <v>160</v>
      </c>
      <c r="H13" s="55"/>
      <c r="I13" s="55"/>
      <c r="J13" s="55"/>
      <c r="L13" s="55"/>
      <c r="M13" s="55"/>
      <c r="Q13" s="11"/>
      <c r="R13" s="12"/>
      <c r="T13" s="12"/>
    </row>
    <row r="14" spans="3:23" ht="15.75" thickBot="1">
      <c r="Q14" s="13" t="s">
        <v>185</v>
      </c>
      <c r="R14" s="15">
        <v>2.5</v>
      </c>
      <c r="S14" s="14" t="s">
        <v>186</v>
      </c>
      <c r="T14" s="15">
        <v>2.6659999999999999</v>
      </c>
    </row>
    <row r="15" spans="3:23" ht="18" thickBot="1">
      <c r="Q15" s="8" t="s">
        <v>187</v>
      </c>
      <c r="R15" s="56">
        <f>R14*R12*R11</f>
        <v>150</v>
      </c>
      <c r="S15" s="9"/>
      <c r="T15" s="10">
        <f>T14*T12*T11*T10</f>
        <v>0</v>
      </c>
    </row>
    <row r="16" spans="3:23" ht="19.5" thickBot="1">
      <c r="C16" s="376" t="str">
        <f ca="1">MID(CELL("filename",A1),FIND("]",CELL("filename",A1))+1,LEN(CELL("filename",A1))-FIND("]",CELL("filename",A1)))</f>
        <v>TEMPLATE (PAD)</v>
      </c>
      <c r="D16" s="377"/>
      <c r="E16" s="377"/>
      <c r="F16" s="377"/>
      <c r="G16" s="377"/>
      <c r="H16" s="377"/>
      <c r="I16" s="378"/>
      <c r="L16" s="151"/>
      <c r="M16" s="151"/>
      <c r="Q16" s="13" t="s">
        <v>188</v>
      </c>
      <c r="R16" s="57">
        <f>R15/27</f>
        <v>5.5555555555555554</v>
      </c>
      <c r="S16" s="132"/>
      <c r="T16" s="18">
        <f>(T15*T10)/27</f>
        <v>0</v>
      </c>
    </row>
    <row r="17" spans="3:25" ht="18" thickBot="1">
      <c r="C17" s="379" t="s">
        <v>189</v>
      </c>
      <c r="D17" s="357"/>
      <c r="E17" s="357"/>
      <c r="F17" s="357"/>
      <c r="G17" s="357"/>
      <c r="I17" s="12"/>
      <c r="L17" s="151"/>
      <c r="M17" s="151"/>
      <c r="Q17" s="13"/>
      <c r="R17" s="14" t="s">
        <v>190</v>
      </c>
      <c r="S17" s="19">
        <f>R16+T16</f>
        <v>5.5555555555555554</v>
      </c>
      <c r="T17" s="17" t="s">
        <v>188</v>
      </c>
    </row>
    <row r="18" spans="3:25">
      <c r="C18" s="124"/>
      <c r="D18" s="356" t="str">
        <f>TEXT(S17,"0.0") &amp; " CU. YDS. CONCRETE"</f>
        <v>5.6 CU. YDS. CONCRETE</v>
      </c>
      <c r="E18" s="356"/>
      <c r="F18" s="356"/>
      <c r="I18" s="12"/>
      <c r="L18" s="151"/>
      <c r="M18" s="151"/>
    </row>
    <row r="19" spans="3:25" ht="15.75" thickBot="1">
      <c r="C19" s="124"/>
      <c r="I19" s="12"/>
      <c r="L19" s="151"/>
      <c r="M19" s="151"/>
    </row>
    <row r="20" spans="3:25" s="60" customFormat="1" ht="21.75" customHeight="1" thickBot="1">
      <c r="C20" s="133">
        <v>1</v>
      </c>
      <c r="D20" s="54">
        <f>D4</f>
        <v>12</v>
      </c>
      <c r="E20" s="134" t="str">
        <f>E4&amp; (IF(K4="Y",M20,L20 ))&amp;TEXT(I4,"0")&amp;"'-"&amp;TEXT(J4,0)&amp;""""&amp;IF(H4="STRAIGHT"," LG."," LG. BT.")</f>
        <v>#5 BARS 12'-0" LG. BT.</v>
      </c>
      <c r="G20" s="54"/>
      <c r="I20" s="135"/>
      <c r="K20" s="54"/>
      <c r="L20" s="156" t="str">
        <f>IF(D20&gt;1," BARS "," BAR ")</f>
        <v xml:space="preserve"> BARS </v>
      </c>
      <c r="M20" s="156" t="str">
        <f>IF(D20&gt;1," TIES "," TIE ")</f>
        <v xml:space="preserve"> TIES </v>
      </c>
      <c r="Q20" s="368" t="s">
        <v>191</v>
      </c>
      <c r="R20" s="369"/>
      <c r="S20" s="370"/>
      <c r="U20" s="368" t="s">
        <v>192</v>
      </c>
      <c r="V20" s="369"/>
      <c r="W20" s="370"/>
    </row>
    <row r="21" spans="3:25" s="60" customFormat="1" ht="21.75" customHeight="1" thickBot="1">
      <c r="C21" s="133">
        <v>2</v>
      </c>
      <c r="D21" s="54">
        <f>D5</f>
        <v>20</v>
      </c>
      <c r="E21" s="134" t="str">
        <f>E5&amp; (IF(K5="Y",M21,L21 ))&amp;TEXT(I5,"0")&amp;"'-"&amp;TEXT(J5,0)&amp;""""&amp;IF(H5="STRAIGHT"," LG."," LG. BT.")</f>
        <v>#5 BARS 8'-0" LG. BT.</v>
      </c>
      <c r="G21" s="54"/>
      <c r="I21" s="135"/>
      <c r="K21" s="54"/>
      <c r="L21" s="156" t="str">
        <f>IF(D21&gt;1," BARS "," BAR ")</f>
        <v xml:space="preserve"> BARS </v>
      </c>
      <c r="M21" s="156" t="str">
        <f>IF(D21&gt;1," TIES "," TIE ")</f>
        <v xml:space="preserve"> TIES </v>
      </c>
      <c r="Q21" s="384" t="s">
        <v>193</v>
      </c>
      <c r="R21" s="385"/>
      <c r="S21" s="136"/>
      <c r="U21" s="386" t="s">
        <v>193</v>
      </c>
      <c r="V21" s="387"/>
      <c r="W21" s="136"/>
    </row>
    <row r="22" spans="3:25" s="60" customFormat="1" ht="18.75" customHeight="1">
      <c r="C22" s="133">
        <v>3</v>
      </c>
      <c r="D22" s="54">
        <v>4</v>
      </c>
      <c r="E22" s="134" t="s">
        <v>194</v>
      </c>
      <c r="G22" s="54"/>
      <c r="I22" s="135"/>
      <c r="K22" s="54"/>
      <c r="L22" s="156" t="str">
        <f>IF(D22&gt;1," BARS "," BAR ")</f>
        <v xml:space="preserve"> BARS </v>
      </c>
      <c r="M22" s="156" t="str">
        <f>IF(D22&gt;1," TIES "," TIE ")</f>
        <v xml:space="preserve"> TIES </v>
      </c>
      <c r="Q22" s="137" t="s">
        <v>87</v>
      </c>
      <c r="R22" s="205" t="s">
        <v>90</v>
      </c>
      <c r="S22" s="206">
        <f>INDEX(ReinforcingTable,MATCH($R$22,INDEX(ReinforcingTable,0,1),0),3)</f>
        <v>0.625</v>
      </c>
      <c r="U22" s="137" t="s">
        <v>87</v>
      </c>
      <c r="V22" s="388" t="s">
        <v>90</v>
      </c>
      <c r="W22" s="385"/>
    </row>
    <row r="23" spans="3:25" s="60" customFormat="1" ht="22.5" customHeight="1">
      <c r="C23" s="133"/>
      <c r="D23" s="54"/>
      <c r="E23" s="134" t="s">
        <v>195</v>
      </c>
      <c r="F23" s="138"/>
      <c r="G23" s="138"/>
      <c r="H23" s="138"/>
      <c r="I23" s="139"/>
      <c r="J23" s="138"/>
      <c r="K23" s="138"/>
      <c r="L23" s="156" t="str">
        <f>IF(D23&gt;1," BARS "," BAR ")</f>
        <v xml:space="preserve"> BAR </v>
      </c>
      <c r="M23" s="156" t="str">
        <f>IF(D23&gt;1," TIES "," TIE ")</f>
        <v xml:space="preserve"> TIE </v>
      </c>
      <c r="Q23" s="140" t="s">
        <v>184</v>
      </c>
      <c r="R23" s="60">
        <v>12</v>
      </c>
      <c r="S23" s="135" t="s">
        <v>196</v>
      </c>
      <c r="U23" s="140" t="s">
        <v>186</v>
      </c>
      <c r="V23" s="60">
        <v>36</v>
      </c>
      <c r="W23" s="135" t="s">
        <v>196</v>
      </c>
      <c r="Y23" s="60" t="s">
        <v>240</v>
      </c>
    </row>
    <row r="24" spans="3:25" s="60" customFormat="1" ht="21.75" customHeight="1" thickBot="1">
      <c r="C24" s="133"/>
      <c r="D24" s="54"/>
      <c r="G24" s="54"/>
      <c r="I24" s="135"/>
      <c r="K24" s="54"/>
      <c r="L24" s="157"/>
      <c r="M24" s="157"/>
      <c r="Q24" s="141" t="s">
        <v>197</v>
      </c>
      <c r="R24" s="142">
        <v>12</v>
      </c>
      <c r="S24" s="143" t="s">
        <v>196</v>
      </c>
      <c r="U24" s="141" t="s">
        <v>198</v>
      </c>
      <c r="V24" s="142">
        <v>9</v>
      </c>
      <c r="W24" s="143" t="s">
        <v>196</v>
      </c>
    </row>
    <row r="25" spans="3:25" ht="15.75" thickBot="1">
      <c r="C25" s="124"/>
      <c r="E25" s="4"/>
      <c r="I25" s="12"/>
      <c r="L25" s="151"/>
      <c r="M25" s="151"/>
      <c r="Q25" s="13" t="s">
        <v>190</v>
      </c>
      <c r="R25" s="14">
        <f>ROUNDUP(((2*R29)+(2*R30)+(3*R31)+R33+R34)/12,2)</f>
        <v>4.7699999999999996</v>
      </c>
      <c r="S25" s="15" t="s">
        <v>199</v>
      </c>
      <c r="U25" s="13" t="s">
        <v>190</v>
      </c>
      <c r="V25" s="14">
        <f>ROUND((SUM(V28:V30))/12,2)</f>
        <v>3.68</v>
      </c>
      <c r="W25" s="15" t="s">
        <v>200</v>
      </c>
    </row>
    <row r="26" spans="3:25" ht="15.75" thickBot="1">
      <c r="C26" s="124"/>
      <c r="I26" s="12"/>
      <c r="L26" s="151"/>
      <c r="M26" s="151"/>
      <c r="Q26" s="389" t="s">
        <v>201</v>
      </c>
      <c r="R26" s="390"/>
      <c r="S26" s="52"/>
      <c r="U26" s="389" t="s">
        <v>201</v>
      </c>
      <c r="V26" s="390"/>
      <c r="W26" s="52"/>
    </row>
    <row r="27" spans="3:25">
      <c r="C27" s="124"/>
      <c r="E27" s="4"/>
      <c r="I27" s="12"/>
      <c r="L27" s="158" t="s">
        <v>87</v>
      </c>
      <c r="M27" s="151"/>
      <c r="Q27" s="8" t="s">
        <v>202</v>
      </c>
      <c r="R27" s="10">
        <f>INDEX(ReinforcingTable,MATCH($R$22,INDEX(ReinforcingTable,0,1),0),6)/2</f>
        <v>1.875</v>
      </c>
      <c r="S27" s="50" t="s">
        <v>196</v>
      </c>
      <c r="U27" s="11" t="s">
        <v>202</v>
      </c>
      <c r="V27" s="12">
        <v>1.875</v>
      </c>
      <c r="W27" s="50" t="s">
        <v>196</v>
      </c>
    </row>
    <row r="28" spans="3:25" ht="18">
      <c r="C28" s="124"/>
      <c r="E28" s="4"/>
      <c r="F28" s="5"/>
      <c r="I28" s="12"/>
      <c r="L28" s="158"/>
      <c r="M28" s="151"/>
      <c r="Q28" s="40" t="s">
        <v>203</v>
      </c>
      <c r="R28" s="12">
        <f>INDEX(ReinforcingTable,MATCH($R$22,INDEX(ReinforcingTable,0,1),0),4)</f>
        <v>3.75</v>
      </c>
      <c r="S28" s="50" t="s">
        <v>196</v>
      </c>
      <c r="U28" s="11" t="s">
        <v>204</v>
      </c>
      <c r="V28" s="12">
        <f>IF(V24-V27&lt;0,"INCREASE LEG",V24-V27)</f>
        <v>7.125</v>
      </c>
      <c r="W28" s="50" t="s">
        <v>196</v>
      </c>
    </row>
    <row r="29" spans="3:25">
      <c r="C29" s="124"/>
      <c r="D29" s="4" t="str">
        <f>IF(L29&lt;&gt;"","TOTAL L.F. "&amp;L29 &amp; " BARS = ","")</f>
        <v xml:space="preserve">TOTAL L.F. #5 BARS = </v>
      </c>
      <c r="F29" s="5" t="str">
        <f>TEXT(ROUNDDOWN(SUMIF($E$4:$E$12,L29,$G$4:$G$12),0),0)&amp;"'"&amp;"-"&amp;TEXT((SUMIF($E$4:$E$12,L29,$G$4:$G$12)-ROUNDDOWN(SUMIF($E$4:$E$12,L29,$G$4:$G$12),0))*12,0)&amp;""""</f>
        <v>304'-0"</v>
      </c>
      <c r="I29" s="12"/>
      <c r="L29" s="158" t="s">
        <v>90</v>
      </c>
      <c r="M29" s="151"/>
      <c r="Q29" s="11" t="s">
        <v>204</v>
      </c>
      <c r="R29" s="12">
        <f>R23-(2*R27)</f>
        <v>8.25</v>
      </c>
      <c r="S29" s="50" t="s">
        <v>196</v>
      </c>
      <c r="U29" s="11" t="s">
        <v>205</v>
      </c>
      <c r="V29" s="12">
        <f>V23-V27</f>
        <v>34.125</v>
      </c>
      <c r="W29" s="50" t="s">
        <v>196</v>
      </c>
    </row>
    <row r="30" spans="3:25" ht="15.75" thickBot="1">
      <c r="C30" s="124"/>
      <c r="D30" s="4"/>
      <c r="F30" s="5"/>
      <c r="I30" s="12"/>
      <c r="L30" s="158" t="s">
        <v>114</v>
      </c>
      <c r="M30" s="151"/>
      <c r="Q30" s="11" t="s">
        <v>206</v>
      </c>
      <c r="R30" s="12">
        <f>R24-(2*R27)</f>
        <v>8.25</v>
      </c>
      <c r="S30" s="50" t="s">
        <v>196</v>
      </c>
      <c r="U30" s="13" t="s">
        <v>207</v>
      </c>
      <c r="V30" s="15">
        <f>(PI()/2)*V27</f>
        <v>2.9452431127404308</v>
      </c>
      <c r="W30" s="51" t="s">
        <v>196</v>
      </c>
    </row>
    <row r="31" spans="3:25">
      <c r="C31" s="124"/>
      <c r="D31" s="4"/>
      <c r="F31" s="5"/>
      <c r="I31" s="12"/>
      <c r="L31" s="158" t="s">
        <v>90</v>
      </c>
      <c r="M31" s="151"/>
      <c r="Q31" s="11" t="s">
        <v>208</v>
      </c>
      <c r="R31" s="12">
        <f>PI()*R27/2</f>
        <v>2.9452431127404308</v>
      </c>
      <c r="S31" s="50" t="s">
        <v>196</v>
      </c>
    </row>
    <row r="32" spans="3:25">
      <c r="C32" s="124"/>
      <c r="D32" s="4"/>
      <c r="F32" s="5"/>
      <c r="I32" s="12"/>
      <c r="L32" s="151"/>
      <c r="M32" s="151"/>
      <c r="N32" s="119"/>
      <c r="Q32" s="11"/>
      <c r="R32" s="12"/>
      <c r="S32" s="50"/>
    </row>
    <row r="33" spans="3:19">
      <c r="C33" s="144" t="s">
        <v>209</v>
      </c>
      <c r="I33" s="12"/>
      <c r="L33" s="151"/>
      <c r="M33" s="151"/>
      <c r="N33" s="119"/>
      <c r="Q33" s="11" t="s">
        <v>49</v>
      </c>
      <c r="R33" s="12">
        <f>((2/3)*PI()*R27)+R28</f>
        <v>7.6769908169872405</v>
      </c>
      <c r="S33" s="50" t="s">
        <v>196</v>
      </c>
    </row>
    <row r="34" spans="3:19" s="3" customFormat="1" ht="15.75" thickBot="1">
      <c r="C34" s="145">
        <v>1</v>
      </c>
      <c r="D34" s="7" t="s">
        <v>210</v>
      </c>
      <c r="E34" s="6"/>
      <c r="G34" s="6"/>
      <c r="I34" s="146"/>
      <c r="K34" s="6"/>
      <c r="L34" s="159"/>
      <c r="M34" s="159"/>
      <c r="N34" s="1"/>
      <c r="Q34" s="13" t="s">
        <v>211</v>
      </c>
      <c r="R34" s="15">
        <f>R33</f>
        <v>7.6769908169872405</v>
      </c>
      <c r="S34" s="53" t="s">
        <v>196</v>
      </c>
    </row>
    <row r="35" spans="3:19" s="3" customFormat="1" ht="32.25" customHeight="1" thickBot="1">
      <c r="C35" s="147"/>
      <c r="D35" s="380"/>
      <c r="E35" s="380"/>
      <c r="F35" s="380"/>
      <c r="G35" s="380"/>
      <c r="H35" s="380"/>
      <c r="I35" s="381"/>
      <c r="K35" s="6"/>
      <c r="L35" s="159"/>
      <c r="M35" s="159"/>
    </row>
    <row r="36" spans="3:19" s="7" customFormat="1" ht="30" customHeight="1">
      <c r="C36" s="6"/>
      <c r="D36" s="382"/>
      <c r="E36" s="382"/>
      <c r="F36" s="382"/>
      <c r="G36" s="382"/>
      <c r="H36" s="382"/>
      <c r="I36" s="382"/>
    </row>
    <row r="42" spans="3:19">
      <c r="L42" s="4"/>
      <c r="M42" s="4"/>
    </row>
    <row r="43" spans="3:19" ht="44.25" customHeight="1">
      <c r="D43" s="383" t="s">
        <v>212</v>
      </c>
      <c r="E43" s="383"/>
      <c r="F43" s="383"/>
      <c r="G43" s="383"/>
      <c r="H43" s="383"/>
      <c r="I43" s="383"/>
      <c r="J43" s="383"/>
      <c r="L43" s="4"/>
      <c r="M43" s="4"/>
    </row>
  </sheetData>
  <dataConsolidate link="1"/>
  <mergeCells count="15">
    <mergeCell ref="D35:I35"/>
    <mergeCell ref="D36:I36"/>
    <mergeCell ref="D43:J43"/>
    <mergeCell ref="Q21:R21"/>
    <mergeCell ref="U21:V21"/>
    <mergeCell ref="V22:W22"/>
    <mergeCell ref="Q26:R26"/>
    <mergeCell ref="U26:V26"/>
    <mergeCell ref="Q20:S20"/>
    <mergeCell ref="U20:W20"/>
    <mergeCell ref="N3:V3"/>
    <mergeCell ref="Q10:R10"/>
    <mergeCell ref="C16:I16"/>
    <mergeCell ref="C17:G17"/>
    <mergeCell ref="D18:F18"/>
  </mergeCells>
  <dataValidations disablePrompts="1" count="1">
    <dataValidation type="list" allowBlank="1" showInputMessage="1" showErrorMessage="1" sqref="K4:K12" xr:uid="{192047B4-1C82-4424-9680-A2965DAB188D}">
      <formula1>"Y,N"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C1491-7530-4A17-AE40-6045091F0E67}">
  <sheetPr codeName="Sheet6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434" t="str">
        <f ca="1">MID(CELL("filename",A1),FIND("]",CELL("filename",A1))+1,LEN(CELL("filename",A1))-FIND("]",CELL("filename",A1)))</f>
        <v>TEMPLATE (DP)</v>
      </c>
      <c r="C2" s="435"/>
      <c r="D2" s="435"/>
      <c r="E2" s="435"/>
      <c r="F2" s="435"/>
      <c r="G2" s="436"/>
      <c r="H2" s="63"/>
      <c r="I2" s="418" t="s">
        <v>92</v>
      </c>
      <c r="J2" s="420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443" t="s">
        <v>97</v>
      </c>
      <c r="O3" s="444"/>
      <c r="P3" s="444"/>
      <c r="Q3" s="444"/>
      <c r="R3" s="444"/>
      <c r="S3" s="444"/>
      <c r="T3" s="444"/>
      <c r="U3" s="444"/>
      <c r="V3" s="444"/>
      <c r="W3" s="445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15" t="s">
        <v>385</v>
      </c>
      <c r="J6" s="416"/>
      <c r="K6" s="417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434" t="s">
        <v>113</v>
      </c>
      <c r="C7" s="435"/>
      <c r="D7" s="435"/>
      <c r="E7" s="435"/>
      <c r="F7" s="435"/>
      <c r="G7" s="436"/>
      <c r="I7" s="290" t="s">
        <v>386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391</v>
      </c>
      <c r="J8" s="301">
        <f>IF(K21,K21,K20)</f>
        <v>21.633307652783937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392</v>
      </c>
      <c r="J9" s="302">
        <f>J8+J7+5+(2*tie_bar_diameter)</f>
        <v>29.883307652783937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393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394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59" t="s">
        <v>286</v>
      </c>
      <c r="J12" s="460"/>
      <c r="K12" s="461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446" t="s">
        <v>124</v>
      </c>
      <c r="C15" s="447"/>
      <c r="D15" s="447"/>
      <c r="E15" s="448"/>
      <c r="F15" s="435" t="s">
        <v>125</v>
      </c>
      <c r="G15" s="436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49" t="s">
        <v>127</v>
      </c>
      <c r="C16" s="450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51" t="s">
        <v>130</v>
      </c>
      <c r="C17" s="452"/>
      <c r="D17" s="198">
        <f>IF(K21=0,K20,K21)</f>
        <v>21.633307652783937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51" t="s">
        <v>132</v>
      </c>
      <c r="C18" s="452"/>
      <c r="D18" s="176">
        <v>41.5</v>
      </c>
      <c r="E18" s="102" t="s">
        <v>128</v>
      </c>
      <c r="F18" s="453" t="s">
        <v>133</v>
      </c>
      <c r="G18" s="455">
        <f>(PI()*(F17/2)^2*G17)/27+(((B9^2)-(PI()*(B9/2)^2))*(G5/12))/27</f>
        <v>2.6179938779914944</v>
      </c>
      <c r="H18" s="61"/>
      <c r="I18" s="423" t="s">
        <v>131</v>
      </c>
      <c r="J18" s="424"/>
      <c r="K18" s="294"/>
      <c r="N18" s="213"/>
      <c r="X18" s="104"/>
    </row>
    <row r="19" spans="1:24" s="62" customFormat="1" ht="13.5" thickBot="1">
      <c r="B19" s="457" t="s">
        <v>136</v>
      </c>
      <c r="C19" s="458"/>
      <c r="D19" s="176">
        <v>4</v>
      </c>
      <c r="E19" s="102" t="s">
        <v>137</v>
      </c>
      <c r="F19" s="454"/>
      <c r="G19" s="456"/>
      <c r="H19" s="61"/>
      <c r="I19" s="295" t="s">
        <v>134</v>
      </c>
      <c r="J19" s="296" t="s">
        <v>135</v>
      </c>
      <c r="K19" s="297"/>
      <c r="N19" s="187"/>
      <c r="O19" s="184"/>
      <c r="P19" s="418" t="s">
        <v>255</v>
      </c>
      <c r="Q19" s="419"/>
      <c r="R19" s="420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439" t="s">
        <v>138</v>
      </c>
      <c r="C20" s="440"/>
      <c r="D20" s="441" t="s">
        <v>305</v>
      </c>
      <c r="E20" s="442"/>
      <c r="F20" s="180" t="s">
        <v>139</v>
      </c>
      <c r="G20" s="191">
        <f>SteelArea/DrilledPierArea</f>
        <v>2.9473137609610251E-3</v>
      </c>
      <c r="H20" s="61"/>
      <c r="I20" s="298">
        <v>12</v>
      </c>
      <c r="J20" s="289">
        <v>18</v>
      </c>
      <c r="K20" s="299">
        <f>SQRT(I20^2+J20^2)</f>
        <v>21.633307652783937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21" t="s">
        <v>140</v>
      </c>
      <c r="J21" s="422"/>
      <c r="K21" s="179"/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27" t="s">
        <v>141</v>
      </c>
      <c r="C22" s="428"/>
      <c r="D22" s="428"/>
      <c r="E22" s="428"/>
      <c r="F22" s="428"/>
      <c r="G22" s="429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418" t="s">
        <v>142</v>
      </c>
      <c r="J23" s="419"/>
      <c r="K23" s="420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430" t="s">
        <v>143</v>
      </c>
      <c r="C24" s="431"/>
      <c r="D24" s="431"/>
      <c r="E24" s="431"/>
      <c r="F24" s="431"/>
      <c r="G24" s="105" t="str">
        <f>IF(I31&gt;1.5*D16,"OK","CHK")</f>
        <v>CHK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32" t="s">
        <v>145</v>
      </c>
      <c r="C25" s="433"/>
      <c r="D25" s="433"/>
      <c r="E25" s="433"/>
      <c r="F25" s="433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434" t="s">
        <v>148</v>
      </c>
      <c r="C28" s="435"/>
      <c r="D28" s="435"/>
      <c r="E28" s="435"/>
      <c r="F28" s="435"/>
      <c r="G28" s="436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391" t="s">
        <v>272</v>
      </c>
      <c r="U28" s="392"/>
      <c r="V28" s="392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37" t="s">
        <v>150</v>
      </c>
      <c r="C29" s="438"/>
      <c r="D29" s="438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6" t="s">
        <v>153</v>
      </c>
      <c r="C30" s="397"/>
      <c r="D30" s="397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21.633307652783937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398" t="s">
        <v>155</v>
      </c>
      <c r="C31" s="399"/>
      <c r="D31" s="399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3.3666923472160626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399" t="s">
        <v>157</v>
      </c>
      <c r="D32" s="399"/>
      <c r="E32" s="176" t="s">
        <v>114</v>
      </c>
      <c r="F32" s="164" t="s">
        <v>158</v>
      </c>
      <c r="G32" s="177">
        <v>12</v>
      </c>
      <c r="H32" s="61"/>
      <c r="I32" s="305" t="s">
        <v>398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0" t="s">
        <v>160</v>
      </c>
      <c r="C33" s="401"/>
      <c r="D33" s="401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402" t="str">
        <f>IF(J32&lt;&gt;E32,"Be  sure to verify that the tie size is correct for the selected pier diameter!","")</f>
        <v/>
      </c>
      <c r="J33" s="403"/>
      <c r="K33" s="404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6" t="s">
        <v>162</v>
      </c>
      <c r="C34" s="397"/>
      <c r="D34" s="397"/>
      <c r="E34" s="194" t="str">
        <f>VLOOKUP(F17,Table25673634[[DIA (FT)]:[SIZE]],3,FALSE)&amp;" - "&amp;VLOOKUP(F17,Table25673634[[DIA (FT)]:[SIZE]],4,FALSE)</f>
        <v>5 - #7</v>
      </c>
      <c r="F34" s="111"/>
      <c r="G34" s="112"/>
      <c r="H34"/>
      <c r="I34" s="405"/>
      <c r="J34" s="406"/>
      <c r="K34" s="407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398" t="s">
        <v>163</v>
      </c>
      <c r="C35" s="399"/>
      <c r="D35" s="399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394" t="s">
        <v>164</v>
      </c>
      <c r="C37" s="395"/>
      <c r="D37" s="395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52" t="str">
        <f ca="1">MID(CELL("filename",A1),FIND("]",CELL("filename",A1))+1,LEN(CELL("filename",A1))-FIND("]",CELL("filename",A1)))</f>
        <v>TEMPLATE (DP)</v>
      </c>
      <c r="C39" s="353"/>
      <c r="D39" s="353"/>
      <c r="E39" s="353"/>
      <c r="F39" s="9"/>
      <c r="G39" s="10"/>
      <c r="I39" s="408" t="s">
        <v>313</v>
      </c>
      <c r="J39" s="409"/>
      <c r="K39" s="410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379" t="s">
        <v>189</v>
      </c>
      <c r="C40" s="357"/>
      <c r="D40" s="357"/>
      <c r="E40" s="357"/>
      <c r="G40" s="12"/>
      <c r="I40" s="251"/>
      <c r="J40" s="411"/>
      <c r="K40" s="412"/>
      <c r="N40" s="13"/>
      <c r="O40" s="15"/>
      <c r="S40" s="13"/>
      <c r="T40" s="14"/>
      <c r="U40" s="15"/>
    </row>
    <row r="41" spans="1:25">
      <c r="B41" s="11"/>
      <c r="C41" s="393" t="str">
        <f>TEXT(G18,"0.0")&amp;" CU. YDS. CONCRETE"</f>
        <v>2.6 CU. YDS. CONCRETE</v>
      </c>
      <c r="D41" s="393"/>
      <c r="G41" s="12"/>
      <c r="I41" s="252"/>
      <c r="J41" s="413"/>
      <c r="K41" s="414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25"/>
      <c r="K43" s="426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tr">
        <f>"("&amp;D20&amp;")"</f>
        <v>(AC18-96NG-3N2W)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B20:C20"/>
    <mergeCell ref="D20:E20"/>
    <mergeCell ref="B2:G2"/>
    <mergeCell ref="N3:W3"/>
    <mergeCell ref="B7:G7"/>
    <mergeCell ref="B15:E15"/>
    <mergeCell ref="F15:G15"/>
    <mergeCell ref="P19:R19"/>
    <mergeCell ref="B16:C16"/>
    <mergeCell ref="B17:C17"/>
    <mergeCell ref="B18:C18"/>
    <mergeCell ref="F18:F19"/>
    <mergeCell ref="G18:G19"/>
    <mergeCell ref="B19:C19"/>
    <mergeCell ref="I12:K12"/>
    <mergeCell ref="I2:J2"/>
    <mergeCell ref="B22:G22"/>
    <mergeCell ref="B24:F24"/>
    <mergeCell ref="B25:F25"/>
    <mergeCell ref="B28:G28"/>
    <mergeCell ref="B29:D29"/>
    <mergeCell ref="I6:K6"/>
    <mergeCell ref="I23:K23"/>
    <mergeCell ref="I21:J21"/>
    <mergeCell ref="I18:J18"/>
    <mergeCell ref="J43:K43"/>
    <mergeCell ref="T28:V28"/>
    <mergeCell ref="B39:E39"/>
    <mergeCell ref="B40:E40"/>
    <mergeCell ref="C41:D41"/>
    <mergeCell ref="B37:D37"/>
    <mergeCell ref="B30:D30"/>
    <mergeCell ref="B31:D31"/>
    <mergeCell ref="C32:D32"/>
    <mergeCell ref="B33:D33"/>
    <mergeCell ref="B34:D34"/>
    <mergeCell ref="B35:D35"/>
    <mergeCell ref="I33:K34"/>
    <mergeCell ref="I39:K39"/>
    <mergeCell ref="J40:K40"/>
    <mergeCell ref="J41:K41"/>
  </mergeCells>
  <conditionalFormatting sqref="G24:G25">
    <cfRule type="containsText" dxfId="47" priority="1" operator="containsText" text="OK">
      <formula>NOT(ISERROR(SEARCH("OK",G24)))</formula>
    </cfRule>
    <cfRule type="containsText" dxfId="46" priority="2" operator="containsText" text="CHK">
      <formula>NOT(ISERROR(SEARCH("CHK",G24)))</formula>
    </cfRule>
  </conditionalFormatting>
  <dataValidations count="2">
    <dataValidation type="list" allowBlank="1" showInputMessage="1" showErrorMessage="1" sqref="E9:E13" xr:uid="{5BB82439-1DDC-42E3-80EC-74B1E8B3B38E}">
      <formula1>$N$6:$N$16</formula1>
    </dataValidation>
    <dataValidation type="list" allowBlank="1" showInputMessage="1" showErrorMessage="1" sqref="E32" xr:uid="{97228391-6B05-4E3B-938D-2A4AA3AAB3E5}">
      <formula1>$N$7:$N$9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6B983-C2AF-4DBA-8DA9-831A916589B9}">
  <sheetPr codeName="Sheet8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434" t="str">
        <f ca="1">MID(CELL("filename",A1),FIND("]",CELL("filename",A1))+1,LEN(CELL("filename",A1))-FIND("]",CELL("filename",A1)))</f>
        <v>FTG A (DP)</v>
      </c>
      <c r="C2" s="435"/>
      <c r="D2" s="435"/>
      <c r="E2" s="435"/>
      <c r="F2" s="435"/>
      <c r="G2" s="436"/>
      <c r="H2" s="63"/>
      <c r="I2" s="418" t="s">
        <v>92</v>
      </c>
      <c r="J2" s="420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443" t="s">
        <v>97</v>
      </c>
      <c r="O3" s="444"/>
      <c r="P3" s="444"/>
      <c r="Q3" s="444"/>
      <c r="R3" s="444"/>
      <c r="S3" s="444"/>
      <c r="T3" s="444"/>
      <c r="U3" s="444"/>
      <c r="V3" s="444"/>
      <c r="W3" s="445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15" t="s">
        <v>385</v>
      </c>
      <c r="J6" s="416"/>
      <c r="K6" s="417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434" t="s">
        <v>113</v>
      </c>
      <c r="C7" s="435"/>
      <c r="D7" s="435"/>
      <c r="E7" s="435"/>
      <c r="F7" s="435"/>
      <c r="G7" s="436"/>
      <c r="I7" s="290" t="s">
        <v>386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391</v>
      </c>
      <c r="J8" s="301">
        <f>IF(K21,K21,K20)</f>
        <v>16.970562748477139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392</v>
      </c>
      <c r="J9" s="302">
        <f>J8+J7+5+(2*tie_bar_diameter)</f>
        <v>25.220562748477139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393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394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59" t="s">
        <v>286</v>
      </c>
      <c r="J12" s="460"/>
      <c r="K12" s="461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446" t="s">
        <v>124</v>
      </c>
      <c r="C15" s="447"/>
      <c r="D15" s="447"/>
      <c r="E15" s="448"/>
      <c r="F15" s="435" t="s">
        <v>125</v>
      </c>
      <c r="G15" s="436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49" t="s">
        <v>127</v>
      </c>
      <c r="C16" s="450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51" t="s">
        <v>130</v>
      </c>
      <c r="C17" s="452"/>
      <c r="D17" s="198">
        <f>IF(K21=0,K20,K21)</f>
        <v>16.970562748477139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51" t="s">
        <v>132</v>
      </c>
      <c r="C18" s="452"/>
      <c r="D18" s="176">
        <v>41.5</v>
      </c>
      <c r="E18" s="102" t="s">
        <v>128</v>
      </c>
      <c r="F18" s="453" t="s">
        <v>133</v>
      </c>
      <c r="G18" s="455">
        <f>(PI()*(F17/2)^2*G17)/27+(((B9^2)-(PI()*(B9/2)^2))*(G5/12))/27</f>
        <v>2.6179938779914944</v>
      </c>
      <c r="H18" s="61"/>
      <c r="I18" s="423" t="s">
        <v>131</v>
      </c>
      <c r="J18" s="424"/>
      <c r="K18" s="294"/>
      <c r="N18" s="213"/>
      <c r="X18" s="104"/>
    </row>
    <row r="19" spans="1:24" s="62" customFormat="1" ht="13.5" thickBot="1">
      <c r="B19" s="457" t="s">
        <v>136</v>
      </c>
      <c r="C19" s="458"/>
      <c r="D19" s="176">
        <v>4</v>
      </c>
      <c r="E19" s="102" t="s">
        <v>137</v>
      </c>
      <c r="F19" s="454"/>
      <c r="G19" s="456"/>
      <c r="H19" s="61"/>
      <c r="I19" s="295" t="s">
        <v>134</v>
      </c>
      <c r="J19" s="296" t="s">
        <v>135</v>
      </c>
      <c r="K19" s="297"/>
      <c r="N19" s="187"/>
      <c r="O19" s="184"/>
      <c r="P19" s="418" t="s">
        <v>255</v>
      </c>
      <c r="Q19" s="419"/>
      <c r="R19" s="420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439" t="s">
        <v>138</v>
      </c>
      <c r="C20" s="440"/>
      <c r="D20" s="441" t="s">
        <v>305</v>
      </c>
      <c r="E20" s="442"/>
      <c r="F20" s="180" t="s">
        <v>139</v>
      </c>
      <c r="G20" s="191">
        <f>SteelArea/DrilledPierArea</f>
        <v>2.9473137609610251E-3</v>
      </c>
      <c r="H20" s="61"/>
      <c r="I20" s="298">
        <v>12</v>
      </c>
      <c r="J20" s="289">
        <v>12</v>
      </c>
      <c r="K20" s="299">
        <f>SQRT(I20^2+J20^2)</f>
        <v>16.970562748477139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21" t="s">
        <v>140</v>
      </c>
      <c r="J21" s="422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27" t="s">
        <v>141</v>
      </c>
      <c r="C22" s="428"/>
      <c r="D22" s="428"/>
      <c r="E22" s="428"/>
      <c r="F22" s="428"/>
      <c r="G22" s="429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418" t="s">
        <v>142</v>
      </c>
      <c r="J23" s="419"/>
      <c r="K23" s="420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430" t="s">
        <v>143</v>
      </c>
      <c r="C24" s="431"/>
      <c r="D24" s="431"/>
      <c r="E24" s="431"/>
      <c r="F24" s="431"/>
      <c r="G24" s="105" t="str">
        <f>IF(I31&gt;1.5*D16,"OK","CHK")</f>
        <v>OK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32" t="s">
        <v>145</v>
      </c>
      <c r="C25" s="433"/>
      <c r="D25" s="433"/>
      <c r="E25" s="433"/>
      <c r="F25" s="433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434" t="s">
        <v>148</v>
      </c>
      <c r="C28" s="435"/>
      <c r="D28" s="435"/>
      <c r="E28" s="435"/>
      <c r="F28" s="435"/>
      <c r="G28" s="436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391" t="s">
        <v>272</v>
      </c>
      <c r="U28" s="392"/>
      <c r="V28" s="392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37" t="s">
        <v>150</v>
      </c>
      <c r="C29" s="438"/>
      <c r="D29" s="438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6" t="s">
        <v>153</v>
      </c>
      <c r="C30" s="397"/>
      <c r="D30" s="397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16.970562748477139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398" t="s">
        <v>155</v>
      </c>
      <c r="C31" s="399"/>
      <c r="D31" s="399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8.0294372515228609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399" t="s">
        <v>157</v>
      </c>
      <c r="D32" s="399"/>
      <c r="E32" s="176" t="s">
        <v>114</v>
      </c>
      <c r="F32" s="164" t="s">
        <v>158</v>
      </c>
      <c r="G32" s="177">
        <v>12</v>
      </c>
      <c r="H32" s="61"/>
      <c r="I32" s="305" t="s">
        <v>398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0" t="s">
        <v>160</v>
      </c>
      <c r="C33" s="401"/>
      <c r="D33" s="401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402" t="str">
        <f>IF(J32&lt;&gt;E32,"Be  sure to verify that the tie size is correct for the selected pier diameter!","")</f>
        <v/>
      </c>
      <c r="J33" s="403"/>
      <c r="K33" s="404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6" t="s">
        <v>162</v>
      </c>
      <c r="C34" s="397"/>
      <c r="D34" s="397"/>
      <c r="E34" s="194" t="str">
        <f>VLOOKUP(F17,Table2567363413[[DIA (FT)]:[SIZE]],3,FALSE)&amp;" - "&amp;VLOOKUP(F17,Table2567363413[[DIA (FT)]:[SIZE]],4,FALSE)</f>
        <v>5 - #7</v>
      </c>
      <c r="F34" s="111"/>
      <c r="G34" s="112"/>
      <c r="H34"/>
      <c r="I34" s="405"/>
      <c r="J34" s="406"/>
      <c r="K34" s="407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398" t="s">
        <v>163</v>
      </c>
      <c r="C35" s="399"/>
      <c r="D35" s="399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E35*VLOOKUP(F17,Table2567363413[[DIA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394" t="s">
        <v>164</v>
      </c>
      <c r="C37" s="395"/>
      <c r="D37" s="395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52" t="str">
        <f ca="1">MID(CELL("filename",A1),FIND("]",CELL("filename",A1))+1,LEN(CELL("filename",A1))-FIND("]",CELL("filename",A1)))</f>
        <v>FTG A (DP)</v>
      </c>
      <c r="C39" s="353"/>
      <c r="D39" s="353"/>
      <c r="E39" s="353"/>
      <c r="F39" s="9"/>
      <c r="G39" s="10"/>
      <c r="I39" s="408" t="s">
        <v>313</v>
      </c>
      <c r="J39" s="409"/>
      <c r="K39" s="410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379" t="s">
        <v>189</v>
      </c>
      <c r="C40" s="357"/>
      <c r="D40" s="357"/>
      <c r="E40" s="357"/>
      <c r="G40" s="12"/>
      <c r="I40" s="251"/>
      <c r="J40" s="411"/>
      <c r="K40" s="412"/>
      <c r="N40" s="13"/>
      <c r="O40" s="15"/>
      <c r="S40" s="13"/>
      <c r="T40" s="14"/>
      <c r="U40" s="15"/>
    </row>
    <row r="41" spans="1:25">
      <c r="B41" s="11"/>
      <c r="C41" s="393" t="str">
        <f>TEXT(G18,"0.0")&amp;" CU. YDS. CONCRETE"</f>
        <v>2.6 CU. YDS. CONCRETE</v>
      </c>
      <c r="D41" s="393"/>
      <c r="G41" s="12"/>
      <c r="I41" s="252"/>
      <c r="J41" s="413"/>
      <c r="K41" s="414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25"/>
      <c r="K43" s="426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421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I12:K12"/>
    <mergeCell ref="B2:G2"/>
    <mergeCell ref="I2:J2"/>
    <mergeCell ref="N3:W3"/>
    <mergeCell ref="I6:K6"/>
    <mergeCell ref="B7:G7"/>
    <mergeCell ref="B15:E15"/>
    <mergeCell ref="F15:G15"/>
    <mergeCell ref="B16:C16"/>
    <mergeCell ref="B17:C17"/>
    <mergeCell ref="B18:C18"/>
    <mergeCell ref="F18:F19"/>
    <mergeCell ref="G18:G19"/>
    <mergeCell ref="T28:V28"/>
    <mergeCell ref="I18:J18"/>
    <mergeCell ref="B19:C19"/>
    <mergeCell ref="P19:R19"/>
    <mergeCell ref="B20:C20"/>
    <mergeCell ref="D20:E20"/>
    <mergeCell ref="I21:J21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</mergeCells>
  <conditionalFormatting sqref="G24:G25">
    <cfRule type="containsText" dxfId="36" priority="1" operator="containsText" text="OK">
      <formula>NOT(ISERROR(SEARCH("OK",G24)))</formula>
    </cfRule>
    <cfRule type="containsText" dxfId="35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DBBCA37D-E4A6-45EB-B152-276285D8A084}">
      <formula1>$N$7:$N$9</formula1>
    </dataValidation>
    <dataValidation type="list" allowBlank="1" showInputMessage="1" showErrorMessage="1" sqref="E9:E13" xr:uid="{009AAB76-FA33-4251-8B62-BE4D28ACE9B8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F0329-6CEE-44BB-8D9A-C5CE67DEC4C5}">
  <sheetPr codeName="Sheet11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434" t="str">
        <f ca="1">MID(CELL("filename",A1),FIND("]",CELL("filename",A1))+1,LEN(CELL("filename",A1))-FIND("]",CELL("filename",A1)))</f>
        <v>FTG B (DP)</v>
      </c>
      <c r="C2" s="435"/>
      <c r="D2" s="435"/>
      <c r="E2" s="435"/>
      <c r="F2" s="435"/>
      <c r="G2" s="436"/>
      <c r="H2" s="63"/>
      <c r="I2" s="418" t="s">
        <v>92</v>
      </c>
      <c r="J2" s="420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22</v>
      </c>
      <c r="H3" s="67"/>
      <c r="I3" s="181"/>
      <c r="J3" s="182" t="s">
        <v>96</v>
      </c>
      <c r="N3" s="443" t="s">
        <v>97</v>
      </c>
      <c r="O3" s="444"/>
      <c r="P3" s="444"/>
      <c r="Q3" s="444"/>
      <c r="R3" s="444"/>
      <c r="S3" s="444"/>
      <c r="T3" s="444"/>
      <c r="U3" s="444"/>
      <c r="V3" s="444"/>
      <c r="W3" s="445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15" t="s">
        <v>385</v>
      </c>
      <c r="J6" s="416"/>
      <c r="K6" s="417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434" t="s">
        <v>113</v>
      </c>
      <c r="C7" s="435"/>
      <c r="D7" s="435"/>
      <c r="E7" s="435"/>
      <c r="F7" s="435"/>
      <c r="G7" s="436"/>
      <c r="I7" s="290" t="s">
        <v>386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391</v>
      </c>
      <c r="J8" s="301">
        <f>IF(K21,K21,K20)</f>
        <v>25.45584412271571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3.5</v>
      </c>
      <c r="C9" s="178">
        <v>10</v>
      </c>
      <c r="D9" s="178">
        <v>5</v>
      </c>
      <c r="E9" s="178" t="s">
        <v>119</v>
      </c>
      <c r="F9" s="188">
        <f>PI()*((B9/2)^2)*C9</f>
        <v>96.211275016187415</v>
      </c>
      <c r="G9" s="217">
        <f>D9*VLOOKUP(E9,N6:S16,5,FALSE)</f>
        <v>3</v>
      </c>
      <c r="H9" s="61"/>
      <c r="I9" s="293" t="s">
        <v>392</v>
      </c>
      <c r="J9" s="302">
        <f>J8+J7+5+(2*tie_bar_diameter)</f>
        <v>33.70584412271571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393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394</v>
      </c>
      <c r="J11" s="304" cm="1">
        <f t="array" ref="J11">roundpierdia(J9+(2*J10))</f>
        <v>42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59" t="s">
        <v>286</v>
      </c>
      <c r="J12" s="460"/>
      <c r="K12" s="461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446" t="s">
        <v>124</v>
      </c>
      <c r="C15" s="447"/>
      <c r="D15" s="447"/>
      <c r="E15" s="448"/>
      <c r="F15" s="435" t="s">
        <v>125</v>
      </c>
      <c r="G15" s="436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49" t="s">
        <v>127</v>
      </c>
      <c r="C16" s="450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51" t="s">
        <v>130</v>
      </c>
      <c r="C17" s="452"/>
      <c r="D17" s="198">
        <f>IF(K21=0,K20,K21)</f>
        <v>25.45584412271571</v>
      </c>
      <c r="E17" s="102" t="s">
        <v>128</v>
      </c>
      <c r="F17" s="189">
        <f>B9</f>
        <v>3.5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51" t="s">
        <v>132</v>
      </c>
      <c r="C18" s="452"/>
      <c r="D18" s="176">
        <v>41.5</v>
      </c>
      <c r="E18" s="102" t="s">
        <v>128</v>
      </c>
      <c r="F18" s="453" t="s">
        <v>133</v>
      </c>
      <c r="G18" s="455">
        <f>(PI()*(F17/2)^2*G17)/27+(((B9^2)-(PI()*(B9/2)^2))*(G5/12))/27</f>
        <v>3.5633805561550895</v>
      </c>
      <c r="H18" s="61"/>
      <c r="I18" s="423" t="s">
        <v>131</v>
      </c>
      <c r="J18" s="424"/>
      <c r="K18" s="294"/>
      <c r="N18" s="213"/>
      <c r="X18" s="104"/>
    </row>
    <row r="19" spans="1:24" s="62" customFormat="1" ht="13.5" thickBot="1">
      <c r="B19" s="457" t="s">
        <v>136</v>
      </c>
      <c r="C19" s="458"/>
      <c r="D19" s="176">
        <v>4</v>
      </c>
      <c r="E19" s="102" t="s">
        <v>137</v>
      </c>
      <c r="F19" s="454"/>
      <c r="G19" s="456"/>
      <c r="H19" s="61"/>
      <c r="I19" s="295" t="s">
        <v>134</v>
      </c>
      <c r="J19" s="296" t="s">
        <v>135</v>
      </c>
      <c r="K19" s="297"/>
      <c r="N19" s="187"/>
      <c r="O19" s="184"/>
      <c r="P19" s="418" t="s">
        <v>255</v>
      </c>
      <c r="Q19" s="419"/>
      <c r="R19" s="420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439" t="s">
        <v>138</v>
      </c>
      <c r="C20" s="440"/>
      <c r="D20" s="441" t="s">
        <v>305</v>
      </c>
      <c r="E20" s="442"/>
      <c r="F20" s="180" t="s">
        <v>139</v>
      </c>
      <c r="G20" s="191">
        <f>SteelArea/DrilledPierArea</f>
        <v>2.1653733753999368E-3</v>
      </c>
      <c r="H20" s="61"/>
      <c r="I20" s="298">
        <v>18</v>
      </c>
      <c r="J20" s="289">
        <v>18</v>
      </c>
      <c r="K20" s="299">
        <f>SQRT(I20^2+J20^2)</f>
        <v>25.45584412271571</v>
      </c>
      <c r="N20" s="213"/>
      <c r="P20" s="187" t="s">
        <v>256</v>
      </c>
      <c r="Q20" s="184">
        <f>I24</f>
        <v>42</v>
      </c>
      <c r="R20" s="185" t="s">
        <v>128</v>
      </c>
      <c r="U20" s="218" t="s">
        <v>269</v>
      </c>
      <c r="V20" s="238"/>
      <c r="W20" s="238">
        <f>PI()*((B9/2)*12)^2</f>
        <v>1385.4423602330987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21" t="s">
        <v>140</v>
      </c>
      <c r="J21" s="422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27" t="s">
        <v>141</v>
      </c>
      <c r="C22" s="428"/>
      <c r="D22" s="428"/>
      <c r="E22" s="428"/>
      <c r="F22" s="428"/>
      <c r="G22" s="429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418" t="s">
        <v>142</v>
      </c>
      <c r="J23" s="419"/>
      <c r="K23" s="420"/>
      <c r="N23" s="213"/>
      <c r="P23" s="213" t="s">
        <v>309</v>
      </c>
      <c r="Q23" s="62">
        <f>IF(Q21&gt;0.625,12,6)</f>
        <v>6</v>
      </c>
      <c r="R23" s="104"/>
      <c r="S23" s="62">
        <f>PI()*Q27</f>
        <v>111.52653920243766</v>
      </c>
      <c r="X23" s="104"/>
    </row>
    <row r="24" spans="1:24" s="62" customFormat="1" ht="12.75">
      <c r="B24" s="430" t="s">
        <v>143</v>
      </c>
      <c r="C24" s="431"/>
      <c r="D24" s="431"/>
      <c r="E24" s="431"/>
      <c r="F24" s="431"/>
      <c r="G24" s="105" t="str">
        <f>IF(I31&gt;1.5*D16,"OK","CHK")</f>
        <v>OK</v>
      </c>
      <c r="H24" s="61"/>
      <c r="I24" s="199">
        <f>CalculatedPierDia_Inches</f>
        <v>42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32" t="s">
        <v>145</v>
      </c>
      <c r="C25" s="433"/>
      <c r="D25" s="433"/>
      <c r="E25" s="433"/>
      <c r="F25" s="433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35.5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434" t="s">
        <v>148</v>
      </c>
      <c r="C28" s="435"/>
      <c r="D28" s="435"/>
      <c r="E28" s="435"/>
      <c r="F28" s="435"/>
      <c r="G28" s="436"/>
      <c r="H28" s="61"/>
      <c r="I28" s="200">
        <f>I24-(2*I25+2*I26+2*I27)</f>
        <v>33.25</v>
      </c>
      <c r="J28" s="170" t="s">
        <v>152</v>
      </c>
      <c r="K28" s="186"/>
      <c r="N28" s="213"/>
      <c r="P28" s="213" t="s">
        <v>260</v>
      </c>
      <c r="Q28" s="62">
        <f>(PI()*Q27)/Q24</f>
        <v>22.305307840487533</v>
      </c>
      <c r="R28" s="104" t="s">
        <v>128</v>
      </c>
      <c r="T28" s="391" t="s">
        <v>272</v>
      </c>
      <c r="U28" s="392"/>
      <c r="V28" s="392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37" t="s">
        <v>150</v>
      </c>
      <c r="C29" s="438"/>
      <c r="D29" s="438"/>
      <c r="E29" s="192">
        <f>G18</f>
        <v>3.5633805561550895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6" t="s">
        <v>153</v>
      </c>
      <c r="C30" s="397"/>
      <c r="D30" s="397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25.45584412271571</v>
      </c>
      <c r="J30" s="170" t="s">
        <v>156</v>
      </c>
      <c r="K30" s="186"/>
      <c r="N30" s="213"/>
      <c r="P30" s="169" t="s">
        <v>267</v>
      </c>
      <c r="Q30" s="170">
        <f>((1*Q29)+1)*Q28</f>
        <v>22.305307840487533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398" t="s">
        <v>155</v>
      </c>
      <c r="C31" s="399"/>
      <c r="D31" s="399"/>
      <c r="E31" s="193">
        <f>Q35</f>
        <v>143</v>
      </c>
      <c r="F31" s="167" t="str">
        <f>"in (includes "&amp;TEXT(CalculatedTieLapLength,0)&amp;" in lap)"</f>
        <v>in (includes 22 in lap)</v>
      </c>
      <c r="G31" s="109"/>
      <c r="H31" s="61"/>
      <c r="I31" s="202">
        <f>I28-(I29+I30)</f>
        <v>5.5441558772842896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399" t="s">
        <v>157</v>
      </c>
      <c r="D32" s="399"/>
      <c r="E32" s="176" t="s">
        <v>114</v>
      </c>
      <c r="F32" s="164" t="s">
        <v>158</v>
      </c>
      <c r="G32" s="177">
        <v>12</v>
      </c>
      <c r="H32" s="61"/>
      <c r="I32" s="305" t="s">
        <v>398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0" t="s">
        <v>160</v>
      </c>
      <c r="C33" s="401"/>
      <c r="D33" s="401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143'-0"</v>
      </c>
      <c r="F33" s="167" t="s">
        <v>161</v>
      </c>
      <c r="G33" s="110" t="str">
        <f>Q36</f>
        <v>[11'-11.0"]</v>
      </c>
      <c r="H33" s="61"/>
      <c r="I33" s="402" t="str">
        <f>IF(J32&lt;&gt;E32,"Be  sure to verify that the tie size is correct for the selected pier diameter!","")</f>
        <v/>
      </c>
      <c r="J33" s="403"/>
      <c r="K33" s="404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6" t="s">
        <v>162</v>
      </c>
      <c r="C34" s="397"/>
      <c r="D34" s="397"/>
      <c r="E34" s="194" t="str">
        <f>VLOOKUP(F17,Table2567363421[[DIA (FT)]:[SIZE]],3,FALSE)&amp;" - "&amp;VLOOKUP(F17,Table2567363421[[DIA (FT)]:[SIZE]],4,FALSE)</f>
        <v>5 - #7</v>
      </c>
      <c r="F34" s="111"/>
      <c r="G34" s="112"/>
      <c r="H34"/>
      <c r="I34" s="405"/>
      <c r="J34" s="406"/>
      <c r="K34" s="407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398" t="s">
        <v>163</v>
      </c>
      <c r="C35" s="399"/>
      <c r="D35" s="399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143</v>
      </c>
      <c r="R35" s="15" t="s">
        <v>128</v>
      </c>
      <c r="S35" s="218" t="s">
        <v>268</v>
      </c>
      <c r="T35" s="17">
        <f>ROUNDUP((PI()*((F17-(pier_edge_dist/6))*12))+TIE_LAP_DIST,0)</f>
        <v>136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E35*VLOOKUP(F17,Table2567363421[[DIA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[11'-11.0"]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394" t="s">
        <v>164</v>
      </c>
      <c r="C37" s="395"/>
      <c r="D37" s="395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143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143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52" t="str">
        <f ca="1">MID(CELL("filename",A1),FIND("]",CELL("filename",A1))+1,LEN(CELL("filename",A1))-FIND("]",CELL("filename",A1)))</f>
        <v>FTG B (DP)</v>
      </c>
      <c r="C39" s="353"/>
      <c r="D39" s="353"/>
      <c r="E39" s="353"/>
      <c r="F39" s="9"/>
      <c r="G39" s="10"/>
      <c r="I39" s="408" t="s">
        <v>313</v>
      </c>
      <c r="J39" s="409"/>
      <c r="K39" s="410"/>
      <c r="N39" s="8"/>
      <c r="O39" s="10"/>
      <c r="P39" s="169" t="s">
        <v>307</v>
      </c>
      <c r="Q39" s="258">
        <f>(Q37-Q38)*12</f>
        <v>0</v>
      </c>
      <c r="R39" s="15" t="s">
        <v>128</v>
      </c>
      <c r="S39" s="8"/>
      <c r="T39" s="9"/>
      <c r="U39" s="10"/>
    </row>
    <row r="40" spans="1:25" ht="15.75" thickBot="1">
      <c r="B40" s="379" t="s">
        <v>189</v>
      </c>
      <c r="C40" s="357"/>
      <c r="D40" s="357"/>
      <c r="E40" s="357"/>
      <c r="G40" s="12"/>
      <c r="I40" s="251"/>
      <c r="J40" s="411"/>
      <c r="K40" s="412"/>
      <c r="N40" s="13"/>
      <c r="O40" s="15"/>
      <c r="S40" s="13"/>
      <c r="T40" s="14"/>
      <c r="U40" s="15"/>
    </row>
    <row r="41" spans="1:25">
      <c r="B41" s="11"/>
      <c r="C41" s="393" t="str">
        <f>TEXT(G18,"0.0")&amp;" CU. YDS. CONCRETE"</f>
        <v>3.6 CU. YDS. CONCRETE</v>
      </c>
      <c r="D41" s="393"/>
      <c r="G41" s="12"/>
      <c r="I41" s="252"/>
      <c r="J41" s="413"/>
      <c r="K41" s="414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11'-11" LG.BT.</v>
      </c>
      <c r="E43" s="60"/>
      <c r="G43" s="12"/>
      <c r="I43" s="256"/>
      <c r="J43" s="425"/>
      <c r="K43" s="426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421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143'-0"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I12:K12"/>
    <mergeCell ref="B2:G2"/>
    <mergeCell ref="I2:J2"/>
    <mergeCell ref="N3:W3"/>
    <mergeCell ref="I6:K6"/>
    <mergeCell ref="B7:G7"/>
    <mergeCell ref="B15:E15"/>
    <mergeCell ref="F15:G15"/>
    <mergeCell ref="B16:C16"/>
    <mergeCell ref="B17:C17"/>
    <mergeCell ref="B18:C18"/>
    <mergeCell ref="F18:F19"/>
    <mergeCell ref="G18:G19"/>
    <mergeCell ref="T28:V28"/>
    <mergeCell ref="I18:J18"/>
    <mergeCell ref="B19:C19"/>
    <mergeCell ref="P19:R19"/>
    <mergeCell ref="B20:C20"/>
    <mergeCell ref="D20:E20"/>
    <mergeCell ref="I21:J21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</mergeCells>
  <conditionalFormatting sqref="G24:G25">
    <cfRule type="containsText" dxfId="25" priority="1" operator="containsText" text="OK">
      <formula>NOT(ISERROR(SEARCH("OK",G24)))</formula>
    </cfRule>
    <cfRule type="containsText" dxfId="24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94D9E0EA-0A30-4B21-87AD-2F7CA26C7B8D}">
      <formula1>$N$7:$N$9</formula1>
    </dataValidation>
    <dataValidation type="list" allowBlank="1" showInputMessage="1" showErrorMessage="1" sqref="E9:E13" xr:uid="{111AA9F3-1391-45AC-A368-D7FCEB41E794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1C9D-C2C6-46ED-AECA-8285F388C2BA}">
  <sheetPr codeName="Sheet12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434" t="str">
        <f ca="1">MID(CELL("filename",A1),FIND("]",CELL("filename",A1))+1,LEN(CELL("filename",A1))-FIND("]",CELL("filename",A1)))</f>
        <v>FTG C (DP)</v>
      </c>
      <c r="C2" s="435"/>
      <c r="D2" s="435"/>
      <c r="E2" s="435"/>
      <c r="F2" s="435"/>
      <c r="G2" s="436"/>
      <c r="H2" s="63"/>
      <c r="I2" s="418" t="s">
        <v>92</v>
      </c>
      <c r="J2" s="420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443" t="s">
        <v>97</v>
      </c>
      <c r="O3" s="444"/>
      <c r="P3" s="444"/>
      <c r="Q3" s="444"/>
      <c r="R3" s="444"/>
      <c r="S3" s="444"/>
      <c r="T3" s="444"/>
      <c r="U3" s="444"/>
      <c r="V3" s="444"/>
      <c r="W3" s="445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15" t="s">
        <v>385</v>
      </c>
      <c r="J6" s="416"/>
      <c r="K6" s="417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434" t="s">
        <v>113</v>
      </c>
      <c r="C7" s="435"/>
      <c r="D7" s="435"/>
      <c r="E7" s="435"/>
      <c r="F7" s="435"/>
      <c r="G7" s="436"/>
      <c r="I7" s="290" t="s">
        <v>386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391</v>
      </c>
      <c r="J8" s="301">
        <f>IF(K21,K21,K20)</f>
        <v>19.798989873223331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392</v>
      </c>
      <c r="J9" s="302">
        <f>J8+J7+5+(2*tie_bar_diameter)</f>
        <v>28.048989873223331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393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394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59" t="s">
        <v>286</v>
      </c>
      <c r="J12" s="460"/>
      <c r="K12" s="461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446" t="s">
        <v>124</v>
      </c>
      <c r="C15" s="447"/>
      <c r="D15" s="447"/>
      <c r="E15" s="448"/>
      <c r="F15" s="435" t="s">
        <v>125</v>
      </c>
      <c r="G15" s="436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49" t="s">
        <v>127</v>
      </c>
      <c r="C16" s="450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51" t="s">
        <v>130</v>
      </c>
      <c r="C17" s="452"/>
      <c r="D17" s="198">
        <f>IF(K21=0,K20,K21)</f>
        <v>19.798989873223331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51" t="s">
        <v>132</v>
      </c>
      <c r="C18" s="452"/>
      <c r="D18" s="176">
        <v>41.5</v>
      </c>
      <c r="E18" s="102" t="s">
        <v>128</v>
      </c>
      <c r="F18" s="453" t="s">
        <v>133</v>
      </c>
      <c r="G18" s="455">
        <f>(PI()*(F17/2)^2*G17)/27+(((B9^2)-(PI()*(B9/2)^2))*(G5/12))/27</f>
        <v>2.6179938779914944</v>
      </c>
      <c r="H18" s="61"/>
      <c r="I18" s="423" t="s">
        <v>131</v>
      </c>
      <c r="J18" s="424"/>
      <c r="K18" s="294"/>
      <c r="N18" s="213"/>
      <c r="X18" s="104"/>
    </row>
    <row r="19" spans="1:24" s="62" customFormat="1" ht="13.5" thickBot="1">
      <c r="B19" s="457" t="s">
        <v>136</v>
      </c>
      <c r="C19" s="458"/>
      <c r="D19" s="176">
        <v>4</v>
      </c>
      <c r="E19" s="102" t="s">
        <v>137</v>
      </c>
      <c r="F19" s="454"/>
      <c r="G19" s="456"/>
      <c r="H19" s="61"/>
      <c r="I19" s="295" t="s">
        <v>134</v>
      </c>
      <c r="J19" s="296" t="s">
        <v>135</v>
      </c>
      <c r="K19" s="297"/>
      <c r="N19" s="187"/>
      <c r="O19" s="184"/>
      <c r="P19" s="418" t="s">
        <v>255</v>
      </c>
      <c r="Q19" s="419"/>
      <c r="R19" s="420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439" t="s">
        <v>138</v>
      </c>
      <c r="C20" s="440"/>
      <c r="D20" s="441" t="s">
        <v>305</v>
      </c>
      <c r="E20" s="442"/>
      <c r="F20" s="180" t="s">
        <v>139</v>
      </c>
      <c r="G20" s="191">
        <f>SteelArea/DrilledPierArea</f>
        <v>2.9473137609610251E-3</v>
      </c>
      <c r="H20" s="61"/>
      <c r="I20" s="298">
        <v>14</v>
      </c>
      <c r="J20" s="289">
        <v>14</v>
      </c>
      <c r="K20" s="299">
        <f>SQRT(I20^2+J20^2)</f>
        <v>19.798989873223331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21" t="s">
        <v>140</v>
      </c>
      <c r="J21" s="422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27" t="s">
        <v>141</v>
      </c>
      <c r="C22" s="428"/>
      <c r="D22" s="428"/>
      <c r="E22" s="428"/>
      <c r="F22" s="428"/>
      <c r="G22" s="429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418" t="s">
        <v>142</v>
      </c>
      <c r="J23" s="419"/>
      <c r="K23" s="420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430" t="s">
        <v>143</v>
      </c>
      <c r="C24" s="431"/>
      <c r="D24" s="431"/>
      <c r="E24" s="431"/>
      <c r="F24" s="431"/>
      <c r="G24" s="105" t="str">
        <f>IF(I31&gt;1.5*D16,"OK","CHK")</f>
        <v>OK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32" t="s">
        <v>145</v>
      </c>
      <c r="C25" s="433"/>
      <c r="D25" s="433"/>
      <c r="E25" s="433"/>
      <c r="F25" s="433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434" t="s">
        <v>148</v>
      </c>
      <c r="C28" s="435"/>
      <c r="D28" s="435"/>
      <c r="E28" s="435"/>
      <c r="F28" s="435"/>
      <c r="G28" s="436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391" t="s">
        <v>272</v>
      </c>
      <c r="U28" s="392"/>
      <c r="V28" s="392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37" t="s">
        <v>150</v>
      </c>
      <c r="C29" s="438"/>
      <c r="D29" s="438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6" t="s">
        <v>153</v>
      </c>
      <c r="C30" s="397"/>
      <c r="D30" s="397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19.798989873223331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398" t="s">
        <v>155</v>
      </c>
      <c r="C31" s="399"/>
      <c r="D31" s="399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5.2010101267766693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399" t="s">
        <v>157</v>
      </c>
      <c r="D32" s="399"/>
      <c r="E32" s="176" t="s">
        <v>114</v>
      </c>
      <c r="F32" s="164" t="s">
        <v>158</v>
      </c>
      <c r="G32" s="177">
        <v>12</v>
      </c>
      <c r="H32" s="61"/>
      <c r="I32" s="305" t="s">
        <v>398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0" t="s">
        <v>160</v>
      </c>
      <c r="C33" s="401"/>
      <c r="D33" s="401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402" t="str">
        <f>IF(J32&lt;&gt;E32,"Be  sure to verify that the tie size is correct for the selected pier diameter!","")</f>
        <v/>
      </c>
      <c r="J33" s="403"/>
      <c r="K33" s="404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6" t="s">
        <v>162</v>
      </c>
      <c r="C34" s="397"/>
      <c r="D34" s="397"/>
      <c r="E34" s="194" t="str">
        <f>VLOOKUP(F17,Table2567363422[[DIA (FT)]:[SIZE]],3,FALSE)&amp;" - "&amp;VLOOKUP(F17,Table2567363422[[DIA (FT)]:[SIZE]],4,FALSE)</f>
        <v>5 - #7</v>
      </c>
      <c r="F34" s="111"/>
      <c r="G34" s="112"/>
      <c r="H34"/>
      <c r="I34" s="405"/>
      <c r="J34" s="406"/>
      <c r="K34" s="407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398" t="s">
        <v>163</v>
      </c>
      <c r="C35" s="399"/>
      <c r="D35" s="399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E35*VLOOKUP(F17,Table2567363422[[DIA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394" t="s">
        <v>164</v>
      </c>
      <c r="C37" s="395"/>
      <c r="D37" s="395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52" t="str">
        <f ca="1">MID(CELL("filename",A1),FIND("]",CELL("filename",A1))+1,LEN(CELL("filename",A1))-FIND("]",CELL("filename",A1)))</f>
        <v>FTG C (DP)</v>
      </c>
      <c r="C39" s="353"/>
      <c r="D39" s="353"/>
      <c r="E39" s="353"/>
      <c r="F39" s="9"/>
      <c r="G39" s="10"/>
      <c r="I39" s="408" t="s">
        <v>313</v>
      </c>
      <c r="J39" s="409"/>
      <c r="K39" s="410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379" t="s">
        <v>189</v>
      </c>
      <c r="C40" s="357"/>
      <c r="D40" s="357"/>
      <c r="E40" s="357"/>
      <c r="G40" s="12"/>
      <c r="I40" s="251"/>
      <c r="J40" s="411"/>
      <c r="K40" s="412"/>
      <c r="N40" s="13"/>
      <c r="O40" s="15"/>
      <c r="S40" s="13"/>
      <c r="T40" s="14"/>
      <c r="U40" s="15"/>
    </row>
    <row r="41" spans="1:25">
      <c r="B41" s="11"/>
      <c r="C41" s="393" t="str">
        <f>TEXT(G18,"0.0")&amp;" CU. YDS. CONCRETE"</f>
        <v>2.6 CU. YDS. CONCRETE</v>
      </c>
      <c r="D41" s="393"/>
      <c r="G41" s="12"/>
      <c r="I41" s="252"/>
      <c r="J41" s="413"/>
      <c r="K41" s="414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25"/>
      <c r="K43" s="426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421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I12:K12"/>
    <mergeCell ref="B2:G2"/>
    <mergeCell ref="I2:J2"/>
    <mergeCell ref="N3:W3"/>
    <mergeCell ref="I6:K6"/>
    <mergeCell ref="B7:G7"/>
    <mergeCell ref="B15:E15"/>
    <mergeCell ref="F15:G15"/>
    <mergeCell ref="B16:C16"/>
    <mergeCell ref="B17:C17"/>
    <mergeCell ref="B18:C18"/>
    <mergeCell ref="F18:F19"/>
    <mergeCell ref="G18:G19"/>
    <mergeCell ref="T28:V28"/>
    <mergeCell ref="I18:J18"/>
    <mergeCell ref="B19:C19"/>
    <mergeCell ref="P19:R19"/>
    <mergeCell ref="B20:C20"/>
    <mergeCell ref="D20:E20"/>
    <mergeCell ref="I21:J21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</mergeCells>
  <conditionalFormatting sqref="G24:G25">
    <cfRule type="containsText" dxfId="14" priority="1" operator="containsText" text="OK">
      <formula>NOT(ISERROR(SEARCH("OK",G24)))</formula>
    </cfRule>
    <cfRule type="containsText" dxfId="13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9A5140BE-EB5D-4154-B4F0-5A99804F279A}">
      <formula1>$N$7:$N$9</formula1>
    </dataValidation>
    <dataValidation type="list" allowBlank="1" showInputMessage="1" showErrorMessage="1" sqref="E9:E13" xr:uid="{6D56CD2E-F396-4420-9506-7789DE189468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999B4-5BA8-4637-A6DC-889C44C34D66}">
  <sheetPr codeName="Sheet10"/>
  <dimension ref="B3:H16"/>
  <sheetViews>
    <sheetView workbookViewId="0">
      <selection activeCell="C2" sqref="C2"/>
    </sheetView>
  </sheetViews>
  <sheetFormatPr defaultRowHeight="15"/>
  <cols>
    <col min="6" max="7" width="11.5703125" customWidth="1"/>
  </cols>
  <sheetData>
    <row r="3" spans="2:8">
      <c r="B3" s="35"/>
      <c r="C3" s="462" t="s">
        <v>97</v>
      </c>
      <c r="D3" s="463"/>
      <c r="E3" s="463"/>
      <c r="F3" s="463"/>
      <c r="G3" s="463"/>
      <c r="H3" s="464"/>
    </row>
    <row r="4" spans="2:8">
      <c r="B4" s="38"/>
      <c r="C4" s="29" t="s">
        <v>213</v>
      </c>
      <c r="D4" s="29" t="s">
        <v>105</v>
      </c>
      <c r="E4" s="30" t="s">
        <v>104</v>
      </c>
      <c r="F4" s="22" t="s">
        <v>214</v>
      </c>
      <c r="G4" s="22" t="s">
        <v>215</v>
      </c>
      <c r="H4" s="22" t="s">
        <v>216</v>
      </c>
    </row>
    <row r="5" spans="2:8">
      <c r="B5" s="39"/>
      <c r="C5" s="20" t="s">
        <v>217</v>
      </c>
      <c r="D5" s="21" t="s">
        <v>111</v>
      </c>
      <c r="E5" s="22" t="s">
        <v>110</v>
      </c>
      <c r="F5" s="34" t="s">
        <v>110</v>
      </c>
      <c r="G5" s="34" t="s">
        <v>110</v>
      </c>
      <c r="H5" s="34" t="s">
        <v>110</v>
      </c>
    </row>
    <row r="6" spans="2:8">
      <c r="B6" s="36">
        <v>3</v>
      </c>
      <c r="C6" s="23" t="s">
        <v>89</v>
      </c>
      <c r="D6" s="24">
        <v>0.11</v>
      </c>
      <c r="E6" s="31">
        <v>0.375</v>
      </c>
      <c r="F6" s="47">
        <f t="shared" ref="F6:F11" si="0">MAX(6*E6,3)</f>
        <v>3</v>
      </c>
      <c r="G6" s="47">
        <f>MAX(6*E6,3)</f>
        <v>3</v>
      </c>
      <c r="H6" s="47">
        <v>2.25</v>
      </c>
    </row>
    <row r="7" spans="2:8">
      <c r="B7" s="36">
        <v>4</v>
      </c>
      <c r="C7" s="25" t="s">
        <v>114</v>
      </c>
      <c r="D7" s="26">
        <v>0.2</v>
      </c>
      <c r="E7" s="32">
        <v>0.5</v>
      </c>
      <c r="F7" s="48">
        <f t="shared" si="0"/>
        <v>3</v>
      </c>
      <c r="G7" s="48">
        <f>MAX(6*E7,3)</f>
        <v>3</v>
      </c>
      <c r="H7" s="48">
        <v>3</v>
      </c>
    </row>
    <row r="8" spans="2:8">
      <c r="B8" s="36">
        <v>5</v>
      </c>
      <c r="C8" s="25" t="s">
        <v>90</v>
      </c>
      <c r="D8" s="26">
        <v>0.31</v>
      </c>
      <c r="E8" s="32">
        <v>0.625</v>
      </c>
      <c r="F8" s="48">
        <f t="shared" si="0"/>
        <v>3.75</v>
      </c>
      <c r="G8" s="48">
        <f>MAX(6*E8,3)</f>
        <v>3.75</v>
      </c>
      <c r="H8" s="48">
        <v>3.75</v>
      </c>
    </row>
    <row r="9" spans="2:8">
      <c r="B9" s="36">
        <v>6</v>
      </c>
      <c r="C9" s="25" t="s">
        <v>91</v>
      </c>
      <c r="D9" s="26">
        <v>0.44</v>
      </c>
      <c r="E9" s="32">
        <v>0.75</v>
      </c>
      <c r="F9" s="48">
        <f t="shared" si="0"/>
        <v>4.5</v>
      </c>
      <c r="G9" s="48">
        <f>12*E9</f>
        <v>9</v>
      </c>
      <c r="H9" s="48">
        <f>6*E9</f>
        <v>4.5</v>
      </c>
    </row>
    <row r="10" spans="2:8">
      <c r="B10" s="36">
        <v>7</v>
      </c>
      <c r="C10" s="25" t="s">
        <v>119</v>
      </c>
      <c r="D10" s="26">
        <v>0.6</v>
      </c>
      <c r="E10" s="32">
        <v>0.875</v>
      </c>
      <c r="F10" s="48">
        <f t="shared" si="0"/>
        <v>5.25</v>
      </c>
      <c r="G10" s="48">
        <f>12*E10</f>
        <v>10.5</v>
      </c>
      <c r="H10" s="48">
        <f>6*E10</f>
        <v>5.25</v>
      </c>
    </row>
    <row r="11" spans="2:8">
      <c r="B11" s="36">
        <v>8</v>
      </c>
      <c r="C11" s="25" t="s">
        <v>120</v>
      </c>
      <c r="D11" s="26">
        <v>0.79</v>
      </c>
      <c r="E11" s="32">
        <v>1</v>
      </c>
      <c r="F11" s="49">
        <f t="shared" si="0"/>
        <v>6</v>
      </c>
      <c r="G11" s="49">
        <f>12*E11</f>
        <v>12</v>
      </c>
      <c r="H11" s="49">
        <f>6*E11</f>
        <v>6</v>
      </c>
    </row>
    <row r="12" spans="2:8">
      <c r="B12" s="36">
        <v>9</v>
      </c>
      <c r="C12" s="25" t="s">
        <v>121</v>
      </c>
      <c r="D12" s="26">
        <v>1</v>
      </c>
      <c r="E12" s="32">
        <v>1.1279999999999999</v>
      </c>
      <c r="F12" s="42"/>
      <c r="G12" s="41"/>
      <c r="H12" s="43"/>
    </row>
    <row r="13" spans="2:8">
      <c r="B13" s="36">
        <v>10</v>
      </c>
      <c r="C13" s="25" t="s">
        <v>122</v>
      </c>
      <c r="D13" s="26">
        <v>1.27</v>
      </c>
      <c r="E13" s="32">
        <v>1.27</v>
      </c>
      <c r="F13" s="42"/>
      <c r="G13" s="41"/>
      <c r="H13" s="43"/>
    </row>
    <row r="14" spans="2:8">
      <c r="B14" s="36">
        <v>11</v>
      </c>
      <c r="C14" s="25" t="s">
        <v>123</v>
      </c>
      <c r="D14" s="26">
        <v>1.56</v>
      </c>
      <c r="E14" s="32">
        <v>1.41</v>
      </c>
      <c r="F14" s="42"/>
      <c r="G14" s="41"/>
      <c r="H14" s="43"/>
    </row>
    <row r="15" spans="2:8">
      <c r="B15" s="36">
        <v>14</v>
      </c>
      <c r="C15" s="25" t="s">
        <v>126</v>
      </c>
      <c r="D15" s="26">
        <v>2.2599999999999998</v>
      </c>
      <c r="E15" s="32">
        <v>1.6930000000000001</v>
      </c>
      <c r="F15" s="42"/>
      <c r="G15" s="41"/>
      <c r="H15" s="43"/>
    </row>
    <row r="16" spans="2:8">
      <c r="B16" s="37">
        <v>18</v>
      </c>
      <c r="C16" s="27" t="s">
        <v>129</v>
      </c>
      <c r="D16" s="28">
        <v>4</v>
      </c>
      <c r="E16" s="33">
        <v>2.2570000000000001</v>
      </c>
      <c r="F16" s="44"/>
      <c r="G16" s="45"/>
      <c r="H16" s="46"/>
    </row>
  </sheetData>
  <dataConsolidate link="1"/>
  <mergeCells count="1">
    <mergeCell ref="C3:H3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447688-FDBA-42B7-B093-F6A7FDC1DE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73</vt:i4>
      </vt:variant>
    </vt:vector>
  </HeadingPairs>
  <TitlesOfParts>
    <vt:vector size="87" baseType="lpstr">
      <vt:lpstr>DP WORKFLOW and GUIDELINES</vt:lpstr>
      <vt:lpstr>INPUT TABLES</vt:lpstr>
      <vt:lpstr>GEOTECH PARAMETERS</vt:lpstr>
      <vt:lpstr>PAD FTGS WORKFLOW AND GUIDELINE</vt:lpstr>
      <vt:lpstr>FOOTING CHECK LIST</vt:lpstr>
      <vt:lpstr>void_FOOTING CHECK LIST</vt:lpstr>
      <vt:lpstr>ProjectFndnTable</vt:lpstr>
      <vt:lpstr>QTO</vt:lpstr>
      <vt:lpstr>TEMPLATE (PAD)</vt:lpstr>
      <vt:lpstr>TEMPLATE (DP)</vt:lpstr>
      <vt:lpstr>FTG A (DP)</vt:lpstr>
      <vt:lpstr>FTG B (DP)</vt:lpstr>
      <vt:lpstr>FTG C (DP)</vt:lpstr>
      <vt:lpstr>REBAR DATA</vt:lpstr>
      <vt:lpstr>BoringNumbers</vt:lpstr>
      <vt:lpstr>'FTG A (DP)'!BottomBarCover</vt:lpstr>
      <vt:lpstr>'FTG B (DP)'!BottomBarCover</vt:lpstr>
      <vt:lpstr>'FTG C (DP)'!BottomBarCover</vt:lpstr>
      <vt:lpstr>BottomBarCover</vt:lpstr>
      <vt:lpstr>'FTG A (DP)'!BottomCover</vt:lpstr>
      <vt:lpstr>'FTG B (DP)'!BottomCover</vt:lpstr>
      <vt:lpstr>'FTG C (DP)'!BottomCover</vt:lpstr>
      <vt:lpstr>BottomCover</vt:lpstr>
      <vt:lpstr>'FTG A (DP)'!CalculatedPierDia_Inches</vt:lpstr>
      <vt:lpstr>'FTG B (DP)'!CalculatedPierDia_Inches</vt:lpstr>
      <vt:lpstr>'FTG C (DP)'!CalculatedPierDia_Inches</vt:lpstr>
      <vt:lpstr>CalculatedPierDia_Inches</vt:lpstr>
      <vt:lpstr>'FTG A (DP)'!CalculatedTieLapLength</vt:lpstr>
      <vt:lpstr>'FTG B (DP)'!CalculatedTieLapLength</vt:lpstr>
      <vt:lpstr>'FTG C (DP)'!CalculatedTieLapLength</vt:lpstr>
      <vt:lpstr>CalculatedTieLapLength</vt:lpstr>
      <vt:lpstr>'GEOTECH PARAMETERS'!COHESION_PHI</vt:lpstr>
      <vt:lpstr>'FTG A (DP)'!DrilledPierArea</vt:lpstr>
      <vt:lpstr>'FTG B (DP)'!DrilledPierArea</vt:lpstr>
      <vt:lpstr>'FTG C (DP)'!DrilledPierArea</vt:lpstr>
      <vt:lpstr>DrilledPierArea</vt:lpstr>
      <vt:lpstr>'GEOTECH PARAMETERS'!PHI_EPSILON</vt:lpstr>
      <vt:lpstr>'GEOTECH PARAMETERS'!PHI_K</vt:lpstr>
      <vt:lpstr>'FTG A (DP)'!pier_edge_dist</vt:lpstr>
      <vt:lpstr>'FTG B (DP)'!pier_edge_dist</vt:lpstr>
      <vt:lpstr>'FTG C (DP)'!pier_edge_dist</vt:lpstr>
      <vt:lpstr>'TEMPLATE (DP)'!pier_edge_dist</vt:lpstr>
      <vt:lpstr>PileWorkbookPath</vt:lpstr>
      <vt:lpstr>'DP WORKFLOW and GUIDELINES'!Print_Area</vt:lpstr>
      <vt:lpstr>'FTG A (DP)'!Print_Area</vt:lpstr>
      <vt:lpstr>'FTG B (DP)'!Print_Area</vt:lpstr>
      <vt:lpstr>'FTG C (DP)'!Print_Area</vt:lpstr>
      <vt:lpstr>'INPUT TABLES'!Print_Area</vt:lpstr>
      <vt:lpstr>'TEMPLATE (DP)'!Print_Area</vt:lpstr>
      <vt:lpstr>'TEMPLATE (PAD)'!Print_Area</vt:lpstr>
      <vt:lpstr>'TEMPLATE (PAD)'!REBAR_MARKER</vt:lpstr>
      <vt:lpstr>recoverable_factor</vt:lpstr>
      <vt:lpstr>ReinforcingTable</vt:lpstr>
      <vt:lpstr>'FTG A (DP)'!SteelArea</vt:lpstr>
      <vt:lpstr>'FTG B (DP)'!SteelArea</vt:lpstr>
      <vt:lpstr>'FTG C (DP)'!SteelArea</vt:lpstr>
      <vt:lpstr>SteelArea</vt:lpstr>
      <vt:lpstr>StructureList</vt:lpstr>
      <vt:lpstr>'FTG A (DP)'!tie_bar_diameter</vt:lpstr>
      <vt:lpstr>'FTG B (DP)'!tie_bar_diameter</vt:lpstr>
      <vt:lpstr>'FTG C (DP)'!tie_bar_diameter</vt:lpstr>
      <vt:lpstr>tie_bar_diameter</vt:lpstr>
      <vt:lpstr>'FTG A (DP)'!TIE_LAP_DIST</vt:lpstr>
      <vt:lpstr>'FTG B (DP)'!TIE_LAP_DIST</vt:lpstr>
      <vt:lpstr>'FTG C (DP)'!TIE_LAP_DIST</vt:lpstr>
      <vt:lpstr>'TEMPLATE (DP)'!TIE_LAP_DIST</vt:lpstr>
      <vt:lpstr>'FTG A (DP)'!Tie_Spacing</vt:lpstr>
      <vt:lpstr>'FTG B (DP)'!Tie_Spacing</vt:lpstr>
      <vt:lpstr>'FTG C (DP)'!Tie_Spacing</vt:lpstr>
      <vt:lpstr>Tie_Spacing</vt:lpstr>
      <vt:lpstr>TIP_DEFLECTION_PERCENTAGE</vt:lpstr>
      <vt:lpstr>'FTG A (DP)'!TopBarCover</vt:lpstr>
      <vt:lpstr>'FTG B (DP)'!TopBarCover</vt:lpstr>
      <vt:lpstr>'FTG C (DP)'!TopBarCover</vt:lpstr>
      <vt:lpstr>TopBarCover</vt:lpstr>
      <vt:lpstr>'FTG A (DP)'!TopCover</vt:lpstr>
      <vt:lpstr>'FTG B (DP)'!TopCover</vt:lpstr>
      <vt:lpstr>'FTG C (DP)'!TopCover</vt:lpstr>
      <vt:lpstr>TopCover</vt:lpstr>
      <vt:lpstr>'FTG A (DP)'!TopTieQty</vt:lpstr>
      <vt:lpstr>'FTG B (DP)'!TopTieQty</vt:lpstr>
      <vt:lpstr>'FTG C (DP)'!TopTieQty</vt:lpstr>
      <vt:lpstr>TopTieQty</vt:lpstr>
      <vt:lpstr>'FTG A (DP)'!TopTieSpacing</vt:lpstr>
      <vt:lpstr>'FTG B (DP)'!TopTieSpacing</vt:lpstr>
      <vt:lpstr>'FTG C (DP)'!TopTieSpacing</vt:lpstr>
      <vt:lpstr>TopTieSpacing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S. Jones</dc:creator>
  <cp:keywords/>
  <dc:description/>
  <cp:lastModifiedBy>Michael S. Jones</cp:lastModifiedBy>
  <cp:revision/>
  <cp:lastPrinted>2025-10-09T15:01:43Z</cp:lastPrinted>
  <dcterms:created xsi:type="dcterms:W3CDTF">2016-11-28T20:37:07Z</dcterms:created>
  <dcterms:modified xsi:type="dcterms:W3CDTF">2026-09-26T02:12:34Z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c9847a9c-23de-4d08-8cbb-919fb57f26c6</vt:lpwstr>
  </property>
</Properties>
</file>