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comments3.xml" ContentType="application/vnd.openxmlformats-officedocument.spreadsheetml.comments+xml"/>
  <Override PartName="/xl/tables/table1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awatif_class\agentic_agents\inputs\"/>
    </mc:Choice>
  </mc:AlternateContent>
  <xr:revisionPtr revIDLastSave="0" documentId="13_ncr:1_{3972BDFD-90D1-4324-9E8F-D21718C8D86D}" xr6:coauthVersionLast="47" xr6:coauthVersionMax="47" xr10:uidLastSave="{00000000-0000-0000-0000-000000000000}"/>
  <bookViews>
    <workbookView xWindow="-28920" yWindow="-120" windowWidth="29040" windowHeight="16440" tabRatio="795" activeTab="1" xr2:uid="{00000000-000D-0000-FFFF-FFFF00000000}"/>
  </bookViews>
  <sheets>
    <sheet name="DP WORKFLOW and GUIDELINES" sheetId="23" r:id="rId1"/>
    <sheet name="INPUT TABLES" sheetId="15" r:id="rId2"/>
    <sheet name="GEOTECH PARAMETERS" sheetId="40" r:id="rId3"/>
    <sheet name="PAD FTGS WORKFLOW AND GUIDELINE" sheetId="31" r:id="rId4"/>
    <sheet name="FOOTING CHECK LIST" sheetId="32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44" r:id="rId11"/>
    <sheet name="FTG B (DP)" sheetId="45" r:id="rId12"/>
    <sheet name="FTG C (DP)" sheetId="46" r:id="rId13"/>
    <sheet name="REBAR DATA" sheetId="3" state="hidden" r:id="rId14"/>
  </sheets>
  <functionGroups builtInGroupCount="19">
    <functionGroup name="Anaconda Toolbox"/>
  </functionGroups>
  <externalReferences>
    <externalReference r:id="rId15"/>
    <externalReference r:id="rId16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#REF!</definedName>
    <definedName name="BoringNumbers">'INPUT TABLES'!$K$47:$K$49</definedName>
    <definedName name="BottomBarCover" localSheetId="10">'FTG A (DP)'!$J$14</definedName>
    <definedName name="BottomBarCover" localSheetId="11">'FTG B (DP)'!$J$14</definedName>
    <definedName name="BottomBarCover" localSheetId="12">'FTG C (DP)'!$J$14</definedName>
    <definedName name="BottomBarCover" localSheetId="2">'[1]TEMPLATE (DP)'!$J$12</definedName>
    <definedName name="BottomBarCover">'TEMPLATE (DP)'!$J$14</definedName>
    <definedName name="BottomCover" localSheetId="10">'FTG A (DP)'!$J$14</definedName>
    <definedName name="BottomCover" localSheetId="11">'FTG B (DP)'!$J$14</definedName>
    <definedName name="BottomCover" localSheetId="12">'FTG C (DP)'!$J$14</definedName>
    <definedName name="BottomCover">'TEMPLATE (DP)'!$J$14</definedName>
    <definedName name="CalculatedPierDia_Inches" localSheetId="10">'FTG A (DP)'!$J$11</definedName>
    <definedName name="CalculatedPierDia_Inches" localSheetId="11">'FTG B (DP)'!$J$11</definedName>
    <definedName name="CalculatedPierDia_Inches" localSheetId="12">'FTG C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B (DP)'!$Q$30</definedName>
    <definedName name="CalculatedTieLapLength" localSheetId="12">'FTG C (DP)'!$Q$30</definedName>
    <definedName name="CalculatedTieLapLength" localSheetId="2">'[1]TEMPLATE (DP)'!$Q$30</definedName>
    <definedName name="CalculatedTieLapLength">'TEMPLATE (DP)'!$Q$30</definedName>
    <definedName name="COHESION_PHI" localSheetId="2">'GEOTECH PARAMETERS'!$H$2</definedName>
    <definedName name="COHESION_PHI">#REF!</definedName>
    <definedName name="DrilledPierArea" localSheetId="10">'FTG A (DP)'!$W$20</definedName>
    <definedName name="DrilledPierArea" localSheetId="11">'FTG B (DP)'!$W$20</definedName>
    <definedName name="DrilledPierArea" localSheetId="12">'FTG C (DP)'!$W$20</definedName>
    <definedName name="DrilledPierArea" localSheetId="2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2">'GEOTECH PARAMETERS'!$N$2</definedName>
    <definedName name="PHI_K" localSheetId="2">'GEOTECH PARAMETERS'!$K$2</definedName>
    <definedName name="PHI_K">#REF!</definedName>
    <definedName name="pier_edge_dist" localSheetId="10">'FTG A (DP)'!$G$4</definedName>
    <definedName name="pier_edge_dist" localSheetId="11">'FTG B (DP)'!$G$4</definedName>
    <definedName name="pier_edge_dist" localSheetId="12">'FTG C (DP)'!$G$4</definedName>
    <definedName name="pier_edge_dist" localSheetId="9">'TEMPLATE (DP)'!$G$4</definedName>
    <definedName name="pier_edge_dist" localSheetId="8">'[2]FUSE STAND PIER'!$G$4</definedName>
    <definedName name="PileWorkbookPath">'INPUT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B (DP)'!$B$2:$G$37</definedName>
    <definedName name="_xlnm.Print_Area" localSheetId="12">'FTG C (DP)'!$B$2:$G$37</definedName>
    <definedName name="_xlnm.Print_Area" localSheetId="1">'INPUT TABLES'!$K$5:$V$62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2">'[1]DP WORKFLOW and GUIDELINES'!$F$66</definedName>
    <definedName name="recoverable_factor">'DP WORKFLOW and GUIDELINES'!$F$66</definedName>
    <definedName name="ReinforcingTable" localSheetId="2">'[1]REBAR DATA'!$C$6:$H$16</definedName>
    <definedName name="ReinforcingTable">'REBAR DATA'!$C$6:$H$16</definedName>
    <definedName name="SteelArea" localSheetId="10">'FTG A (DP)'!$G$9</definedName>
    <definedName name="SteelArea" localSheetId="11">'FTG B (DP)'!$G$9</definedName>
    <definedName name="SteelArea" localSheetId="12">'FTG C (DP)'!$G$9</definedName>
    <definedName name="SteelArea" localSheetId="2">'[1]TEMPLATE (DP)'!$G$9</definedName>
    <definedName name="SteelArea">'TEMPLATE (DP)'!$G$9</definedName>
    <definedName name="StructureList">'INPUT TABLES'!$L$47:$L$49</definedName>
    <definedName name="tie_bar_diameter" localSheetId="10">'FTG A (DP)'!$I$25</definedName>
    <definedName name="tie_bar_diameter" localSheetId="11">'FTG B (DP)'!$I$25</definedName>
    <definedName name="tie_bar_diameter" localSheetId="12">'FTG C (DP)'!$I$25</definedName>
    <definedName name="tie_bar_diameter">'TEMPLATE (DP)'!$I$25</definedName>
    <definedName name="TIE_LAP_DIST" localSheetId="10">'FTG A (DP)'!$G$3</definedName>
    <definedName name="TIE_LAP_DIST" localSheetId="11">'FTG B (DP)'!$G$3</definedName>
    <definedName name="TIE_LAP_DIST" localSheetId="12">'FTG C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B (DP)'!$G$32</definedName>
    <definedName name="Tie_Spacing" localSheetId="12">'FTG C (DP)'!$G$32</definedName>
    <definedName name="Tie_Spacing" localSheetId="2">'[1]TEMPLATE (DP)'!$G$32</definedName>
    <definedName name="Tie_Spacing">'TEMPLATE (DP)'!$G$32</definedName>
    <definedName name="TIP_DEFLECTION_PERCENTAGE" localSheetId="2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B (DP)'!$J$13</definedName>
    <definedName name="TopBarCover" localSheetId="12">'FTG C (DP)'!$J$13</definedName>
    <definedName name="TopBarCover" localSheetId="2">'[1]TEMPLATE (DP)'!$J$11</definedName>
    <definedName name="TopBarCover">'TEMPLATE (DP)'!$J$13</definedName>
    <definedName name="TopCover" localSheetId="10">'FTG A (DP)'!$J$13</definedName>
    <definedName name="TopCover" localSheetId="11">'FTG B (DP)'!$J$13</definedName>
    <definedName name="TopCover" localSheetId="12">'FTG C (DP)'!$J$13</definedName>
    <definedName name="TopCover">'TEMPLATE (DP)'!$J$13</definedName>
    <definedName name="TopTieQty" localSheetId="10">'FTG A (DP)'!$J$15</definedName>
    <definedName name="TopTieQty" localSheetId="11">'FTG B (DP)'!$J$15</definedName>
    <definedName name="TopTieQty" localSheetId="12">'FTG C (DP)'!$J$15</definedName>
    <definedName name="TopTieQty" localSheetId="2">'[1]TEMPLATE (DP)'!$J$13</definedName>
    <definedName name="TopTieQty">'TEMPLATE (DP)'!$J$15</definedName>
    <definedName name="TopTieSpacing" localSheetId="10">'FTG A (DP)'!$J$16</definedName>
    <definedName name="TopTieSpacing" localSheetId="11">'FTG B (DP)'!$J$16</definedName>
    <definedName name="TopTieSpacing" localSheetId="12">'FTG C (DP)'!$J$16</definedName>
    <definedName name="TopTieSpacing" localSheetId="2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8" i="15" l="1"/>
  <c r="F59" i="15"/>
  <c r="F60" i="15"/>
  <c r="C45" i="46"/>
  <c r="C44" i="46"/>
  <c r="B39" i="46"/>
  <c r="W36" i="46"/>
  <c r="W34" i="46"/>
  <c r="W33" i="46"/>
  <c r="W32" i="46"/>
  <c r="W31" i="46"/>
  <c r="W30" i="46"/>
  <c r="F30" i="46"/>
  <c r="G29" i="46"/>
  <c r="X28" i="46" a="1"/>
  <c r="X28" i="46" s="1"/>
  <c r="W28" i="46" a="1"/>
  <c r="W28" i="46" s="1"/>
  <c r="I26" i="46"/>
  <c r="I25" i="46"/>
  <c r="Q21" i="46" s="1"/>
  <c r="Q24" i="46"/>
  <c r="K20" i="46"/>
  <c r="D17" i="46" s="1"/>
  <c r="I30" i="46" s="1"/>
  <c r="J17" i="46"/>
  <c r="G17" i="46"/>
  <c r="E35" i="46" s="1"/>
  <c r="G9" i="46"/>
  <c r="B2" i="46"/>
  <c r="C45" i="45"/>
  <c r="C44" i="45"/>
  <c r="B39" i="45"/>
  <c r="W36" i="45"/>
  <c r="W34" i="45"/>
  <c r="W33" i="45"/>
  <c r="W32" i="45"/>
  <c r="W31" i="45"/>
  <c r="W30" i="45"/>
  <c r="F30" i="45"/>
  <c r="G29" i="45"/>
  <c r="X28" i="45" a="1"/>
  <c r="X28" i="45" s="1"/>
  <c r="W28" i="45" a="1"/>
  <c r="W28" i="45" s="1"/>
  <c r="I26" i="45"/>
  <c r="I25" i="45"/>
  <c r="Q21" i="45" s="1"/>
  <c r="Q24" i="45"/>
  <c r="K20" i="45"/>
  <c r="D17" i="45" s="1"/>
  <c r="I30" i="45" s="1"/>
  <c r="J17" i="45"/>
  <c r="G17" i="45"/>
  <c r="E35" i="45" s="1"/>
  <c r="G9" i="45"/>
  <c r="B2" i="45"/>
  <c r="C45" i="44"/>
  <c r="C44" i="44"/>
  <c r="B39" i="44"/>
  <c r="W36" i="44"/>
  <c r="W34" i="44"/>
  <c r="W33" i="44"/>
  <c r="W32" i="44"/>
  <c r="W31" i="44"/>
  <c r="W30" i="44"/>
  <c r="F30" i="44"/>
  <c r="G29" i="44"/>
  <c r="X28" i="44" a="1"/>
  <c r="X28" i="44" s="1"/>
  <c r="W28" i="44" a="1"/>
  <c r="W28" i="44" s="1"/>
  <c r="I26" i="44"/>
  <c r="I25" i="44"/>
  <c r="Q21" i="44" s="1"/>
  <c r="Q23" i="44" s="1"/>
  <c r="Q31" i="44" s="1"/>
  <c r="Q24" i="44"/>
  <c r="K20" i="44"/>
  <c r="D17" i="44" s="1"/>
  <c r="I30" i="44" s="1"/>
  <c r="J17" i="44"/>
  <c r="G17" i="44"/>
  <c r="E35" i="44" s="1"/>
  <c r="G9" i="44"/>
  <c r="B2" i="44"/>
  <c r="F61" i="15"/>
  <c r="F62" i="15"/>
  <c r="A63" i="15"/>
  <c r="F63" i="15" s="1"/>
  <c r="F57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E71" i="23"/>
  <c r="E70" i="23"/>
  <c r="E69" i="23"/>
  <c r="E68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46" a="1"/>
  <c r="D16" i="44" a="1"/>
  <c r="D16" i="7" a="1"/>
  <c r="D16" i="45" a="1"/>
  <c r="J8" i="45" l="1"/>
  <c r="J8" i="44"/>
  <c r="G25" i="46"/>
  <c r="G25" i="44"/>
  <c r="G25" i="45"/>
  <c r="W35" i="46"/>
  <c r="W37" i="46" s="1"/>
  <c r="W38" i="46" s="1"/>
  <c r="E30" i="46" s="1"/>
  <c r="C43" i="46" s="1"/>
  <c r="D16" i="46"/>
  <c r="Q23" i="46"/>
  <c r="Q31" i="46" s="1"/>
  <c r="Q22" i="46"/>
  <c r="Q32" i="46" s="1"/>
  <c r="Q33" i="46" s="1"/>
  <c r="D44" i="46"/>
  <c r="F35" i="46"/>
  <c r="J8" i="46"/>
  <c r="W35" i="45"/>
  <c r="W37" i="45" s="1"/>
  <c r="W38" i="45" s="1"/>
  <c r="E30" i="45" s="1"/>
  <c r="C43" i="45" s="1"/>
  <c r="D16" i="45"/>
  <c r="Q23" i="45"/>
  <c r="Q31" i="45" s="1"/>
  <c r="Q22" i="45"/>
  <c r="Q32" i="45" s="1"/>
  <c r="Q33" i="45" s="1"/>
  <c r="Q34" i="45" s="1"/>
  <c r="D44" i="45"/>
  <c r="F35" i="45"/>
  <c r="W35" i="44"/>
  <c r="W37" i="44" s="1"/>
  <c r="W38" i="44" s="1"/>
  <c r="E30" i="44" s="1"/>
  <c r="C43" i="44" s="1"/>
  <c r="D16" i="44"/>
  <c r="D44" i="44"/>
  <c r="F35" i="44"/>
  <c r="Q22" i="44"/>
  <c r="Q32" i="44" s="1"/>
  <c r="Q33" i="44" s="1"/>
  <c r="Q34" i="44" s="1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Q34" i="46" l="1"/>
  <c r="J7" i="46"/>
  <c r="J9" i="46" s="1"/>
  <c r="D45" i="46"/>
  <c r="I29" i="46"/>
  <c r="J7" i="45"/>
  <c r="J9" i="45" s="1"/>
  <c r="D45" i="45"/>
  <c r="I29" i="45"/>
  <c r="J7" i="44"/>
  <c r="J9" i="44" s="1"/>
  <c r="D45" i="44"/>
  <c r="I29" i="44"/>
  <c r="D45" i="7"/>
  <c r="J7" i="7"/>
  <c r="W38" i="7"/>
  <c r="E30" i="7" s="1"/>
  <c r="C43" i="7" s="1"/>
  <c r="R25" i="25"/>
  <c r="F35" i="7"/>
  <c r="I29" i="7"/>
  <c r="J10" i="46" l="1"/>
  <c r="G4" i="46" s="1"/>
  <c r="J10" i="45"/>
  <c r="G4" i="45" s="1"/>
  <c r="J10" i="44"/>
  <c r="G4" i="44" s="1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I27" i="46" l="1"/>
  <c r="Q25" i="46"/>
  <c r="I27" i="45"/>
  <c r="Q25" i="45"/>
  <c r="I27" i="44"/>
  <c r="Q25" i="44"/>
  <c r="G29" i="7"/>
  <c r="I25" i="7"/>
  <c r="J9" i="7" s="1"/>
  <c r="J10" i="7" s="1"/>
  <c r="G4" i="7" s="1"/>
  <c r="J11" i="46" a="1"/>
  <c r="J11" i="45" a="1"/>
  <c r="J11" i="44" a="1"/>
  <c r="J11" i="46" l="1"/>
  <c r="J11" i="45"/>
  <c r="J11" i="44"/>
  <c r="Q21" i="7"/>
  <c r="Q25" i="7"/>
  <c r="I27" i="7"/>
  <c r="J11" i="7" a="1"/>
  <c r="J32" i="46" l="1"/>
  <c r="I33" i="46" s="1"/>
  <c r="B9" i="46"/>
  <c r="I24" i="46"/>
  <c r="J32" i="45"/>
  <c r="I33" i="45" s="1"/>
  <c r="B9" i="45"/>
  <c r="I24" i="45"/>
  <c r="B9" i="44"/>
  <c r="I24" i="44"/>
  <c r="J32" i="44"/>
  <c r="I33" i="44" s="1"/>
  <c r="J11" i="7"/>
  <c r="B9" i="7" s="1"/>
  <c r="F17" i="7" s="1"/>
  <c r="G18" i="7" s="1"/>
  <c r="Q23" i="7"/>
  <c r="Q31" i="7" s="1"/>
  <c r="Q22" i="7"/>
  <c r="Q32" i="7" s="1"/>
  <c r="Q33" i="7" s="1"/>
  <c r="I28" i="46" l="1"/>
  <c r="I31" i="46" s="1"/>
  <c r="G24" i="46" s="1"/>
  <c r="Q20" i="46"/>
  <c r="Q27" i="46" s="1"/>
  <c r="F9" i="46"/>
  <c r="W20" i="46"/>
  <c r="G20" i="46" s="1"/>
  <c r="F17" i="46"/>
  <c r="F17" i="45"/>
  <c r="W20" i="45"/>
  <c r="G20" i="45" s="1"/>
  <c r="F9" i="45"/>
  <c r="Q20" i="45"/>
  <c r="Q27" i="45" s="1"/>
  <c r="I28" i="45"/>
  <c r="I31" i="45" s="1"/>
  <c r="G24" i="45" s="1"/>
  <c r="Q20" i="44"/>
  <c r="Q27" i="44" s="1"/>
  <c r="I28" i="44"/>
  <c r="I31" i="44" s="1"/>
  <c r="G24" i="44" s="1"/>
  <c r="W20" i="44"/>
  <c r="G20" i="44" s="1"/>
  <c r="F17" i="44"/>
  <c r="F9" i="44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G18" i="46" l="1"/>
  <c r="E34" i="46"/>
  <c r="E36" i="46"/>
  <c r="E37" i="46" s="1"/>
  <c r="D49" i="46" s="1"/>
  <c r="S23" i="46"/>
  <c r="Q28" i="46"/>
  <c r="Q29" i="46" s="1"/>
  <c r="Q30" i="46" s="1"/>
  <c r="S23" i="45"/>
  <c r="Q28" i="45"/>
  <c r="Q29" i="45" s="1"/>
  <c r="Q30" i="45" s="1"/>
  <c r="Q35" i="45" s="1"/>
  <c r="G18" i="45"/>
  <c r="E34" i="45"/>
  <c r="E36" i="45"/>
  <c r="E37" i="45" s="1"/>
  <c r="D49" i="45" s="1"/>
  <c r="G18" i="44"/>
  <c r="E34" i="44"/>
  <c r="E36" i="44"/>
  <c r="E37" i="44" s="1"/>
  <c r="D49" i="44" s="1"/>
  <c r="S23" i="44"/>
  <c r="Q28" i="44"/>
  <c r="Q29" i="44" s="1"/>
  <c r="Q30" i="44" s="1"/>
  <c r="Q35" i="44" s="1"/>
  <c r="Q20" i="7"/>
  <c r="Q27" i="7" s="1"/>
  <c r="S23" i="7" s="1"/>
  <c r="G3" i="46" l="1"/>
  <c r="T35" i="46" s="1"/>
  <c r="F31" i="46"/>
  <c r="Q35" i="46"/>
  <c r="C41" i="46"/>
  <c r="E29" i="46"/>
  <c r="E31" i="45"/>
  <c r="Q36" i="45"/>
  <c r="G33" i="45" s="1"/>
  <c r="Q37" i="45"/>
  <c r="C41" i="45"/>
  <c r="E29" i="45"/>
  <c r="G3" i="45"/>
  <c r="T35" i="45" s="1"/>
  <c r="F31" i="45"/>
  <c r="E31" i="44"/>
  <c r="Q36" i="44"/>
  <c r="G33" i="44" s="1"/>
  <c r="Q37" i="44"/>
  <c r="G3" i="44"/>
  <c r="T35" i="44" s="1"/>
  <c r="F31" i="44"/>
  <c r="C41" i="44"/>
  <c r="E29" i="44"/>
  <c r="Q28" i="7"/>
  <c r="Q29" i="7" s="1"/>
  <c r="Q30" i="7" s="1"/>
  <c r="G3" i="7" s="1"/>
  <c r="T35" i="7" s="1"/>
  <c r="E31" i="46" l="1"/>
  <c r="Q36" i="46"/>
  <c r="G33" i="46" s="1"/>
  <c r="Q37" i="46"/>
  <c r="Q38" i="45"/>
  <c r="Q39" i="45" s="1"/>
  <c r="E33" i="45"/>
  <c r="D48" i="45" s="1"/>
  <c r="D43" i="45"/>
  <c r="Q38" i="44"/>
  <c r="Q39" i="44" s="1"/>
  <c r="E33" i="44"/>
  <c r="D48" i="44" s="1"/>
  <c r="D43" i="44"/>
  <c r="Q35" i="7"/>
  <c r="Q37" i="7" s="1"/>
  <c r="Q38" i="7" s="1"/>
  <c r="Q39" i="7" s="1"/>
  <c r="F31" i="7"/>
  <c r="Q38" i="46" l="1"/>
  <c r="Q39" i="46" s="1"/>
  <c r="E33" i="46"/>
  <c r="D48" i="46" s="1"/>
  <c r="D43" i="46"/>
  <c r="E31" i="7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3B3C92D4-78A6-4773-912A-C0ED9AA07ED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5F076C36-A41C-4EAE-8DAF-493199B2D737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80D11D98-123B-47AC-9C04-93710BA8805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60A4956F-27A2-4C75-A02C-89D8BF5547B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B7039D9F-1C4B-44D0-B77A-5E249F76E3E7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CBB8902E-DBC5-43D7-BB18-EA2AC60531B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<sst xmlns="http://schemas.openxmlformats.org/spreadsheetml/2006/main" count="1173" uniqueCount="426">
  <si>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</si>
  <si>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</si>
  <si>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</si>
  <si>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</si>
  <si>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</si>
  <si>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</si>
  <si>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</si>
  <si>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</si>
  <si>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</si>
  <si>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</si>
  <si>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</si>
  <si>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</si>
  <si>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</si>
  <si>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</si>
  <si>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</si>
  <si>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</si>
  <si>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</si>
  <si>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</si>
  <si>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</si>
  <si>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</si>
  <si>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</si>
  <si>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</si>
  <si>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</si>
  <si>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</si>
  <si>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</si>
  <si>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</si>
  <si>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</si>
  <si>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</si>
  <si>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</si>
  <si>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</si>
  <si>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</si>
  <si>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</si>
  <si>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</si>
  <si>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</si>
  <si>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</si>
  <si>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</si>
  <si>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</si>
  <si>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</si>
  <si>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</si>
  <si>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</si>
  <si>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</si>
  <si>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</si>
  <si>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</si>
  <si>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</si>
  <si>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</si>
  <si>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</si>
  <si>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</si>
  <si>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</si>
  <si>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</si>
  <si>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</si>
  <si>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</si>
  <si>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</si>
  <si>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</si>
  <si>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</si>
  <si>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</si>
  <si>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</si>
  <si>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</si>
  <si>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</si>
  <si>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</si>
  <si>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</si>
  <si>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</si>
  <si>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</si>
  <si>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</si>
  <si>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</si>
  <si>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</si>
  <si>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</si>
  <si>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</si>
  <si>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</si>
  <si>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</si>
  <si>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</si>
  <si>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</si>
  <si>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</si>
  <si>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</si>
  <si>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</si>
  <si>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</si>
  <si>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</si>
  <si>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</si>
  <si>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</si>
  <si>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</si>
  <si>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</si>
  <si>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</si>
  <si>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</si>
  <si>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</si>
  <si>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</si>
  <si>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</si>
  <si>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</si>
  <si>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</si>
  <si>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</si>
  <si>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</si>
  <si>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</si>
  <si>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</si>
  <si>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</si>
  <si>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</si>
  <si>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</si>
  <si>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</si>
  <si>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</si>
  <si>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</si>
  <si>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</si>
  <si>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</si>
  <si>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</si>
  <si>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</si>
  <si>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</si>
  <si>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</si>
  <si>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</si>
  <si>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</si>
  <si>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</si>
  <si>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</si>
  <si>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</si>
  <si>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</si>
  <si>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</si>
  <si>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</si>
  <si>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</si>
  <si>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</si>
  <si>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</si>
  <si>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</si>
  <si>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</si>
  <si>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</si>
  <si>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</si>
  <si>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</si>
  <si>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</si>
  <si>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</si>
  <si>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</si>
  <si>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</si>
  <si>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</si>
  <si>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</si>
  <si>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</si>
  <si>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</si>
  <si>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</si>
  <si>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</si>
  <si>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</si>
  <si>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</si>
  <si>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</si>
  <si>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</si>
  <si>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</si>
  <si>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</si>
  <si>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</si>
  <si>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</si>
  <si>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</si>
  <si>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</si>
  <si>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</si>
  <si>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</si>
  <si>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</si>
  <si>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</si>
  <si>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</si>
  <si>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</si>
  <si>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</si>
  <si>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</si>
  <si>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</si>
  <si>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</si>
  <si>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</si>
  <si>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</si>
  <si>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</si>
  <si>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</si>
  <si>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</si>
  <si>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</si>
  <si>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</si>
  <si>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</si>
  <si>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</si>
  <si>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</si>
  <si>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</si>
  <si>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</si>
  <si>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</si>
  <si>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</si>
  <si>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</si>
  <si>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</si>
  <si>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</si>
  <si>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</si>
  <si>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</si>
  <si>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</si>
  <si>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</si>
  <si>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</si>
  <si>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</si>
  <si>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</si>
  <si>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</si>
  <si>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</si>
  <si>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</si>
  <si>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</si>
  <si>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</si>
  <si>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</si>
  <si>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</si>
  <si>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</si>
  <si>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</si>
  <si>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</si>
  <si>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</si>
  <si>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</si>
  <si>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</si>
  <si>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</si>
  <si>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</si>
  <si>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</si>
  <si>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</si>
  <si>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</si>
  <si>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</si>
  <si>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</si>
  <si>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</si>
  <si>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</si>
  <si>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</si>
  <si>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</si>
  <si>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</si>
  <si>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</si>
  <si>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</si>
  <si>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</si>
  <si>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</si>
  <si>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</si>
  <si>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</si>
  <si>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</si>
  <si>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</si>
  <si>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</si>
  <si>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</si>
  <si>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</si>
  <si>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</si>
  <si>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</si>
  <si>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</si>
  <si>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</si>
  <si>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</si>
  <si>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</si>
  <si>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</si>
  <si>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</si>
  <si>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</si>
  <si>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</si>
  <si>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</si>
  <si>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</si>
  <si>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</si>
  <si>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</si>
  <si>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</si>
  <si>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</si>
  <si>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</si>
  <si>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</si>
  <si>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</si>
  <si>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</si>
  <si>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</si>
  <si>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</si>
  <si>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</si>
  <si>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</si>
  <si>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</si>
  <si>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</si>
  <si>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</si>
  <si>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</si>
  <si>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</si>
  <si>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</si>
  <si>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</si>
  <si>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</si>
  <si>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</si>
  <si>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</si>
  <si>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</si>
  <si>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</si>
  <si>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</si>
  <si>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</si>
  <si>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</si>
  <si>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</si>
  <si>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</si>
  <si>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</si>
  <si>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</si>
  <si>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</si>
  <si>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</si>
  <si>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</si>
  <si>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</si>
  <si>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</si>
  <si>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</si>
  <si>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</si>
  <si>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</si>
  <si>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</si>
  <si>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</si>
  <si>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</si>
  <si>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</si>
  <si>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</si>
  <si>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</si>
  <si>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</si>
  <si>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</si>
  <si>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</si>
  <si>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</si>
  <si>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</si>
  <si>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</si>
  <si>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</si>
  <si>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</si>
  <si>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</si>
  <si>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</si>
  <si>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</si>
  <si>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</si>
  <si>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</si>
  <si>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</si>
  <si>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</si>
  <si>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</si>
  <si>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</si>
  <si>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</si>
  <si>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</si>
  <si>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</si>
  <si>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</si>
  <si>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</si>
  <si>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</si>
  <si>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</si>
  <si>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</si>
  <si>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</si>
  <si>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</si>
  <si>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</si>
  <si>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</si>
  <si>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</si>
  <si>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</si>
  <si>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</si>
  <si>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</si>
  <si>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</si>
  <si>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</si>
  <si>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</si>
  <si>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</si>
  <si>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</si>
  <si>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</si>
  <si>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</si>
  <si>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</si>
  <si>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</si>
  <si>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</si>
  <si>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</si>
  <si>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</si>
  <si>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</si>
  <si>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</si>
  <si>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</si>
  <si>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</si>
  <si>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</si>
  <si>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</si>
  <si>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</si>
  <si>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</si>
  <si>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</si>
  <si>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</si>
  <si>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</si>
  <si>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</si>
  <si>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</si>
  <si>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</si>
  <si>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</si>
  <si>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</si>
  <si>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</si>
  <si>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</si>
  <si>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</si>
  <si>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</si>
  <si>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</si>
  <si>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</si>
  <si>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</si>
  <si>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</si>
  <si>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</si>
  <si>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</si>
  <si>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</si>
  <si>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</si>
  <si>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</si>
  <si>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</si>
  <si>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</si>
  <si>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</si>
  <si>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</si>
  <si>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</si>
  <si>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</si>
  <si>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</si>
  <si>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</si>
  <si>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</si>
  <si>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</si>
  <si>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</si>
  <si>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</si>
  <si>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</si>
  <si>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</si>
  <si>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</si>
  <si>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</si>
  <si>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</si>
  <si>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</si>
  <si>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</si>
  <si>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</si>
  <si>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</si>
  <si>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</si>
  <si>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</si>
  <si>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</si>
  <si>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</si>
  <si>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</si>
  <si>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</si>
  <si>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COHESION
ULT.(KSF)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</si>
  <si>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</si>
  <si>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</si>
  <si>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</si>
  <si>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</si>
  <si>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</si>
  <si>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</si>
  <si>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</si>
  <si>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</si>
  <si>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</si>
  <si>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</si>
  <si>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</si>
  <si>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</si>
  <si>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</si>
  <si>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</si>
  <si>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</si>
  <si>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</si>
  <si>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</si>
  <si>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</si>
  <si>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</si>
  <si>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</si>
  <si>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</si>
  <si>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</si>
  <si>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</si>
  <si>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</si>
  <si>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</si>
  <si>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</si>
  <si>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</si>
  <si>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</si>
  <si>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</si>
  <si>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</si>
  <si>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</si>
  <si>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</si>
  <si>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</si>
  <si>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</si>
  <si>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</si>
  <si>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</si>
  <si>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</si>
  <si>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</si>
  <si>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</si>
  <si>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</si>
  <si>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STEP 0(b): RSA MAPPING TABLE</t>
  </si>
  <si>
    <t>GROUP NAME</t>
  </si>
  <si>
    <t>ROBOT FILE NAME</t>
  </si>
  <si>
    <t>SINGLE PHASE BUS SUPPORT</t>
  </si>
  <si>
    <t>FP1_RIGID_BUS_VERSION_B_EXPANSION</t>
  </si>
  <si>
    <t>SWITCH STANDS (TYPE 1)</t>
  </si>
  <si>
    <t>THREE PHASE BUS SUPPORT (TYPE 2)</t>
  </si>
  <si>
    <t>FOOTING QTY</t>
  </si>
  <si>
    <t xml:space="preserve">STEP 0(a): PROJECT STRUCTURE TABLE </t>
  </si>
  <si>
    <t>AB12-36NG-3N2W/6-102AB/12(S)</t>
  </si>
  <si>
    <t>AB12-36NG-3N2W/6-102AB/18(S)</t>
  </si>
  <si>
    <t>AB12-36NG-3N2W/6-102AB/14(S)</t>
  </si>
  <si>
    <t xml:space="preserve">CHECKER SHALL ENTER THEIR INITALS AND THE DATE CHECKED WITH THE DATE IN PARENTHESES, EXAMPLE :  </t>
  </si>
  <si>
    <t>AB12-36NG-3N2W/6-102AB</t>
  </si>
  <si>
    <r>
      <rPr>
        <b/>
        <sz val="10"/>
        <color theme="1"/>
        <rFont val="Symbol"/>
        <family val="1"/>
        <charset val="2"/>
      </rPr>
      <t>f</t>
    </r>
    <r>
      <rPr>
        <b/>
        <sz val="10"/>
        <color theme="1"/>
        <rFont val="Calibri"/>
        <family val="2"/>
        <scheme val="minor"/>
      </rPr>
      <t>K</t>
    </r>
    <r>
      <rPr>
        <b/>
        <vertAlign val="subscript"/>
        <sz val="10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</si>
  <si>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0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</si>
  <si>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0"/>
        <color theme="1"/>
        <rFont val="Symbol"/>
        <family val="1"/>
        <charset val="2"/>
      </rPr>
      <t>50</t>
    </r>
  </si>
  <si>
    <t>tblDEFLECTION_SIZE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</si>
</sst>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5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1"/>
      <charset val="2"/>
      <scheme val="minor"/>
    </font>
    <font>
      <b/>
      <sz val="10"/>
      <color theme="1"/>
      <name val="Symbol"/>
      <family val="1"/>
      <charset val="2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70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2" fillId="0" borderId="0" xfId="0" applyFont="1"/>
    <xf numFmtId="0" fontId="0" fillId="0" borderId="4" xfId="0" applyBorder="1" applyAlignment="1">
      <alignment horizontal="center" vertical="top" wrapText="1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2" fontId="0" fillId="0" borderId="3" xfId="0" applyNumberFormat="1" applyBorder="1"/>
    <xf numFmtId="2" fontId="0" fillId="0" borderId="5" xfId="0" applyNumberFormat="1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8" fillId="6" borderId="0" xfId="0" applyFont="1" applyFill="1" applyAlignment="1">
      <alignment horizontal="right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/>
    </xf>
    <xf numFmtId="0" fontId="4" fillId="0" borderId="10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7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theme="1"/>
      </font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theme="1"/>
      </fon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6"/>
      <tableStyleElement type="headerRow" dxfId="1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4</xdr:col>
      <xdr:colOff>98076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6</xdr:col>
      <xdr:colOff>202265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9</xdr:col>
      <xdr:colOff>1810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7</xdr:col>
      <xdr:colOff>201297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489653</xdr:colOff>
      <xdr:row>72</xdr:row>
      <xdr:rowOff>152400</xdr:rowOff>
    </xdr:from>
    <xdr:to>
      <xdr:col>25</xdr:col>
      <xdr:colOff>225393</xdr:colOff>
      <xdr:row>104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33403" y="1766887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41</xdr:row>
      <xdr:rowOff>247155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1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1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1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72</xdr:row>
      <xdr:rowOff>114300</xdr:rowOff>
    </xdr:from>
    <xdr:to>
      <xdr:col>6</xdr:col>
      <xdr:colOff>1134666</xdr:colOff>
      <xdr:row>86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  <xdr:twoCellAnchor editAs="oneCell">
    <xdr:from>
      <xdr:col>16</xdr:col>
      <xdr:colOff>315686</xdr:colOff>
      <xdr:row>25</xdr:row>
      <xdr:rowOff>134710</xdr:rowOff>
    </xdr:from>
    <xdr:to>
      <xdr:col>19</xdr:col>
      <xdr:colOff>524299</xdr:colOff>
      <xdr:row>43</xdr:row>
      <xdr:rowOff>78085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924179-6777-FE46-76FF-4A94BB8CA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0757" y="5618389"/>
          <a:ext cx="3038899" cy="3753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87800</xdr:colOff>
      <xdr:row>4</xdr:row>
      <xdr:rowOff>76200</xdr:rowOff>
    </xdr:from>
    <xdr:to>
      <xdr:col>29</xdr:col>
      <xdr:colOff>383162</xdr:colOff>
      <xdr:row>29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0375" y="91440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4F0206-23E6-4BDB-9F2D-04F0A1AE62F5}" name="tblDEFLECTION_SIZE" displayName="tblDEFLECTION_SIZE" ref="B67:E75" totalsRowShown="0" headerRowDxfId="135">
  <autoFilter ref="B67:E75" xr:uid="{5D4F0206-23E6-4BDB-9F2D-04F0A1AE62F5}"/>
  <tableColumns count="4">
    <tableColumn id="1" xr3:uid="{BACB0908-4609-4FCE-81FC-3B893B2FD579}" name="DIA (FT)"/>
    <tableColumn id="2" xr3:uid="{641036BC-FDD6-4EFF-B716-BBA3A2AF7212}" name="TIP DEF (IN)" dataDxfId="134">
      <calculatedColumnFormula>B68*TIP_DEFLECTION_PERCENTAGE*12</calculatedColumnFormula>
    </tableColumn>
    <tableColumn id="3" xr3:uid="{C3325A86-671C-4ECB-B081-1BBA8BD0D2F5}" name="NON-RECOVERABLE (IN)" dataDxfId="133">
      <calculatedColumnFormula>C68*recoverable_factor</calculatedColumnFormula>
    </tableColumn>
    <tableColumn id="4" xr3:uid="{583BB613-551D-4F79-B706-0D50FADA2DFE}" name="MIN. EMBED DEPTH" dataDxfId="132">
      <calculatedColumnFormula>MAX(3*B68,10)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84" dataDxfId="183" tableBorderDxfId="182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81"/>
    <tableColumn id="2" xr3:uid="{F37507A5-DD2F-4656-A589-43E510746ECD}" name="ITEM_x000a_ QTY" dataDxfId="180" totalsRowDxfId="179"/>
    <tableColumn id="3" xr3:uid="{BC4F4BC6-B84E-4B9C-9CB1-DAC74C378B8D}" name="FTG MARK" dataDxfId="178" totalsRowDxfId="177"/>
    <tableColumn id="9" xr3:uid="{FAE89BEF-B592-4E28-AE13-E899FD948D5B}" name="FTG TYPE" dataDxfId="176" totalsRowDxfId="175"/>
    <tableColumn id="4" xr3:uid="{FF3807C5-8C2E-4EAD-99F7-18665F001A64}" name="A.B. CALLOUT/ITEM #" dataDxfId="174" totalsRowDxfId="173"/>
    <tableColumn id="5" xr3:uid="{81D4C1F2-5CD7-4ADD-A7D0-C8032B1305CA}" name="A.B. QTY PER STR" dataDxfId="172" totalsRowDxfId="171"/>
    <tableColumn id="6" xr3:uid="{791CCDB2-D277-4210-A2F1-60F875BCA7E6}" name="TOTAL A.B." totalsRowFunction="sum" dataDxfId="170" totalsRowDxfId="169">
      <calculatedColumnFormula>ProjectStrTable[[#This Row],[A.B. QTY PER STR]]*ProjectStrTable[[#This Row],[ITEM
 QTY]]</calculatedColumnFormula>
    </tableColumn>
    <tableColumn id="7" xr3:uid="{74107E86-D98D-4DC3-BB8A-3B8A08EFBBC0}" name="FTG PER STR" dataDxfId="168" totalsRowDxfId="167"/>
    <tableColumn id="8" xr3:uid="{F422C1DC-CB77-44BC-AE03-8A9F36531CE4}" name="TOTAL FTGS" dataDxfId="166" totalsRowDxfId="165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64" dataDxfId="163" tableBorderDxfId="162">
  <autoFilter ref="K7:V17" xr:uid="{00000000-0009-0000-0100-000004000000}"/>
  <tableColumns count="12">
    <tableColumn id="1" xr3:uid="{50EB0010-419D-4BC3-BB85-06A22908017B}" name="FTG MARK" dataDxfId="161"/>
    <tableColumn id="2" xr3:uid="{BC5156E6-5228-4D99-A482-C0119BF2358F}" name="DIA (FT)" dataDxfId="160"/>
    <tableColumn id="3" xr3:uid="{3A5DFF3B-0FA7-42A7-B97D-F69234F134DC}" name="LENGTH (FT)" dataDxfId="159"/>
    <tableColumn id="4" xr3:uid="{3E5E7959-C6AD-49DE-8B97-D7E12B1576AE}" name="VOLUME (YD3)" dataDxfId="158"/>
    <tableColumn id="5" xr3:uid="{DBD07D62-B78E-4A96-A902-07BA88B026F4}" name="VERT REINF." dataDxfId="157"/>
    <tableColumn id="9" xr3:uid="{B991C942-ADBF-4704-99C2-635409C7D9B0}" name="TOTAL VERT. LENGTH" dataDxfId="156"/>
    <tableColumn id="6" xr3:uid="{7285A430-3979-48E2-A80F-4BFEBF8C744F}" name="HORIZ TIES" dataDxfId="155"/>
    <tableColumn id="7" xr3:uid="{1977985A-30AB-4896-9079-327CA0D9CD71}" name="HORIZ. TOTAL LEN" dataDxfId="154"/>
    <tableColumn id="8" xr3:uid="{84EEF705-68AB-43BE-912B-2899798C568A}" name="A.B. CALL-OUT" dataDxfId="153"/>
    <tableColumn id="10" xr3:uid="{D070FDE2-82FE-4443-AC87-72527CA45900}" name="A.B. DIA (IN)" dataDxfId="152"/>
    <tableColumn id="11" xr3:uid="{6E240CCF-9E0F-4B05-9EEC-99B1BA118693}" name="FTG COUNT" dataDxfId="151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150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56:F63" totalsRowShown="0" headerRowDxfId="149" tableBorderDxfId="148">
  <autoFilter ref="A56:F63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147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146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44:I49" totalsRowShown="0" headerRowDxfId="145" tableBorderDxfId="144">
  <autoFilter ref="A44:I49" xr:uid="{9907807D-92EE-458D-B625-66799A3BF373}"/>
  <tableColumns count="9">
    <tableColumn id="1" xr3:uid="{8A6B13FD-07A0-4171-8B89-97674CF52AB7}" name="FTG MARK"/>
    <tableColumn id="2" xr3:uid="{AC19598A-C40E-4B6E-9FEB-F0AF705EB192}" name="BORING" dataDxfId="143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142"/>
    <tableColumn id="8" xr3:uid="{4EACA795-D830-44F0-A815-A7E8A3660EA4}" name="MAX MOMENT (KIP-FT)"/>
    <tableColumn id="9" xr3:uid="{2BAE45CF-3C46-42E8-ADAF-731C3FB712A5}" name="MAX SHEAR (KIP)" dataDxfId="14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B64C1B-FE22-4627-91CA-8A6F24FD275C}" name="RSA_GROUP_MAPPING" displayName="RSA_GROUP_MAPPING" ref="B35:E38" totalsRowShown="0" dataDxfId="140">
  <autoFilter ref="B35:E38" xr:uid="{19B64C1B-FE22-4627-91CA-8A6F24FD275C}"/>
  <tableColumns count="4">
    <tableColumn id="1" xr3:uid="{7AC047A9-4461-4387-8909-40B522532F6F}" name="MARK" dataDxfId="139"/>
    <tableColumn id="2" xr3:uid="{39EDD708-DC5F-4DB6-9E38-98401939811E}" name="FOOTING QTY" dataDxfId="138"/>
    <tableColumn id="3" xr3:uid="{59832118-FD12-4579-BBA0-A03D2886EFDE}" name="GROUP NAME" dataDxfId="137"/>
    <tableColumn id="4" xr3:uid="{C1D22257-6471-4FEE-810C-B21AD38E4E8A}" name="ROBOT FILE NAME" dataDxfId="13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headerRowDxfId="131" dataDxfId="130">
  <autoFilter ref="C7:N10" xr:uid="{00DD9469-52BF-4BB2-A868-26A9B3C4512E}"/>
  <tableColumns count="12">
    <tableColumn id="1" xr3:uid="{F1F73F01-8261-4AD2-9B77-10DDD028F4C2}" name="START" dataDxfId="129">
      <calculatedColumnFormula>D7</calculatedColumnFormula>
    </tableColumn>
    <tableColumn id="2" xr3:uid="{F9C6F747-D295-40F4-A005-6965995375AD}" name="END" dataDxfId="128"/>
    <tableColumn id="3" xr3:uid="{EF02D644-99F5-480F-984A-1F7734B5A09F}" name="MODEL" dataDxfId="127"/>
    <tableColumn id="4" xr3:uid="{C4BF634E-BCFF-4C21-8335-19F9664CE472}" name="DENSITY" dataDxfId="126"/>
    <tableColumn id="5" xr3:uid="{794DEE06-2027-4E5F-85F2-620FAC74A734}" name="COHESION_x000a_ULT.(KSF)" dataDxfId="125"/>
    <tableColumn id="6" xr3:uid="{D2902092-48F2-43FF-B1B6-D2DA7FC439D4}" name="COHESION_x000a_FACT." dataDxfId="124">
      <calculatedColumnFormula>COHESION_PHI*G8</calculatedColumnFormula>
    </tableColumn>
    <tableColumn id="7" xr3:uid="{E03D1959-A0A1-491B-8E52-EFF46D490475}" name="FRICTION ANGLE" dataDxfId="123"/>
    <tableColumn id="8" xr3:uid="{85C50074-AB6D-400A-B074-38DC11636715}" name="MODULUS OF SUBGRADE REACTION (STATIC)" dataDxfId="122"/>
    <tableColumn id="9" xr3:uid="{8DE8F5FA-D827-4DE7-8058-CAD65000D298}" name="MODULUS OF SUBGRADE REACTION (CYCLIC)" dataDxfId="121"/>
    <tableColumn id="10" xr3:uid="{57A800D3-37E9-4ED0-88FB-AEA4F100715C}" name="fKh" dataDxfId="120">
      <calculatedColumnFormula>PHI_K*J8</calculatedColumnFormula>
    </tableColumn>
    <tableColumn id="11" xr3:uid="{C8548F29-41F7-45E8-B198-FE44D4D46855}" name="e50" dataDxfId="119"/>
    <tableColumn id="12" xr3:uid="{35CB9561-8626-488F-9FA7-91D5BBB1F746}" name="fe50" dataDxfId="118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headerRowDxfId="117" dataDxfId="116">
  <autoFilter ref="C17:N22" xr:uid="{2A75D330-3F19-4AAF-9735-A0D86810CFBD}"/>
  <tableColumns count="12">
    <tableColumn id="1" xr3:uid="{26705F69-6C52-45BE-A9E9-9498FD663FBD}" name="START" dataDxfId="115">
      <calculatedColumnFormula>D17</calculatedColumnFormula>
    </tableColumn>
    <tableColumn id="2" xr3:uid="{E1F44FAD-DC1A-4BC9-B169-144810AEAA0B}" name="END" dataDxfId="114"/>
    <tableColumn id="3" xr3:uid="{EAD9FBBB-E556-4BB8-AAAD-5A8ADB924AC9}" name="MODEL" dataDxfId="113"/>
    <tableColumn id="4" xr3:uid="{2D01E3D2-DCD9-40C6-AD89-E866A993E0F8}" name="DENSITY" dataDxfId="112"/>
    <tableColumn id="5" xr3:uid="{CF00B798-929D-42F8-A1CF-4E9EA804573B}" name="COHESION_x000a_ULT.(KSF)" dataDxfId="111"/>
    <tableColumn id="6" xr3:uid="{F8328A7B-4F6E-4565-8F8A-83E1CAC62427}" name="COHESION_x000a_FACT." dataDxfId="110">
      <calculatedColumnFormula>COHESION_PHI*G18</calculatedColumnFormula>
    </tableColumn>
    <tableColumn id="7" xr3:uid="{9AEB1692-881D-433D-AE19-6FA0CA3441F1}" name="FRICTION ANGLE" dataDxfId="109"/>
    <tableColumn id="8" xr3:uid="{781C0184-0F39-4144-9339-2F8C73DC25D1}" name="MODULUS OF SUBGRADE REACTION (STATIC)" dataDxfId="108"/>
    <tableColumn id="9" xr3:uid="{A43CDB84-BA8E-4433-8B32-1E3FDEF8A407}" name="MODULUS OF SUBGRADE REACTION (CYCLIC)" dataDxfId="107"/>
    <tableColumn id="10" xr3:uid="{55215E75-C7FA-44E2-AC42-A8EFC7639413}" name="fKh" dataDxfId="106">
      <calculatedColumnFormula>PHI_K*J18</calculatedColumnFormula>
    </tableColumn>
    <tableColumn id="11" xr3:uid="{DD59DB40-6E39-454A-B72F-2D3429C5F402}" name="e50" dataDxfId="105"/>
    <tableColumn id="12" xr3:uid="{C845D8E0-5D74-48F8-896F-CA05F76E6EEA}" name="fe50" dataDxfId="104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103">
  <autoFilter ref="C27:N32" xr:uid="{99165A75-F141-4289-8721-C29B186E4341}"/>
  <tableColumns count="12">
    <tableColumn id="1" xr3:uid="{F1F637A4-E01F-4D39-A62A-DB36EFFD9605}" name="START" dataDxfId="102">
      <calculatedColumnFormula>D27</calculatedColumnFormula>
    </tableColumn>
    <tableColumn id="2" xr3:uid="{425EDC98-E111-410E-9C8A-F3EF76E33C19}" name="END" dataDxfId="101"/>
    <tableColumn id="3" xr3:uid="{BCE7FA06-0B77-4ACE-89CC-813A774B7BF0}" name="MODEL" dataDxfId="100"/>
    <tableColumn id="4" xr3:uid="{76D1768D-54AA-4716-8BF1-7AD559FE9C20}" name="DENSITY" dataDxfId="99"/>
    <tableColumn id="5" xr3:uid="{7E2413FF-A624-438E-BC84-6C104F9F998C}" name="COHESION_x000a_ULT.(KSF)" dataDxfId="98"/>
    <tableColumn id="6" xr3:uid="{E255F98A-BB67-4CE1-B7BD-6579909B4606}" name="COHESION_x000a_FACT." dataDxfId="97">
      <calculatedColumnFormula>COHESION_PHI*G28</calculatedColumnFormula>
    </tableColumn>
    <tableColumn id="7" xr3:uid="{633E155B-E778-4653-A1D8-5FD4E70F1010}" name="FRICTION ANGLE" dataDxfId="96"/>
    <tableColumn id="8" xr3:uid="{008DA3BD-7BF2-45DE-9CEB-463EF32730AA}" name="MODULUS OF SUBGRADE REACTION (STATIC)" dataDxfId="95"/>
    <tableColumn id="9" xr3:uid="{D190161B-9491-4B59-A5B4-BD932286F275}" name="MODULUS OF SUBGRADE REACTION (CYCLIC)" dataDxfId="94"/>
    <tableColumn id="10" xr3:uid="{CEBDF5DC-3738-4BF0-9E05-CF1B19C83928}" name="fKh" dataDxfId="93">
      <calculatedColumnFormula>PHI_K*J28</calculatedColumnFormula>
    </tableColumn>
    <tableColumn id="11" xr3:uid="{9C2E5C6D-6038-42E5-B041-B5DC24CB8F63}" name="e50" dataDxfId="92"/>
    <tableColumn id="12" xr3:uid="{BA155F79-638A-45D2-A11A-587481656C22}" name="fe50" dataDxfId="91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90" dataDxfId="89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88"/>
    <tableColumn id="2" xr3:uid="{E7569433-2EA4-49A3-8547-A25728030355}" name="CONC. VOLUME CHK #1" dataDxfId="87"/>
    <tableColumn id="8" xr3:uid="{31C40436-364D-4BE5-AF7B-FBEF8F899444}" name="CONC. VOLUME CHK #2" dataDxfId="86"/>
    <tableColumn id="3" xr3:uid="{45402730-883F-47A7-A5B5-29436C55B277}" name="STEEL REINF. _x000a_CHK #1" dataDxfId="85"/>
    <tableColumn id="9" xr3:uid="{601985F9-972E-4F72-8512-07ECE7ED308B}" name="STEEL REINF. _x000a_CHK #2" dataDxfId="84"/>
    <tableColumn id="4" xr3:uid="{9A9F284E-41DC-41C7-B771-BA11A9214225}" name="FTG QTY CHK #1" dataDxfId="83"/>
    <tableColumn id="10" xr3:uid="{5BBA0FF0-D213-4FC2-B8EB-3CC96170DD28}" name="FTG QTY CHK #2" dataDxfId="82"/>
    <tableColumn id="5" xr3:uid="{7555BB46-4DE7-498A-B047-130E5DE10D7E}" name="A.B. PATTERN CHK #1" dataDxfId="81"/>
    <tableColumn id="11" xr3:uid="{3745267B-93EF-4C87-B0D0-6C2EF9C3863F}" name="A.B. PATTERN CHK #2" dataDxfId="80"/>
    <tableColumn id="7" xr3:uid="{0C1B27B8-A497-4C81-8628-2394D8889D84}" name="A.B. CALLOUT CHK #1" dataDxfId="79"/>
    <tableColumn id="6" xr3:uid="{9066042E-E538-455A-8333-4E2D176ACDC0}" name="A.B. CALLOUT CHK #2" dataDxfId="78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77" dataDxfId="76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5"/>
    <tableColumn id="2" xr3:uid="{CB7A4C05-9FF6-4EA3-879D-A95300B007D3}" name="CONC. VOLUME CHECKED" dataDxfId="74"/>
    <tableColumn id="3" xr3:uid="{5429294F-FC9A-47C6-AD79-B01B200A5346}" name="STEEL REINFORCEMENT CHECKED" dataDxfId="73"/>
    <tableColumn id="4" xr3:uid="{B792F712-68CC-4FA7-BE4B-9765CD3A087C}" name="FTG QTY CHECKED" dataDxfId="72"/>
    <tableColumn id="5" xr3:uid="{233BF54D-6603-4E2C-BBF7-B60ADB1A4C46}" name="A.B. SPACING CHECKED" dataDxfId="71"/>
    <tableColumn id="7" xr3:uid="{8B7B7593-9D53-456B-BF0D-13BC11D8305C}" name="A.B. SIZE AND QTY CHECKED" dataDxfId="70"/>
    <tableColumn id="6" xr3:uid="{0A2FA627-B647-4BBE-869C-B23585B93D31}" name="DATE" dataDxfId="69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68" totalsRowDxfId="67"/>
    <tableColumn id="2" xr3:uid="{1D648B6E-0893-409A-B857-AE07A5365E4F}" name="FTG QTY"/>
    <tableColumn id="3" xr3:uid="{5419147D-E971-416C-9A3C-C455F0E30FD6}" name="CONC. PER FTG YD3" dataDxfId="66" totalsRowDxfId="65">
      <calculatedColumnFormula>#REF!</calculatedColumnFormula>
    </tableColumn>
    <tableColumn id="4" xr3:uid="{96486696-C487-41C7-B520-42F5523CF7F4}" name="TOTAL CONC. YD3" totalsRowFunction="sum" dataDxfId="64" totalsRowDxfId="63">
      <calculatedColumnFormula>F11*E11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2">
  <autoFilter ref="D16:G19" xr:uid="{6634336C-DF1F-454B-8247-469D6587BA34}"/>
  <tableColumns count="4">
    <tableColumn id="1" xr3:uid="{D3795D66-A988-420E-9D95-39D3EB857098}" name="BAR SIZE" totalsRowLabel="Total" dataDxfId="61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0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59">
  <autoFilter ref="C3:K12" xr:uid="{00000000-0009-0000-0100-000002000000}"/>
  <tableColumns count="9">
    <tableColumn id="1" xr3:uid="{F6007D07-AA46-4140-9F07-1E1718DCB921}" name="ITEM" dataDxfId="58" totalsRowDxfId="57"/>
    <tableColumn id="2" xr3:uid="{2D46CD03-9771-4C80-AE20-CD77CF3BD993}" name="QTY" dataDxfId="56" totalsRowDxfId="55"/>
    <tableColumn id="3" xr3:uid="{A3C84005-9902-48DE-8EDD-1F6E1F43C9F9}" name="BAR_x000a_SIZE" dataDxfId="54" totalsRowDxfId="53"/>
    <tableColumn id="4" xr3:uid="{BB10F68F-4A4F-4E4F-AA9C-2928B6B95829}" name="LEN_x000a_(FT)"/>
    <tableColumn id="5" xr3:uid="{1DACB183-5117-40BC-AE40-A0F34762BC53}" name="TOTAL LEN_x000a_(FT)" totalsRowFunction="custom" dataDxfId="52" totalsRowDxfId="51">
      <calculatedColumnFormula>F4*D4</calculatedColumnFormula>
      <totalsRowFormula>SUM(G5:G12)</totalsRowFormula>
    </tableColumn>
    <tableColumn id="6" xr3:uid="{3DFE3945-3A42-4DE1-9F4C-FEB575A22855}" name="COMMENT" totalsRowDxfId="50"/>
    <tableColumn id="7" xr3:uid="{A0B678C2-B423-4973-8E2C-31CC7FF05304}" name="FT" dataDxfId="49" totalsRowDxfId="48">
      <calculatedColumnFormula>(12*Table632424[[#This Row],[LEN
(FT)]]-MOD(12*Table632424[[#This Row],[LEN
(FT)]],12))/12</calculatedColumnFormula>
    </tableColumn>
    <tableColumn id="8" xr3:uid="{46BC7A80-15C9-4336-BC70-A36E80DD3AE3}" name="IN" dataDxfId="47" totalsRowDxfId="46">
      <calculatedColumnFormula>ROUND(MOD(12*Table632424[[#This Row],[LEN
(FT)]],12),0)</calculatedColumnFormula>
    </tableColumn>
    <tableColumn id="9" xr3:uid="{54E0553B-625C-4FF8-90FF-3A9283E4918B}" name="TIES (Y/N)" dataDxfId="45" totalsRowDxfId="4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1" dataDxfId="40" tableBorderDxfId="39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38"/>
    <tableColumn id="2" xr3:uid="{CDE6C64D-18B7-4A3A-A8B4-78B8775DBAAD}" name="LENGTH (FT)" dataDxfId="37">
      <calculatedColumnFormula>10.5+1.666</calculatedColumnFormula>
    </tableColumn>
    <tableColumn id="3" xr3:uid="{41115FDA-685D-4D38-93AF-49025ED69314}" name="REBAR QTY" dataDxfId="36"/>
    <tableColumn id="4" xr3:uid="{03D3C6CB-2011-4C04-8C40-7C2688489FB1}" name="SIZE" dataDxfId="35"/>
    <tableColumn id="5" xr3:uid="{CF2C93CE-352B-4553-B756-C21CF3519689}" name="CONC. VOL. (FT3)" dataDxfId="34">
      <calculatedColumnFormula>PI()*((B9/2)^2)*C9</calculatedColumnFormula>
    </tableColumn>
    <tableColumn id="6" xr3:uid="{4A9A61D6-13A8-4479-8007-F4F4212C454A}" name="STEEL AREA (IN2)" dataDxfId="33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04314-C055-4308-819C-191DD6470436}" name="Table2567363413" displayName="Table2567363413" ref="B8:G13" totalsRowShown="0" headerRowDxfId="30" dataDxfId="29" tableBorderDxfId="28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E1032FD-E759-46F6-A8F8-BE87EE9E5EC8}" name="DIA (FT)" dataDxfId="27"/>
    <tableColumn id="2" xr3:uid="{2B8E0636-68C0-4C1F-8A21-B99BF66DBA67}" name="LENGTH (FT)" dataDxfId="26">
      <calculatedColumnFormula>10.5+1.666</calculatedColumnFormula>
    </tableColumn>
    <tableColumn id="3" xr3:uid="{4EB55A6F-45C2-416E-9BB3-256779DCF3B7}" name="REBAR QTY" dataDxfId="25"/>
    <tableColumn id="4" xr3:uid="{23A04EAF-C472-4A48-9B3E-37DAA858A8AE}" name="SIZE" dataDxfId="24"/>
    <tableColumn id="5" xr3:uid="{89361597-DEC0-4290-953E-9799E2A7FBE2}" name="CONC. VOL. (FT3)" dataDxfId="23">
      <calculatedColumnFormula>PI()*((B9/2)^2)*C9</calculatedColumnFormula>
    </tableColumn>
    <tableColumn id="6" xr3:uid="{957B56C1-F406-41C1-88BB-DBAEE65B2901}" name="STEEL AREA (IN2)" dataDxfId="22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759C92-A62F-4C40-A0BB-20703CBB7D5D}" name="Table2567363421" displayName="Table2567363421" ref="B8:G13" totalsRowShown="0" headerRowDxfId="19" dataDxfId="18" tableBorderDxfId="17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E0713019-DAA8-43C0-AB30-8B78E257C06F}" name="DIA (FT)" dataDxfId="16"/>
    <tableColumn id="2" xr3:uid="{43920172-5F72-415B-A947-5AD201FCD97F}" name="LENGTH (FT)" dataDxfId="15">
      <calculatedColumnFormula>10.5+1.666</calculatedColumnFormula>
    </tableColumn>
    <tableColumn id="3" xr3:uid="{558CB82F-2943-4FC6-A40B-3D7F1CA77023}" name="REBAR QTY" dataDxfId="14"/>
    <tableColumn id="4" xr3:uid="{0AC3AE78-9C66-4A55-BAC0-A8955DE26A5E}" name="SIZE" dataDxfId="13"/>
    <tableColumn id="5" xr3:uid="{054EF9E2-C696-44A5-9BF8-3848EC02795B}" name="CONC. VOL. (FT3)" dataDxfId="12">
      <calculatedColumnFormula>PI()*((B9/2)^2)*C9</calculatedColumnFormula>
    </tableColumn>
    <tableColumn id="6" xr3:uid="{9ECC8685-B706-4CF2-A1E2-91BDC0751D00}" name="STEEL AREA (IN2)" dataDxfId="11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4E66D0-0FE5-42AF-8A76-9BE30BAF4245}" name="Table2567363422" displayName="Table2567363422" ref="B8:G13" totalsRowShown="0" headerRowDxfId="8" dataDxfId="7" tableBorderDxfId="6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0FA34F56-574D-4C2A-AE70-444C206D66A0}" name="DIA (FT)" dataDxfId="5"/>
    <tableColumn id="2" xr3:uid="{019D0A79-31EC-4A5C-A392-94E34D6158B1}" name="LENGTH (FT)" dataDxfId="4">
      <calculatedColumnFormula>10.5+1.666</calculatedColumnFormula>
    </tableColumn>
    <tableColumn id="3" xr3:uid="{33197D3C-CA69-4828-973F-1FE918FFCE43}" name="REBAR QTY" dataDxfId="3"/>
    <tableColumn id="4" xr3:uid="{6495E3DE-B46B-4D61-8076-E2BD6AD29C05}" name="SIZE" dataDxfId="2"/>
    <tableColumn id="5" xr3:uid="{A071580D-691E-42D5-A5E2-40BC728BA889}" name="CONC. VOL. (FT3)" dataDxfId="1">
      <calculatedColumnFormula>PI()*((B9/2)^2)*C9</calculatedColumnFormula>
    </tableColumn>
    <tableColumn id="6" xr3:uid="{E0D01C05-7655-445C-B635-EB42AA38D6DD}" name="STEEL AREA (IN2)" dataDxfId="0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opLeftCell="A44" zoomScaleNormal="100" workbookViewId="0">
      <selection activeCell="D69" sqref="D69"/>
    </sheetView>
  </sheetViews>
  <sheetFormatPr defaultRowHeight="15"/>
  <cols>
    <col min="2" max="2" width="10.140625" customWidth="1"/>
    <col min="3" max="3" width="13.7109375" customWidth="1"/>
    <col min="4" max="4" width="24.42578125" customWidth="1"/>
    <col min="5" max="5" width="20.4257812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363" t="s">
        <v>32</v>
      </c>
      <c r="D54" s="363"/>
      <c r="E54" s="364" t="s">
        <v>33</v>
      </c>
      <c r="F54" s="364"/>
    </row>
    <row r="55" spans="1:13">
      <c r="C55" s="119" t="s">
        <v>34</v>
      </c>
      <c r="D55" s="119" t="s">
        <v>35</v>
      </c>
      <c r="E55" s="364"/>
      <c r="F55" s="364"/>
      <c r="G55" t="s">
        <v>395</v>
      </c>
    </row>
    <row r="56" spans="1:13">
      <c r="C56" s="55">
        <v>24</v>
      </c>
      <c r="D56" s="55">
        <v>42</v>
      </c>
      <c r="E56" s="362">
        <v>3</v>
      </c>
      <c r="F56" s="362"/>
      <c r="G56" t="s">
        <v>114</v>
      </c>
    </row>
    <row r="57" spans="1:13">
      <c r="C57" s="55">
        <v>48</v>
      </c>
      <c r="D57" s="55">
        <v>59</v>
      </c>
      <c r="E57" s="362">
        <v>4</v>
      </c>
      <c r="F57" s="362"/>
      <c r="G57" t="s">
        <v>396</v>
      </c>
    </row>
    <row r="58" spans="1:13">
      <c r="C58" s="55">
        <v>60</v>
      </c>
      <c r="D58" s="55" t="s">
        <v>36</v>
      </c>
      <c r="E58" s="362">
        <v>6</v>
      </c>
      <c r="F58" s="362"/>
      <c r="G58" t="s">
        <v>397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12">
      <c r="B65" s="117" t="s">
        <v>242</v>
      </c>
    </row>
    <row r="66" spans="1:12" ht="15.75" thickBot="1">
      <c r="B66" t="s">
        <v>243</v>
      </c>
      <c r="C66">
        <v>0.03</v>
      </c>
      <c r="F66">
        <v>0.33</v>
      </c>
    </row>
    <row r="67" spans="1:12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12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f>MAX(3*B68,10)</f>
        <v>10</v>
      </c>
    </row>
    <row r="69" spans="1:12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f t="shared" ref="E69:E75" si="2">MAX(3*B69,10)</f>
        <v>10</v>
      </c>
    </row>
    <row r="70" spans="1:12">
      <c r="B70">
        <v>3.5</v>
      </c>
      <c r="C70" s="123">
        <f t="shared" si="0"/>
        <v>1.26</v>
      </c>
      <c r="D70" s="227">
        <f t="shared" si="1"/>
        <v>0.4158</v>
      </c>
      <c r="E70" s="55">
        <f t="shared" si="2"/>
        <v>10.5</v>
      </c>
      <c r="L70" t="s">
        <v>425</v>
      </c>
    </row>
    <row r="71" spans="1:12">
      <c r="B71">
        <v>4</v>
      </c>
      <c r="C71" s="123">
        <f t="shared" si="0"/>
        <v>1.44</v>
      </c>
      <c r="D71" s="227">
        <f t="shared" si="1"/>
        <v>0.47520000000000001</v>
      </c>
      <c r="E71" s="55">
        <f t="shared" si="2"/>
        <v>12</v>
      </c>
    </row>
    <row r="72" spans="1:12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si="2"/>
        <v>13.5</v>
      </c>
    </row>
    <row r="73" spans="1:12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12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12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85"/>
  <sheetViews>
    <sheetView showGridLines="0" tabSelected="1" topLeftCell="A15" zoomScale="85" zoomScaleNormal="85" workbookViewId="0">
      <selection activeCell="G45" sqref="G45"/>
    </sheetView>
  </sheetViews>
  <sheetFormatPr defaultRowHeight="15"/>
  <cols>
    <col min="1" max="1" width="31.140625" customWidth="1"/>
    <col min="2" max="2" width="11.140625" customWidth="1"/>
    <col min="3" max="3" width="15.1406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2" t="s">
        <v>403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357" t="s">
        <v>416</v>
      </c>
      <c r="B5" s="358"/>
      <c r="C5" s="358"/>
      <c r="D5" s="358"/>
      <c r="E5" s="358"/>
      <c r="F5" s="358"/>
      <c r="G5" s="358"/>
      <c r="H5" s="358"/>
      <c r="I5" s="359"/>
      <c r="K5" s="357" t="s">
        <v>294</v>
      </c>
      <c r="L5" s="358"/>
      <c r="M5" s="358"/>
      <c r="N5" s="358"/>
      <c r="O5" s="358"/>
      <c r="P5" s="358"/>
      <c r="Q5" s="358"/>
      <c r="R5" s="358"/>
      <c r="S5" s="358"/>
      <c r="T5" s="358"/>
      <c r="U5" s="358"/>
      <c r="V5" s="359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347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335</v>
      </c>
      <c r="Z7" s="264" t="s">
        <v>338</v>
      </c>
      <c r="AA7" s="264" t="s">
        <v>337</v>
      </c>
      <c r="AB7" s="264" t="s">
        <v>336</v>
      </c>
      <c r="AC7" s="264" t="s">
        <v>339</v>
      </c>
      <c r="AD7" s="264" t="s">
        <v>343</v>
      </c>
      <c r="AE7" s="264" t="s">
        <v>342</v>
      </c>
      <c r="AF7" s="264" t="s">
        <v>340</v>
      </c>
      <c r="AG7" s="264" t="s">
        <v>341</v>
      </c>
      <c r="AH7" s="264" t="s">
        <v>80</v>
      </c>
      <c r="AI7" s="264" t="s">
        <v>344</v>
      </c>
      <c r="AJ7" s="264" t="s">
        <v>345</v>
      </c>
      <c r="AK7" s="264" t="s">
        <v>346</v>
      </c>
      <c r="AL7" s="264"/>
      <c r="AM7" s="264"/>
      <c r="AN7" s="264"/>
    </row>
    <row r="8" spans="1:40">
      <c r="A8" t="s">
        <v>411</v>
      </c>
      <c r="B8" s="268">
        <v>21</v>
      </c>
      <c r="C8" s="55" t="s">
        <v>47</v>
      </c>
      <c r="D8" s="55" t="s">
        <v>227</v>
      </c>
      <c r="E8" s="55" t="s">
        <v>417</v>
      </c>
      <c r="F8" s="55">
        <v>4</v>
      </c>
      <c r="G8" s="124">
        <f>ProjectStrTable[[#This Row],[A.B. QTY PER STR]]*ProjectStrTable[[#This Row],[ITEM
 QTY]]</f>
        <v>84</v>
      </c>
      <c r="H8" s="55">
        <v>1</v>
      </c>
      <c r="I8" s="130">
        <f>ProjectStrTable[[#This Row],[FTG PER STR]]*ProjectStrTable[[#This Row],[ITEM
 QTY]]</f>
        <v>21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325</v>
      </c>
      <c r="P8" s="122" t="s">
        <v>326</v>
      </c>
      <c r="Q8" s="122" t="s">
        <v>327</v>
      </c>
      <c r="R8" s="122" t="s">
        <v>328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329</v>
      </c>
      <c r="AC8">
        <v>2</v>
      </c>
      <c r="AD8">
        <v>20</v>
      </c>
      <c r="AE8" t="s">
        <v>330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t="s">
        <v>413</v>
      </c>
      <c r="B9" s="55">
        <v>10</v>
      </c>
      <c r="C9" s="55" t="s">
        <v>48</v>
      </c>
      <c r="D9" s="55" t="s">
        <v>227</v>
      </c>
      <c r="E9" s="55" t="s">
        <v>418</v>
      </c>
      <c r="F9" s="55">
        <v>4</v>
      </c>
      <c r="G9" s="124">
        <f>ProjectStrTable[[#This Row],[A.B. QTY PER STR]]*ProjectStrTable[[#This Row],[ITEM
 QTY]]</f>
        <v>40</v>
      </c>
      <c r="H9" s="55">
        <v>2</v>
      </c>
      <c r="I9" s="130">
        <f>ProjectStrTable[[#This Row],[FTG PER STR]]*ProjectStrTable[[#This Row],[ITEM
 QTY]]</f>
        <v>20</v>
      </c>
      <c r="J9" s="122"/>
      <c r="K9" s="122" t="s">
        <v>332</v>
      </c>
      <c r="L9" s="122">
        <v>3</v>
      </c>
      <c r="M9" s="122">
        <v>10</v>
      </c>
      <c r="N9" s="122">
        <v>2.6179938779914944</v>
      </c>
      <c r="O9" s="122" t="s">
        <v>325</v>
      </c>
      <c r="P9" s="122" t="s">
        <v>326</v>
      </c>
      <c r="Q9" s="122" t="s">
        <v>327</v>
      </c>
      <c r="R9" s="122" t="s">
        <v>328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t="s">
        <v>414</v>
      </c>
      <c r="B10" s="55">
        <v>4</v>
      </c>
      <c r="C10" s="55" t="s">
        <v>49</v>
      </c>
      <c r="D10" s="55" t="s">
        <v>227</v>
      </c>
      <c r="E10" s="55" t="s">
        <v>419</v>
      </c>
      <c r="F10" s="55">
        <v>4</v>
      </c>
      <c r="G10" s="124">
        <f>ProjectStrTable[[#This Row],[A.B. QTY PER STR]]*ProjectStrTable[[#This Row],[ITEM
 QTY]]</f>
        <v>16</v>
      </c>
      <c r="H10" s="55">
        <v>2</v>
      </c>
      <c r="I10" s="130">
        <f>ProjectStrTable[[#This Row],[FTG PER STR]]*ProjectStrTable[[#This Row],[ITEM
 QTY]]</f>
        <v>8</v>
      </c>
      <c r="J10" s="122"/>
      <c r="K10" s="122" t="s">
        <v>334</v>
      </c>
      <c r="L10" s="122">
        <v>3</v>
      </c>
      <c r="M10" s="122">
        <v>10</v>
      </c>
      <c r="N10" s="122">
        <v>2.6179938779914944</v>
      </c>
      <c r="O10" s="122" t="s">
        <v>325</v>
      </c>
      <c r="P10" s="122" t="s">
        <v>326</v>
      </c>
      <c r="Q10" s="122" t="s">
        <v>327</v>
      </c>
      <c r="R10" s="122" t="s">
        <v>328</v>
      </c>
      <c r="S10" s="122" t="s">
        <v>305</v>
      </c>
      <c r="T10" s="55">
        <v>2.25</v>
      </c>
      <c r="U10" s="55"/>
      <c r="V10" s="132"/>
    </row>
    <row r="11" spans="1:40">
      <c r="A11" s="267"/>
      <c r="B11" s="268"/>
      <c r="C11" s="55"/>
      <c r="D11" s="55"/>
      <c r="E11" s="245"/>
      <c r="F11" s="55"/>
      <c r="G11" s="124">
        <f>ProjectStrTable[[#This Row],[A.B. QTY PER STR]]*ProjectStrTable[[#This Row],[ITEM
 QTY]]</f>
        <v>0</v>
      </c>
      <c r="H11" s="55"/>
      <c r="I11" s="130">
        <f>ProjectStrTable[[#This Row],[FTG PER STR]]*ProjectStrTable[[#This Row],[ITEM
 QTY]]</f>
        <v>0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3"/>
      <c r="B21" s="334"/>
      <c r="C21" s="334"/>
      <c r="D21" s="334"/>
      <c r="E21" s="334"/>
      <c r="F21" s="339"/>
      <c r="G21" s="197"/>
      <c r="H21" s="197"/>
      <c r="I21" s="327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5"/>
      <c r="B22" s="336"/>
      <c r="C22" s="336"/>
      <c r="D22" s="336"/>
      <c r="E22" s="336"/>
      <c r="F22" s="340"/>
      <c r="G22" s="55"/>
      <c r="H22" s="55"/>
      <c r="I22" s="328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7"/>
      <c r="B23" s="338"/>
      <c r="C23" s="338"/>
      <c r="D23" s="338"/>
      <c r="E23" s="338"/>
      <c r="F23" s="341"/>
      <c r="G23" s="55"/>
      <c r="H23" s="55"/>
      <c r="I23" s="328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360" t="s">
        <v>295</v>
      </c>
      <c r="B24" s="361"/>
      <c r="C24" s="361"/>
      <c r="D24" s="361"/>
      <c r="E24" s="361"/>
      <c r="F24" s="361"/>
      <c r="G24" s="124"/>
      <c r="H24" s="55"/>
      <c r="I24" s="328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382</v>
      </c>
      <c r="F25" s="323" t="s">
        <v>352</v>
      </c>
      <c r="G25" s="140"/>
      <c r="I25" s="329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381</v>
      </c>
      <c r="F26" s="324">
        <v>16</v>
      </c>
      <c r="G26" s="11"/>
      <c r="I26" s="330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384</v>
      </c>
      <c r="F27" s="325">
        <v>8</v>
      </c>
      <c r="G27" s="11"/>
      <c r="I27" s="330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331</v>
      </c>
      <c r="B28" s="312">
        <v>1</v>
      </c>
      <c r="C28" s="312" t="s">
        <v>332</v>
      </c>
      <c r="D28" s="312" t="s">
        <v>227</v>
      </c>
      <c r="E28" s="312" t="s">
        <v>384</v>
      </c>
      <c r="F28" s="325">
        <v>48</v>
      </c>
      <c r="G28" s="11"/>
      <c r="I28" s="330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333</v>
      </c>
      <c r="B29" s="314">
        <v>1</v>
      </c>
      <c r="C29" s="314" t="s">
        <v>334</v>
      </c>
      <c r="D29" s="314" t="s">
        <v>227</v>
      </c>
      <c r="E29" s="314" t="s">
        <v>383</v>
      </c>
      <c r="F29" s="326">
        <v>32</v>
      </c>
      <c r="G29" s="11"/>
      <c r="I29" s="330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0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1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 ht="15.75" thickBot="1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24" thickBot="1">
      <c r="A33" s="357" t="s">
        <v>408</v>
      </c>
      <c r="B33" s="358"/>
      <c r="C33" s="358"/>
      <c r="D33" s="358"/>
      <c r="E33" s="358"/>
      <c r="F33" s="359"/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>
      <c r="B35" t="s">
        <v>297</v>
      </c>
      <c r="C35" t="s">
        <v>415</v>
      </c>
      <c r="D35" t="s">
        <v>409</v>
      </c>
      <c r="E35" t="s">
        <v>410</v>
      </c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>
      <c r="B36" s="345" t="s">
        <v>47</v>
      </c>
      <c r="C36" s="345">
        <v>21</v>
      </c>
      <c r="D36" s="345" t="s">
        <v>411</v>
      </c>
      <c r="E36" s="345" t="s">
        <v>412</v>
      </c>
      <c r="K36" s="124"/>
      <c r="L36" s="55"/>
      <c r="M36" s="55"/>
      <c r="N36" s="123"/>
      <c r="O36" s="55"/>
      <c r="P36" s="55"/>
      <c r="Q36" s="55"/>
      <c r="R36" s="55"/>
      <c r="S36" s="55"/>
      <c r="V36" s="12"/>
    </row>
    <row r="37" spans="1:40">
      <c r="B37" s="345" t="s">
        <v>48</v>
      </c>
      <c r="C37" s="345">
        <v>20</v>
      </c>
      <c r="D37" s="345" t="s">
        <v>413</v>
      </c>
      <c r="E37" s="345" t="s">
        <v>412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B38" s="345" t="s">
        <v>49</v>
      </c>
      <c r="C38" s="345">
        <v>8</v>
      </c>
      <c r="D38" s="345" t="s">
        <v>414</v>
      </c>
      <c r="E38" s="345" t="s">
        <v>412</v>
      </c>
      <c r="K38" s="124"/>
      <c r="L38" s="55"/>
      <c r="M38" s="55"/>
      <c r="N38" s="123"/>
      <c r="O38" s="55"/>
      <c r="P38" s="55"/>
      <c r="Q38" s="55"/>
      <c r="R38" s="55"/>
      <c r="S38" s="55"/>
      <c r="V38" s="12"/>
    </row>
    <row r="39" spans="1:40">
      <c r="K39" s="124"/>
      <c r="L39" s="55"/>
      <c r="M39" s="55"/>
      <c r="N39" s="123"/>
      <c r="O39" s="55"/>
      <c r="P39" s="55"/>
      <c r="Q39" s="55"/>
      <c r="R39" s="55"/>
      <c r="S39" s="55"/>
      <c r="V39" s="12"/>
    </row>
    <row r="40" spans="1:40">
      <c r="K40" s="124"/>
      <c r="L40" s="55"/>
      <c r="M40" s="55"/>
      <c r="N40" s="123"/>
      <c r="O40" s="55"/>
      <c r="P40" s="55"/>
      <c r="Q40" s="55"/>
      <c r="R40" s="55"/>
      <c r="S40" s="55"/>
      <c r="V40" s="12"/>
    </row>
    <row r="41" spans="1:40" ht="15.75" thickBot="1">
      <c r="K41" s="124"/>
      <c r="L41" s="55"/>
      <c r="M41" s="55"/>
      <c r="N41" s="123"/>
      <c r="O41" s="55"/>
      <c r="P41" s="55"/>
      <c r="Q41" s="55"/>
      <c r="R41" s="55"/>
      <c r="S41" s="55"/>
      <c r="V41" s="12"/>
    </row>
    <row r="42" spans="1:40" ht="24" thickBot="1">
      <c r="A42" s="357" t="s">
        <v>399</v>
      </c>
      <c r="B42" s="358"/>
      <c r="C42" s="358"/>
      <c r="D42" s="358"/>
      <c r="E42" s="358"/>
      <c r="F42" s="359"/>
      <c r="K42" s="124"/>
      <c r="L42" s="55"/>
      <c r="M42" s="55"/>
      <c r="N42" s="123"/>
      <c r="O42" s="55"/>
      <c r="P42" s="55"/>
      <c r="Q42" s="55"/>
      <c r="R42" s="55"/>
      <c r="S42" s="55"/>
      <c r="V42" s="12"/>
    </row>
    <row r="43" spans="1:40" ht="24" thickBot="1">
      <c r="A43" s="357"/>
      <c r="B43" s="358"/>
      <c r="C43" s="358"/>
      <c r="D43" s="358"/>
      <c r="E43" s="359"/>
      <c r="F43" s="286"/>
      <c r="G43" s="59"/>
      <c r="K43" s="124"/>
      <c r="L43" s="55"/>
      <c r="M43" s="55"/>
      <c r="N43" s="123"/>
      <c r="O43" s="55"/>
      <c r="P43" s="55"/>
      <c r="Q43" s="55"/>
      <c r="R43" s="55"/>
      <c r="S43" s="55"/>
      <c r="V43" s="12"/>
    </row>
    <row r="44" spans="1:40" s="3" customFormat="1" ht="49.5" customHeight="1">
      <c r="A44" s="342" t="s">
        <v>40</v>
      </c>
      <c r="B44" s="342" t="s">
        <v>377</v>
      </c>
      <c r="C44" s="342" t="s">
        <v>387</v>
      </c>
      <c r="D44" s="342" t="s">
        <v>388</v>
      </c>
      <c r="E44" s="342" t="s">
        <v>389</v>
      </c>
      <c r="F44" s="342" t="s">
        <v>402</v>
      </c>
      <c r="G44" s="342" t="s">
        <v>401</v>
      </c>
      <c r="H44" s="342" t="s">
        <v>405</v>
      </c>
      <c r="I44" s="343" t="s">
        <v>406</v>
      </c>
      <c r="J44" s="342"/>
      <c r="K44" s="346"/>
      <c r="L44" s="6"/>
      <c r="M44" s="6"/>
      <c r="N44" s="344"/>
      <c r="O44" s="6"/>
      <c r="P44" s="6"/>
      <c r="Q44" s="6"/>
      <c r="R44" s="6"/>
      <c r="S44" s="6"/>
      <c r="T44" s="6"/>
      <c r="V44" s="14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</row>
    <row r="45" spans="1:40" ht="15.75" thickBot="1">
      <c r="A45" s="59" t="s">
        <v>47</v>
      </c>
      <c r="B45" s="59" t="s">
        <v>362</v>
      </c>
      <c r="C45" s="59">
        <v>2.5</v>
      </c>
      <c r="D45" s="59">
        <v>10</v>
      </c>
      <c r="E45" s="59">
        <v>12</v>
      </c>
      <c r="F45" s="59">
        <v>0.29699999999999999</v>
      </c>
      <c r="G45" s="55"/>
      <c r="I45" s="55"/>
      <c r="K45" s="124"/>
      <c r="L45" s="55"/>
      <c r="M45" s="55"/>
      <c r="N45" s="123"/>
      <c r="O45" s="55"/>
      <c r="P45" s="55"/>
      <c r="Q45" s="55"/>
      <c r="R45" s="55"/>
      <c r="S45" s="55"/>
      <c r="V45" s="12"/>
    </row>
    <row r="46" spans="1:40">
      <c r="A46" s="59" t="s">
        <v>48</v>
      </c>
      <c r="B46" s="59" t="s">
        <v>378</v>
      </c>
      <c r="C46" s="59">
        <v>3</v>
      </c>
      <c r="D46" s="59">
        <v>10</v>
      </c>
      <c r="E46" s="59">
        <v>12</v>
      </c>
      <c r="F46" s="59">
        <v>0.36</v>
      </c>
      <c r="G46" s="55"/>
      <c r="I46" s="55"/>
      <c r="K46" s="355" t="s">
        <v>377</v>
      </c>
      <c r="L46" s="356" t="s">
        <v>63</v>
      </c>
      <c r="M46" s="257"/>
      <c r="N46" s="351"/>
      <c r="V46" s="12"/>
    </row>
    <row r="47" spans="1:40">
      <c r="A47" s="59" t="s">
        <v>49</v>
      </c>
      <c r="B47" s="59" t="s">
        <v>390</v>
      </c>
      <c r="C47" s="59">
        <v>3</v>
      </c>
      <c r="D47" s="59">
        <v>10</v>
      </c>
      <c r="E47" s="59">
        <v>12</v>
      </c>
      <c r="F47" s="59">
        <v>0.36</v>
      </c>
      <c r="G47" s="55"/>
      <c r="I47" s="55"/>
      <c r="K47" s="11" t="s">
        <v>362</v>
      </c>
      <c r="L47" s="353" t="s">
        <v>411</v>
      </c>
      <c r="N47" s="352"/>
      <c r="V47" s="12"/>
    </row>
    <row r="48" spans="1:40">
      <c r="A48" s="59"/>
      <c r="B48" s="59"/>
      <c r="C48" s="59"/>
      <c r="D48" s="59"/>
      <c r="E48" s="59"/>
      <c r="F48" s="59"/>
      <c r="G48" s="55"/>
      <c r="I48" s="55"/>
      <c r="K48" s="11" t="s">
        <v>378</v>
      </c>
      <c r="L48" s="353" t="s">
        <v>413</v>
      </c>
      <c r="N48" s="352"/>
      <c r="V48" s="12"/>
    </row>
    <row r="49" spans="1:22" ht="15.75" thickBot="1">
      <c r="A49" s="59"/>
      <c r="B49" s="59"/>
      <c r="C49" s="59"/>
      <c r="D49" s="59"/>
      <c r="E49" s="59"/>
      <c r="F49" s="59"/>
      <c r="G49" s="55"/>
      <c r="J49" s="13"/>
      <c r="K49" s="13" t="s">
        <v>390</v>
      </c>
      <c r="L49" s="354" t="s">
        <v>414</v>
      </c>
      <c r="M49" s="14"/>
      <c r="N49" s="15"/>
      <c r="V49" s="12"/>
    </row>
    <row r="50" spans="1:22">
      <c r="G50" s="55"/>
      <c r="K50" s="11"/>
      <c r="V50" s="12"/>
    </row>
    <row r="51" spans="1:22">
      <c r="K51" s="11"/>
      <c r="V51" s="12"/>
    </row>
    <row r="52" spans="1:22">
      <c r="K52" s="11"/>
      <c r="V52" s="12"/>
    </row>
    <row r="53" spans="1:22" ht="6" customHeight="1" thickBot="1"/>
    <row r="54" spans="1:22" s="54" customFormat="1" ht="24" thickBot="1">
      <c r="A54" s="357" t="s">
        <v>400</v>
      </c>
      <c r="B54" s="358"/>
      <c r="C54" s="358"/>
      <c r="D54" s="358"/>
      <c r="E54" s="358"/>
      <c r="F54" s="359"/>
      <c r="I54" s="287"/>
      <c r="J54" s="321"/>
      <c r="K54" s="322"/>
    </row>
    <row r="55" spans="1:22">
      <c r="J55" s="317" t="s">
        <v>362</v>
      </c>
      <c r="K55" s="319" t="s">
        <v>296</v>
      </c>
    </row>
    <row r="56" spans="1:22" ht="45">
      <c r="A56" s="54" t="s">
        <v>63</v>
      </c>
      <c r="B56" s="59" t="s">
        <v>353</v>
      </c>
      <c r="C56" s="59" t="s">
        <v>349</v>
      </c>
      <c r="D56" s="59" t="s">
        <v>350</v>
      </c>
      <c r="E56" s="59" t="s">
        <v>348</v>
      </c>
      <c r="F56" s="59" t="s">
        <v>354</v>
      </c>
      <c r="J56" s="317" t="s">
        <v>378</v>
      </c>
      <c r="K56" s="319" t="s">
        <v>331</v>
      </c>
    </row>
    <row r="57" spans="1:22">
      <c r="A57" t="s">
        <v>411</v>
      </c>
      <c r="B57">
        <v>1</v>
      </c>
      <c r="C57" s="55">
        <v>2.1</v>
      </c>
      <c r="D57" s="55">
        <v>1.8</v>
      </c>
      <c r="E57" s="55">
        <v>7.1</v>
      </c>
      <c r="F57" s="55" t="str">
        <f>IFERROR(INDEX(ProjectStrTable[FTG MARK],MATCH(tblREACTIONS[[#This Row],[STRUCTURE/EQUIPMENT]],ProjectStrTable[STRUCTURE/EQUIPMENT],0)),"")</f>
        <v>A</v>
      </c>
      <c r="J57" s="317" t="s">
        <v>390</v>
      </c>
      <c r="K57" s="319" t="s">
        <v>333</v>
      </c>
    </row>
    <row r="58" spans="1:22">
      <c r="A58" t="s">
        <v>413</v>
      </c>
      <c r="B58">
        <v>1</v>
      </c>
      <c r="C58" s="55">
        <v>4.0999999999999996</v>
      </c>
      <c r="D58" s="55">
        <v>2.8</v>
      </c>
      <c r="E58" s="55">
        <v>10.1</v>
      </c>
      <c r="F58" s="55" t="str">
        <f>IFERROR(INDEX(ProjectStrTable[FTG MARK],MATCH(tblREACTIONS[[#This Row],[STRUCTURE/EQUIPMENT]],ProjectStrTable[STRUCTURE/EQUIPMENT],0)),"")</f>
        <v>B</v>
      </c>
      <c r="J58" s="317"/>
      <c r="K58" s="319" t="s">
        <v>351</v>
      </c>
    </row>
    <row r="59" spans="1:22" ht="15.75" thickBot="1">
      <c r="A59" t="s">
        <v>414</v>
      </c>
      <c r="B59">
        <v>1</v>
      </c>
      <c r="C59" s="55"/>
      <c r="D59" s="55"/>
      <c r="E59" s="55"/>
      <c r="F59" s="55" t="str">
        <f>IFERROR(INDEX(ProjectStrTable[FTG MARK],MATCH(tblREACTIONS[[#This Row],[STRUCTURE/EQUIPMENT]],ProjectStrTable[STRUCTURE/EQUIPMENT],0)),"")</f>
        <v>C</v>
      </c>
      <c r="J59" s="318"/>
      <c r="K59" s="320"/>
    </row>
    <row r="60" spans="1:22">
      <c r="C60" s="55"/>
      <c r="D60" s="55"/>
      <c r="E60" s="55"/>
      <c r="F60" s="55" t="str">
        <f>IFERROR(INDEX(ProjectStrTable[FTG MARK],MATCH(tblREACTIONS[[#This Row],[STRUCTURE/EQUIPMENT]],ProjectStrTable[STRUCTURE/EQUIPMENT],0)),"")</f>
        <v/>
      </c>
    </row>
    <row r="61" spans="1:22">
      <c r="F61" s="55" t="str">
        <f>IFERROR(INDEX(ProjectStrTable[FTG MARK],MATCH(tblREACTIONS[[#This Row],[STRUCTURE/EQUIPMENT]],ProjectStrTable[STRUCTURE/EQUIPMENT],0)),"")</f>
        <v/>
      </c>
    </row>
    <row r="62" spans="1:22">
      <c r="F62" s="55" t="str">
        <f>IFERROR(INDEX(ProjectStrTable[FTG MARK],MATCH(tblREACTIONS[[#This Row],[STRUCTURE/EQUIPMENT]],ProjectStrTable[STRUCTURE/EQUIPMENT],0)),"")</f>
        <v/>
      </c>
    </row>
    <row r="63" spans="1:22">
      <c r="A63" t="str">
        <f>IF(A14="","",A14)</f>
        <v/>
      </c>
      <c r="F63" s="55" t="str">
        <f>IFERROR(INDEX(ProjectStrTable[FTG MARK],MATCH(tblREACTIONS[[#This Row],[STRUCTURE/EQUIPMENT]],ProjectStrTable[STRUCTURE/EQUIPMENT],0)),"")</f>
        <v/>
      </c>
    </row>
    <row r="67" spans="2:13">
      <c r="C67" t="s">
        <v>404</v>
      </c>
      <c r="L67" s="242" t="s">
        <v>291</v>
      </c>
      <c r="M67" t="s">
        <v>292</v>
      </c>
    </row>
    <row r="68" spans="2:13">
      <c r="L68" t="s">
        <v>290</v>
      </c>
      <c r="M68" t="s">
        <v>293</v>
      </c>
    </row>
    <row r="69" spans="2:13">
      <c r="L69" t="s">
        <v>287</v>
      </c>
      <c r="M69" t="s">
        <v>239</v>
      </c>
    </row>
    <row r="70" spans="2:13">
      <c r="L70" t="s">
        <v>288</v>
      </c>
      <c r="M70" t="s">
        <v>236</v>
      </c>
    </row>
    <row r="71" spans="2:13">
      <c r="L71" t="s">
        <v>289</v>
      </c>
      <c r="M71" t="s">
        <v>238</v>
      </c>
    </row>
    <row r="72" spans="2:13">
      <c r="B72" s="55"/>
      <c r="M72" t="s">
        <v>237</v>
      </c>
    </row>
    <row r="73" spans="2:13">
      <c r="B73" s="55"/>
    </row>
    <row r="74" spans="2:13">
      <c r="B74" s="55"/>
    </row>
    <row r="75" spans="2:13">
      <c r="B75" s="55"/>
    </row>
    <row r="76" spans="2:13">
      <c r="B76" s="55"/>
    </row>
    <row r="77" spans="2:13">
      <c r="B77" s="55"/>
    </row>
    <row r="78" spans="2:13">
      <c r="B78" s="55"/>
    </row>
    <row r="79" spans="2:13">
      <c r="B79" s="55"/>
    </row>
    <row r="80" spans="2:13">
      <c r="B80" s="55"/>
    </row>
    <row r="81" spans="2:2">
      <c r="B81" s="55"/>
    </row>
    <row r="82" spans="2:2">
      <c r="B82" s="55"/>
    </row>
    <row r="83" spans="2:2">
      <c r="B83" s="55"/>
    </row>
    <row r="84" spans="2:2">
      <c r="B84" s="55"/>
    </row>
    <row r="85" spans="2:2">
      <c r="B85" s="55"/>
    </row>
  </sheetData>
  <dataConsolidate link="1"/>
  <mergeCells count="7">
    <mergeCell ref="A54:F54"/>
    <mergeCell ref="K5:V5"/>
    <mergeCell ref="A5:I5"/>
    <mergeCell ref="A24:F24"/>
    <mergeCell ref="A43:E43"/>
    <mergeCell ref="A42:F42"/>
    <mergeCell ref="A33:F33"/>
  </mergeCells>
  <phoneticPr fontId="48" type="noConversion"/>
  <dataValidations xWindow="90" yWindow="63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45:B49" xr:uid="{7A3E243F-1706-4278-8847-90AAB92F697D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57:A63" xr:uid="{767D0CB1-0E0C-4A59-8D16-F1AAC6E9D3C9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5"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topLeftCell="A7" workbookViewId="0">
      <selection activeCell="C10" sqref="C10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355</v>
      </c>
      <c r="H2" s="273">
        <v>0.66600000000000004</v>
      </c>
      <c r="I2" s="116"/>
      <c r="J2" s="274" t="s">
        <v>356</v>
      </c>
      <c r="K2" s="273">
        <v>0.66600000000000004</v>
      </c>
      <c r="L2" s="264"/>
      <c r="M2" s="275" t="s">
        <v>357</v>
      </c>
      <c r="N2" s="273">
        <v>1.5</v>
      </c>
    </row>
    <row r="3" spans="3:14" ht="15.75" thickBot="1"/>
    <row r="4" spans="3:14">
      <c r="C4" s="365" t="s">
        <v>358</v>
      </c>
      <c r="D4" s="366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359</v>
      </c>
      <c r="D5">
        <v>1065.8</v>
      </c>
      <c r="E5" s="16" t="s">
        <v>360</v>
      </c>
      <c r="F5" s="264">
        <v>1065.3399999999999</v>
      </c>
      <c r="N5" s="277"/>
    </row>
    <row r="6" spans="3:14" s="16" customFormat="1" ht="15.75" thickBot="1">
      <c r="C6" s="278" t="s">
        <v>361</v>
      </c>
      <c r="D6" s="279" t="s">
        <v>362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78.75" customHeight="1">
      <c r="C7" s="347" t="s">
        <v>363</v>
      </c>
      <c r="D7" s="347" t="s">
        <v>364</v>
      </c>
      <c r="E7" s="347" t="s">
        <v>365</v>
      </c>
      <c r="F7" s="347" t="s">
        <v>366</v>
      </c>
      <c r="G7" s="348" t="s">
        <v>367</v>
      </c>
      <c r="H7" s="348" t="s">
        <v>368</v>
      </c>
      <c r="I7" s="348" t="s">
        <v>369</v>
      </c>
      <c r="J7" s="348" t="s">
        <v>370</v>
      </c>
      <c r="K7" s="348" t="s">
        <v>371</v>
      </c>
      <c r="L7" s="349" t="s">
        <v>422</v>
      </c>
      <c r="M7" s="350" t="s">
        <v>423</v>
      </c>
      <c r="N7" s="350" t="s">
        <v>424</v>
      </c>
    </row>
    <row r="8" spans="3:14" s="60" customFormat="1">
      <c r="C8" s="54">
        <v>0</v>
      </c>
      <c r="D8" s="54">
        <v>2.5</v>
      </c>
      <c r="E8" s="54" t="s">
        <v>407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376</v>
      </c>
      <c r="L8" s="54">
        <f>PHI_K*J8</f>
        <v>6.6600000000000001E-3</v>
      </c>
      <c r="M8" s="54">
        <v>5.38</v>
      </c>
      <c r="N8" s="54">
        <f t="shared" ref="N8:N10" si="1">PHI_EPSILON*M8</f>
        <v>8.07</v>
      </c>
    </row>
    <row r="9" spans="3:14" s="60" customFormat="1">
      <c r="C9" s="54">
        <f>D8</f>
        <v>2.5</v>
      </c>
      <c r="D9" s="54">
        <v>15</v>
      </c>
      <c r="E9" s="54" t="s">
        <v>407</v>
      </c>
      <c r="F9" s="54">
        <v>125</v>
      </c>
      <c r="G9" s="54">
        <v>1000</v>
      </c>
      <c r="H9" s="54">
        <f t="shared" si="0"/>
        <v>666</v>
      </c>
      <c r="I9" s="54">
        <v>0</v>
      </c>
      <c r="J9" s="54">
        <v>220</v>
      </c>
      <c r="K9" s="54" t="s">
        <v>376</v>
      </c>
      <c r="L9" s="54">
        <f>PHI_K*J9</f>
        <v>146.52000000000001</v>
      </c>
      <c r="M9" s="54">
        <v>1.33</v>
      </c>
      <c r="N9" s="54">
        <f t="shared" si="1"/>
        <v>1.9950000000000001</v>
      </c>
    </row>
    <row r="10" spans="3:14" s="60" customFormat="1">
      <c r="C10" s="54">
        <f t="shared" ref="C10" si="2">D9</f>
        <v>15</v>
      </c>
      <c r="D10" s="54">
        <v>25</v>
      </c>
      <c r="E10" s="54" t="s">
        <v>375</v>
      </c>
      <c r="F10" s="54">
        <v>150</v>
      </c>
      <c r="G10" s="54">
        <v>1300</v>
      </c>
      <c r="H10" s="54">
        <f t="shared" si="0"/>
        <v>865.80000000000007</v>
      </c>
      <c r="I10" s="54">
        <v>0</v>
      </c>
      <c r="J10" s="54">
        <v>330</v>
      </c>
      <c r="K10" s="54" t="s">
        <v>376</v>
      </c>
      <c r="L10" s="54">
        <f>PHI_K*J10</f>
        <v>219.78</v>
      </c>
      <c r="M10" s="54">
        <v>0.86</v>
      </c>
      <c r="N10" s="54">
        <f t="shared" si="1"/>
        <v>1.29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367" t="s">
        <v>358</v>
      </c>
      <c r="D14" s="368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359</v>
      </c>
      <c r="D15">
        <v>1065.1289999999999</v>
      </c>
      <c r="N15" s="12"/>
    </row>
    <row r="16" spans="3:14" ht="15.75" thickBot="1">
      <c r="C16" s="278" t="s">
        <v>377</v>
      </c>
      <c r="D16" s="279" t="s">
        <v>378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51">
      <c r="C17" s="347" t="s">
        <v>363</v>
      </c>
      <c r="D17" s="347" t="s">
        <v>364</v>
      </c>
      <c r="E17" s="347" t="s">
        <v>365</v>
      </c>
      <c r="F17" s="347" t="s">
        <v>366</v>
      </c>
      <c r="G17" s="348" t="s">
        <v>367</v>
      </c>
      <c r="H17" s="348" t="s">
        <v>368</v>
      </c>
      <c r="I17" s="348" t="s">
        <v>369</v>
      </c>
      <c r="J17" s="348" t="s">
        <v>370</v>
      </c>
      <c r="K17" s="348" t="s">
        <v>371</v>
      </c>
      <c r="L17" s="349" t="s">
        <v>422</v>
      </c>
      <c r="M17" s="350" t="s">
        <v>423</v>
      </c>
      <c r="N17" s="350" t="s">
        <v>424</v>
      </c>
    </row>
    <row r="18" spans="3:14">
      <c r="C18" s="54">
        <v>0</v>
      </c>
      <c r="D18" s="54">
        <v>2.5</v>
      </c>
      <c r="E18" s="54" t="s">
        <v>375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376</v>
      </c>
      <c r="L18" s="54">
        <f>PHI_K*J18</f>
        <v>6.6600000000000001E-3</v>
      </c>
      <c r="M18" s="54">
        <v>1</v>
      </c>
      <c r="N18" s="54">
        <f t="shared" ref="N18:N21" si="4">PHI_EPSILON*M18</f>
        <v>1.5</v>
      </c>
    </row>
    <row r="19" spans="3:14">
      <c r="C19" s="54">
        <f>D18</f>
        <v>2.5</v>
      </c>
      <c r="D19" s="54">
        <v>3.5</v>
      </c>
      <c r="E19" s="54" t="s">
        <v>375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376</v>
      </c>
      <c r="L19" s="54">
        <f>PHI_K*J19</f>
        <v>146.52000000000001</v>
      </c>
      <c r="M19" s="54">
        <v>0.99</v>
      </c>
      <c r="N19" s="54">
        <f t="shared" si="4"/>
        <v>1.4849999999999999</v>
      </c>
    </row>
    <row r="20" spans="3:14">
      <c r="C20" s="54">
        <f t="shared" ref="C20:C22" si="5">D19</f>
        <v>3.5</v>
      </c>
      <c r="D20" s="54">
        <v>9.3000000000000007</v>
      </c>
      <c r="E20" s="54" t="s">
        <v>375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376</v>
      </c>
      <c r="L20" s="54">
        <f>PHI_K*J20</f>
        <v>286.38</v>
      </c>
      <c r="M20" s="54">
        <v>0.75</v>
      </c>
      <c r="N20" s="54">
        <f t="shared" si="4"/>
        <v>1.125</v>
      </c>
    </row>
    <row r="21" spans="3:14">
      <c r="C21" s="54">
        <f t="shared" si="5"/>
        <v>9.3000000000000007</v>
      </c>
      <c r="D21" s="54">
        <v>19.100000000000001</v>
      </c>
      <c r="E21" s="54" t="s">
        <v>375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376</v>
      </c>
      <c r="L21" s="54">
        <f>PHI_K*J21</f>
        <v>399.6</v>
      </c>
      <c r="M21" s="54">
        <v>0.66</v>
      </c>
      <c r="N21" s="54">
        <f t="shared" si="4"/>
        <v>0.99</v>
      </c>
    </row>
    <row r="22" spans="3:14">
      <c r="C22" s="54">
        <f t="shared" si="5"/>
        <v>19.100000000000001</v>
      </c>
      <c r="D22" s="54">
        <v>30</v>
      </c>
      <c r="E22" s="54" t="s">
        <v>379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7.5000000000000011E-2</v>
      </c>
    </row>
    <row r="23" spans="3:14" ht="15.75" thickBot="1"/>
    <row r="24" spans="3:14">
      <c r="C24" s="365" t="s">
        <v>358</v>
      </c>
      <c r="D24" s="366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359</v>
      </c>
      <c r="D25">
        <v>1059.058</v>
      </c>
      <c r="E25" s="55" t="s">
        <v>360</v>
      </c>
      <c r="F25">
        <v>1063.43</v>
      </c>
      <c r="N25" s="12"/>
    </row>
    <row r="26" spans="3:14" ht="15.75" thickBot="1">
      <c r="C26" s="278" t="s">
        <v>377</v>
      </c>
      <c r="D26" s="279" t="s">
        <v>390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363</v>
      </c>
      <c r="D27" s="264" t="s">
        <v>364</v>
      </c>
      <c r="E27" s="264" t="s">
        <v>365</v>
      </c>
      <c r="F27" s="264" t="s">
        <v>366</v>
      </c>
      <c r="G27" s="116" t="s">
        <v>367</v>
      </c>
      <c r="H27" s="116" t="s">
        <v>368</v>
      </c>
      <c r="I27" s="116" t="s">
        <v>369</v>
      </c>
      <c r="J27" s="116" t="s">
        <v>370</v>
      </c>
      <c r="K27" s="116" t="s">
        <v>371</v>
      </c>
      <c r="L27" s="284" t="s">
        <v>372</v>
      </c>
      <c r="M27" s="285" t="s">
        <v>373</v>
      </c>
      <c r="N27" s="285" t="s">
        <v>374</v>
      </c>
    </row>
    <row r="28" spans="3:14">
      <c r="C28" s="54">
        <v>0</v>
      </c>
      <c r="D28" s="54">
        <v>2.5</v>
      </c>
      <c r="E28" s="54" t="s">
        <v>375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376</v>
      </c>
      <c r="L28" s="54">
        <f>PHI_K*J28</f>
        <v>6.6600000000000001E-3</v>
      </c>
      <c r="M28" s="54">
        <v>1</v>
      </c>
      <c r="N28" s="54">
        <f t="shared" ref="N28:N31" si="7">PHI_EPSILON*M28</f>
        <v>1.5</v>
      </c>
    </row>
    <row r="29" spans="3:14">
      <c r="C29" s="54">
        <f>D28</f>
        <v>2.5</v>
      </c>
      <c r="D29" s="54">
        <v>5.5</v>
      </c>
      <c r="E29" s="54" t="s">
        <v>380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376</v>
      </c>
      <c r="L29" s="54">
        <f>PHI_K*J29</f>
        <v>50.349600000000002</v>
      </c>
      <c r="M29" s="54">
        <v>1</v>
      </c>
      <c r="N29" s="54">
        <f t="shared" si="7"/>
        <v>1.5</v>
      </c>
    </row>
    <row r="30" spans="3:14">
      <c r="C30" s="54">
        <f t="shared" ref="C30:C32" si="8">D29</f>
        <v>5.5</v>
      </c>
      <c r="D30" s="54">
        <v>8.8000000000000007</v>
      </c>
      <c r="E30" s="54" t="s">
        <v>375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376</v>
      </c>
      <c r="L30" s="54">
        <f>PHI_K*J30</f>
        <v>99.9</v>
      </c>
      <c r="M30" s="54">
        <v>0.56999999999999995</v>
      </c>
      <c r="N30" s="54">
        <f t="shared" si="7"/>
        <v>0.85499999999999998</v>
      </c>
    </row>
    <row r="31" spans="3:14">
      <c r="C31" s="54">
        <f t="shared" si="8"/>
        <v>8.8000000000000007</v>
      </c>
      <c r="D31" s="54">
        <v>10.5</v>
      </c>
      <c r="E31" s="54" t="s">
        <v>379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376</v>
      </c>
      <c r="L31" s="54">
        <f>PHI_K*J31</f>
        <v>466.20000000000005</v>
      </c>
      <c r="M31" s="54">
        <v>0.06</v>
      </c>
      <c r="N31" s="54">
        <f t="shared" si="7"/>
        <v>0.09</v>
      </c>
    </row>
    <row r="32" spans="3:14">
      <c r="C32" s="54">
        <f t="shared" si="8"/>
        <v>10.5</v>
      </c>
      <c r="D32" s="54">
        <v>30</v>
      </c>
      <c r="E32" s="54" t="s">
        <v>379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7.5000000000000011E-2</v>
      </c>
    </row>
  </sheetData>
  <mergeCells count="3">
    <mergeCell ref="C4:D4"/>
    <mergeCell ref="C24:D24"/>
    <mergeCell ref="C14:D1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22" sqref="H22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369" t="s">
        <v>420</v>
      </c>
      <c r="C2" s="369"/>
      <c r="D2" s="369"/>
      <c r="E2" s="369"/>
      <c r="F2" s="369"/>
      <c r="G2" s="369"/>
      <c r="H2" s="369"/>
      <c r="I2" s="369"/>
      <c r="J2" s="369"/>
      <c r="K2" s="369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370" t="s">
        <v>82</v>
      </c>
      <c r="E8" s="371"/>
      <c r="F8" s="371"/>
      <c r="G8" s="372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376" t="s">
        <v>174</v>
      </c>
      <c r="O3" s="377"/>
      <c r="P3" s="377"/>
      <c r="Q3" s="377"/>
      <c r="R3" s="377"/>
      <c r="S3" s="377"/>
      <c r="T3" s="377"/>
      <c r="U3" s="377"/>
      <c r="V3" s="378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379" t="s">
        <v>181</v>
      </c>
      <c r="R10" s="380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381" t="str">
        <f ca="1">MID(CELL("filename",A1),FIND("]",CELL("filename",A1))+1,LEN(CELL("filename",A1))-FIND("]",CELL("filename",A1)))</f>
        <v>TEMPLATE (PAD)</v>
      </c>
      <c r="D16" s="382"/>
      <c r="E16" s="382"/>
      <c r="F16" s="382"/>
      <c r="G16" s="382"/>
      <c r="H16" s="382"/>
      <c r="I16" s="383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384" t="s">
        <v>189</v>
      </c>
      <c r="D17" s="363"/>
      <c r="E17" s="363"/>
      <c r="F17" s="363"/>
      <c r="G17" s="363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362" t="str">
        <f>TEXT(S17,"0.0") &amp; " CU. YDS. CONCRETE"</f>
        <v>5.6 CU. YDS. CONCRETE</v>
      </c>
      <c r="E18" s="362"/>
      <c r="F18" s="362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373" t="s">
        <v>191</v>
      </c>
      <c r="R20" s="374"/>
      <c r="S20" s="375"/>
      <c r="U20" s="373" t="s">
        <v>192</v>
      </c>
      <c r="V20" s="374"/>
      <c r="W20" s="375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389" t="s">
        <v>193</v>
      </c>
      <c r="R21" s="390"/>
      <c r="S21" s="136"/>
      <c r="U21" s="391" t="s">
        <v>193</v>
      </c>
      <c r="V21" s="392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393" t="s">
        <v>90</v>
      </c>
      <c r="W22" s="390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394" t="s">
        <v>201</v>
      </c>
      <c r="R26" s="395"/>
      <c r="S26" s="52"/>
      <c r="U26" s="394" t="s">
        <v>201</v>
      </c>
      <c r="V26" s="395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385"/>
      <c r="E35" s="385"/>
      <c r="F35" s="385"/>
      <c r="G35" s="385"/>
      <c r="H35" s="385"/>
      <c r="I35" s="386"/>
      <c r="K35" s="6"/>
      <c r="L35" s="159"/>
      <c r="M35" s="159"/>
    </row>
    <row r="36" spans="3:19" s="7" customFormat="1" ht="30" customHeight="1">
      <c r="C36" s="6"/>
      <c r="D36" s="387"/>
      <c r="E36" s="387"/>
      <c r="F36" s="387"/>
      <c r="G36" s="387"/>
      <c r="H36" s="387"/>
      <c r="I36" s="387"/>
    </row>
    <row r="42" spans="3:19">
      <c r="L42" s="4"/>
      <c r="M42" s="4"/>
    </row>
    <row r="43" spans="3:19" ht="44.25" customHeight="1">
      <c r="D43" s="388" t="s">
        <v>212</v>
      </c>
      <c r="E43" s="388"/>
      <c r="F43" s="388"/>
      <c r="G43" s="388"/>
      <c r="H43" s="388"/>
      <c r="I43" s="388"/>
      <c r="J43" s="388"/>
      <c r="L43" s="4"/>
      <c r="M43" s="4"/>
    </row>
  </sheetData>
  <dataConsolidate link="1"/>
  <mergeCells count="15">
    <mergeCell ref="D35:I35"/>
    <mergeCell ref="D36:I36"/>
    <mergeCell ref="D43:J43"/>
    <mergeCell ref="Q21:R21"/>
    <mergeCell ref="U21:V21"/>
    <mergeCell ref="V22:W22"/>
    <mergeCell ref="Q26:R26"/>
    <mergeCell ref="U26:V26"/>
    <mergeCell ref="Q20:S20"/>
    <mergeCell ref="U20:W20"/>
    <mergeCell ref="N3:V3"/>
    <mergeCell ref="Q10:R10"/>
    <mergeCell ref="C16:I16"/>
    <mergeCell ref="C17:G17"/>
    <mergeCell ref="D18:F18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9" t="str">
        <f ca="1">MID(CELL("filename",A1),FIND("]",CELL("filename",A1))+1,LEN(CELL("filename",A1))-FIND("]",CELL("filename",A1)))</f>
        <v>TEMPLATE (DP)</v>
      </c>
      <c r="C2" s="440"/>
      <c r="D2" s="440"/>
      <c r="E2" s="440"/>
      <c r="F2" s="440"/>
      <c r="G2" s="441"/>
      <c r="H2" s="63"/>
      <c r="I2" s="423" t="s">
        <v>92</v>
      </c>
      <c r="J2" s="42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48" t="s">
        <v>97</v>
      </c>
      <c r="O3" s="449"/>
      <c r="P3" s="449"/>
      <c r="Q3" s="449"/>
      <c r="R3" s="449"/>
      <c r="S3" s="449"/>
      <c r="T3" s="449"/>
      <c r="U3" s="449"/>
      <c r="V3" s="449"/>
      <c r="W3" s="450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0" t="s">
        <v>385</v>
      </c>
      <c r="J6" s="421"/>
      <c r="K6" s="422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9" t="s">
        <v>113</v>
      </c>
      <c r="C7" s="440"/>
      <c r="D7" s="440"/>
      <c r="E7" s="440"/>
      <c r="F7" s="440"/>
      <c r="G7" s="441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64" t="s">
        <v>286</v>
      </c>
      <c r="J12" s="465"/>
      <c r="K12" s="466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51" t="s">
        <v>124</v>
      </c>
      <c r="C15" s="452"/>
      <c r="D15" s="452"/>
      <c r="E15" s="453"/>
      <c r="F15" s="440" t="s">
        <v>125</v>
      </c>
      <c r="G15" s="441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54" t="s">
        <v>127</v>
      </c>
      <c r="C16" s="455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6" t="s">
        <v>130</v>
      </c>
      <c r="C17" s="457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6" t="s">
        <v>132</v>
      </c>
      <c r="C18" s="457"/>
      <c r="D18" s="176">
        <v>41.5</v>
      </c>
      <c r="E18" s="102" t="s">
        <v>128</v>
      </c>
      <c r="F18" s="458" t="s">
        <v>133</v>
      </c>
      <c r="G18" s="460">
        <f>(PI()*(F17/2)^2*G17)/27+(((B9^2)-(PI()*(B9/2)^2))*(G5/12))/27</f>
        <v>2.6179938779914944</v>
      </c>
      <c r="H18" s="61"/>
      <c r="I18" s="428" t="s">
        <v>131</v>
      </c>
      <c r="J18" s="429"/>
      <c r="K18" s="294"/>
      <c r="N18" s="213"/>
      <c r="X18" s="104"/>
    </row>
    <row r="19" spans="1:24" s="62" customFormat="1" ht="13.5" thickBot="1">
      <c r="B19" s="462" t="s">
        <v>136</v>
      </c>
      <c r="C19" s="463"/>
      <c r="D19" s="176">
        <v>4</v>
      </c>
      <c r="E19" s="102" t="s">
        <v>137</v>
      </c>
      <c r="F19" s="459"/>
      <c r="G19" s="461"/>
      <c r="H19" s="61"/>
      <c r="I19" s="295" t="s">
        <v>134</v>
      </c>
      <c r="J19" s="296" t="s">
        <v>135</v>
      </c>
      <c r="K19" s="297"/>
      <c r="N19" s="187"/>
      <c r="O19" s="184"/>
      <c r="P19" s="423" t="s">
        <v>255</v>
      </c>
      <c r="Q19" s="424"/>
      <c r="R19" s="42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44" t="s">
        <v>138</v>
      </c>
      <c r="C20" s="445"/>
      <c r="D20" s="446" t="s">
        <v>305</v>
      </c>
      <c r="E20" s="447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6" t="s">
        <v>140</v>
      </c>
      <c r="J21" s="427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32" t="s">
        <v>141</v>
      </c>
      <c r="C22" s="433"/>
      <c r="D22" s="433"/>
      <c r="E22" s="433"/>
      <c r="F22" s="433"/>
      <c r="G22" s="434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23" t="s">
        <v>142</v>
      </c>
      <c r="J23" s="424"/>
      <c r="K23" s="425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35" t="s">
        <v>143</v>
      </c>
      <c r="C24" s="436"/>
      <c r="D24" s="436"/>
      <c r="E24" s="436"/>
      <c r="F24" s="436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7" t="s">
        <v>145</v>
      </c>
      <c r="C25" s="438"/>
      <c r="D25" s="438"/>
      <c r="E25" s="438"/>
      <c r="F25" s="438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9" t="s">
        <v>148</v>
      </c>
      <c r="C28" s="440"/>
      <c r="D28" s="440"/>
      <c r="E28" s="440"/>
      <c r="F28" s="440"/>
      <c r="G28" s="441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96" t="s">
        <v>272</v>
      </c>
      <c r="U28" s="397"/>
      <c r="V28" s="397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42" t="s">
        <v>150</v>
      </c>
      <c r="C29" s="443"/>
      <c r="D29" s="443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01" t="s">
        <v>153</v>
      </c>
      <c r="C30" s="402"/>
      <c r="D30" s="402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07" t="str">
        <f>IF(J32&lt;&gt;E32,"Be  sure to verify that the tie size is correct for the selected pier diameter!","")</f>
        <v/>
      </c>
      <c r="J33" s="408"/>
      <c r="K33" s="409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01" t="s">
        <v>162</v>
      </c>
      <c r="C34" s="402"/>
      <c r="D34" s="402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410"/>
      <c r="J34" s="411"/>
      <c r="K34" s="412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9" t="s">
        <v>164</v>
      </c>
      <c r="C37" s="400"/>
      <c r="D37" s="400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TEMPLATE (DP)</v>
      </c>
      <c r="C39" s="366"/>
      <c r="D39" s="366"/>
      <c r="E39" s="366"/>
      <c r="F39" s="9"/>
      <c r="G39" s="10"/>
      <c r="I39" s="413" t="s">
        <v>313</v>
      </c>
      <c r="J39" s="414"/>
      <c r="K39" s="415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84" t="s">
        <v>189</v>
      </c>
      <c r="C40" s="363"/>
      <c r="D40" s="363"/>
      <c r="E40" s="363"/>
      <c r="G40" s="12"/>
      <c r="I40" s="251"/>
      <c r="J40" s="416"/>
      <c r="K40" s="417"/>
      <c r="N40" s="13"/>
      <c r="O40" s="15"/>
      <c r="S40" s="13"/>
      <c r="T40" s="14"/>
      <c r="U40" s="15"/>
    </row>
    <row r="41" spans="1:25">
      <c r="B41" s="11"/>
      <c r="C41" s="398" t="str">
        <f>TEXT(G18,"0.0")&amp;" CU. YDS. CONCRETE"</f>
        <v>2.6 CU. YDS. CONCRETE</v>
      </c>
      <c r="D41" s="398"/>
      <c r="G41" s="12"/>
      <c r="I41" s="252"/>
      <c r="J41" s="418"/>
      <c r="K41" s="41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30"/>
      <c r="K43" s="43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  <mergeCell ref="B22:G22"/>
    <mergeCell ref="B24:F24"/>
    <mergeCell ref="B25:F25"/>
    <mergeCell ref="B28:G28"/>
    <mergeCell ref="B29:D29"/>
    <mergeCell ref="I6:K6"/>
    <mergeCell ref="I23:K23"/>
    <mergeCell ref="I21:J21"/>
    <mergeCell ref="I18:J18"/>
    <mergeCell ref="J43:K43"/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</mergeCells>
  <conditionalFormatting sqref="G24:G25">
    <cfRule type="containsText" dxfId="43" priority="1" operator="containsText" text="OK">
      <formula>NOT(ISERROR(SEARCH("OK",G24)))</formula>
    </cfRule>
    <cfRule type="containsText" dxfId="42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B983-C2AF-4DBA-8DA9-831A916589B9}">
  <sheetPr codeName="Sheet8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9" t="str">
        <f ca="1">MID(CELL("filename",A1),FIND("]",CELL("filename",A1))+1,LEN(CELL("filename",A1))-FIND("]",CELL("filename",A1)))</f>
        <v>FTG A (DP)</v>
      </c>
      <c r="C2" s="440"/>
      <c r="D2" s="440"/>
      <c r="E2" s="440"/>
      <c r="F2" s="440"/>
      <c r="G2" s="441"/>
      <c r="H2" s="63"/>
      <c r="I2" s="423" t="s">
        <v>92</v>
      </c>
      <c r="J2" s="42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48" t="s">
        <v>97</v>
      </c>
      <c r="O3" s="449"/>
      <c r="P3" s="449"/>
      <c r="Q3" s="449"/>
      <c r="R3" s="449"/>
      <c r="S3" s="449"/>
      <c r="T3" s="449"/>
      <c r="U3" s="449"/>
      <c r="V3" s="449"/>
      <c r="W3" s="450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0" t="s">
        <v>385</v>
      </c>
      <c r="J6" s="421"/>
      <c r="K6" s="422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9" t="s">
        <v>113</v>
      </c>
      <c r="C7" s="440"/>
      <c r="D7" s="440"/>
      <c r="E7" s="440"/>
      <c r="F7" s="440"/>
      <c r="G7" s="441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16.970562748477139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25.220562748477139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64" t="s">
        <v>286</v>
      </c>
      <c r="J12" s="465"/>
      <c r="K12" s="466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51" t="s">
        <v>124</v>
      </c>
      <c r="C15" s="452"/>
      <c r="D15" s="452"/>
      <c r="E15" s="453"/>
      <c r="F15" s="440" t="s">
        <v>125</v>
      </c>
      <c r="G15" s="441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54" t="s">
        <v>127</v>
      </c>
      <c r="C16" s="455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6" t="s">
        <v>130</v>
      </c>
      <c r="C17" s="457"/>
      <c r="D17" s="198">
        <f>IF(K21=0,K20,K21)</f>
        <v>16.970562748477139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6" t="s">
        <v>132</v>
      </c>
      <c r="C18" s="457"/>
      <c r="D18" s="176">
        <v>41.5</v>
      </c>
      <c r="E18" s="102" t="s">
        <v>128</v>
      </c>
      <c r="F18" s="458" t="s">
        <v>133</v>
      </c>
      <c r="G18" s="460">
        <f>(PI()*(F17/2)^2*G17)/27+(((B9^2)-(PI()*(B9/2)^2))*(G5/12))/27</f>
        <v>2.6179938779914944</v>
      </c>
      <c r="H18" s="61"/>
      <c r="I18" s="428" t="s">
        <v>131</v>
      </c>
      <c r="J18" s="429"/>
      <c r="K18" s="294"/>
      <c r="N18" s="213"/>
      <c r="X18" s="104"/>
    </row>
    <row r="19" spans="1:24" s="62" customFormat="1" ht="13.5" thickBot="1">
      <c r="B19" s="462" t="s">
        <v>136</v>
      </c>
      <c r="C19" s="463"/>
      <c r="D19" s="176">
        <v>4</v>
      </c>
      <c r="E19" s="102" t="s">
        <v>137</v>
      </c>
      <c r="F19" s="459"/>
      <c r="G19" s="461"/>
      <c r="H19" s="61"/>
      <c r="I19" s="295" t="s">
        <v>134</v>
      </c>
      <c r="J19" s="296" t="s">
        <v>135</v>
      </c>
      <c r="K19" s="297"/>
      <c r="N19" s="187"/>
      <c r="O19" s="184"/>
      <c r="P19" s="423" t="s">
        <v>255</v>
      </c>
      <c r="Q19" s="424"/>
      <c r="R19" s="42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44" t="s">
        <v>138</v>
      </c>
      <c r="C20" s="445"/>
      <c r="D20" s="446" t="s">
        <v>305</v>
      </c>
      <c r="E20" s="447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12</v>
      </c>
      <c r="K20" s="299">
        <f>SQRT(I20^2+J20^2)</f>
        <v>16.970562748477139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6" t="s">
        <v>140</v>
      </c>
      <c r="J21" s="427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32" t="s">
        <v>141</v>
      </c>
      <c r="C22" s="433"/>
      <c r="D22" s="433"/>
      <c r="E22" s="433"/>
      <c r="F22" s="433"/>
      <c r="G22" s="434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23" t="s">
        <v>142</v>
      </c>
      <c r="J23" s="424"/>
      <c r="K23" s="425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35" t="s">
        <v>143</v>
      </c>
      <c r="C24" s="436"/>
      <c r="D24" s="436"/>
      <c r="E24" s="436"/>
      <c r="F24" s="436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7" t="s">
        <v>145</v>
      </c>
      <c r="C25" s="438"/>
      <c r="D25" s="438"/>
      <c r="E25" s="438"/>
      <c r="F25" s="438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9" t="s">
        <v>148</v>
      </c>
      <c r="C28" s="440"/>
      <c r="D28" s="440"/>
      <c r="E28" s="440"/>
      <c r="F28" s="440"/>
      <c r="G28" s="441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96" t="s">
        <v>272</v>
      </c>
      <c r="U28" s="397"/>
      <c r="V28" s="397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42" t="s">
        <v>150</v>
      </c>
      <c r="C29" s="443"/>
      <c r="D29" s="443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01" t="s">
        <v>153</v>
      </c>
      <c r="C30" s="402"/>
      <c r="D30" s="402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16.970562748477139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8.0294372515228609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07" t="str">
        <f>IF(J32&lt;&gt;E32,"Be  sure to verify that the tie size is correct for the selected pier diameter!","")</f>
        <v/>
      </c>
      <c r="J33" s="408"/>
      <c r="K33" s="409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01" t="s">
        <v>162</v>
      </c>
      <c r="C34" s="402"/>
      <c r="D34" s="402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410"/>
      <c r="J34" s="411"/>
      <c r="K34" s="412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9" t="s">
        <v>164</v>
      </c>
      <c r="C37" s="400"/>
      <c r="D37" s="400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FTG A (DP)</v>
      </c>
      <c r="C39" s="366"/>
      <c r="D39" s="366"/>
      <c r="E39" s="366"/>
      <c r="F39" s="9"/>
      <c r="G39" s="10"/>
      <c r="I39" s="413" t="s">
        <v>313</v>
      </c>
      <c r="J39" s="414"/>
      <c r="K39" s="415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84" t="s">
        <v>189</v>
      </c>
      <c r="C40" s="363"/>
      <c r="D40" s="363"/>
      <c r="E40" s="363"/>
      <c r="G40" s="12"/>
      <c r="I40" s="251"/>
      <c r="J40" s="416"/>
      <c r="K40" s="417"/>
      <c r="N40" s="13"/>
      <c r="O40" s="15"/>
      <c r="S40" s="13"/>
      <c r="T40" s="14"/>
      <c r="U40" s="15"/>
    </row>
    <row r="41" spans="1:25">
      <c r="B41" s="11"/>
      <c r="C41" s="398" t="str">
        <f>TEXT(G18,"0.0")&amp;" CU. YDS. CONCRETE"</f>
        <v>2.6 CU. YDS. CONCRETE</v>
      </c>
      <c r="D41" s="398"/>
      <c r="G41" s="12"/>
      <c r="I41" s="252"/>
      <c r="J41" s="418"/>
      <c r="K41" s="41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30"/>
      <c r="K43" s="43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I12:K12"/>
    <mergeCell ref="B2:G2"/>
    <mergeCell ref="I2:J2"/>
    <mergeCell ref="N3:W3"/>
    <mergeCell ref="I6:K6"/>
    <mergeCell ref="B7:G7"/>
    <mergeCell ref="B15:E15"/>
    <mergeCell ref="F15:G15"/>
    <mergeCell ref="B16:C16"/>
    <mergeCell ref="B17:C17"/>
    <mergeCell ref="B18:C18"/>
    <mergeCell ref="F18:F19"/>
    <mergeCell ref="G18:G19"/>
    <mergeCell ref="T28:V28"/>
    <mergeCell ref="I18:J18"/>
    <mergeCell ref="B19:C19"/>
    <mergeCell ref="P19:R19"/>
    <mergeCell ref="B20:C20"/>
    <mergeCell ref="D20:E20"/>
    <mergeCell ref="I21:J21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</mergeCells>
  <conditionalFormatting sqref="G24:G25">
    <cfRule type="containsText" dxfId="32" priority="1" operator="containsText" text="OK">
      <formula>NOT(ISERROR(SEARCH("OK",G24)))</formula>
    </cfRule>
    <cfRule type="containsText" dxfId="31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DBBCA37D-E4A6-45EB-B152-276285D8A084}">
      <formula1>$N$7:$N$9</formula1>
    </dataValidation>
    <dataValidation type="list" allowBlank="1" showInputMessage="1" showErrorMessage="1" sqref="E9:E13" xr:uid="{009AAB76-FA33-4251-8B62-BE4D28ACE9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F0329-6CEE-44BB-8D9A-C5CE67DEC4C5}">
  <sheetPr codeName="Sheet11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9" t="str">
        <f ca="1">MID(CELL("filename",A1),FIND("]",CELL("filename",A1))+1,LEN(CELL("filename",A1))-FIND("]",CELL("filename",A1)))</f>
        <v>FTG B (DP)</v>
      </c>
      <c r="C2" s="440"/>
      <c r="D2" s="440"/>
      <c r="E2" s="440"/>
      <c r="F2" s="440"/>
      <c r="G2" s="441"/>
      <c r="H2" s="63"/>
      <c r="I2" s="423" t="s">
        <v>92</v>
      </c>
      <c r="J2" s="42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448" t="s">
        <v>97</v>
      </c>
      <c r="O3" s="449"/>
      <c r="P3" s="449"/>
      <c r="Q3" s="449"/>
      <c r="R3" s="449"/>
      <c r="S3" s="449"/>
      <c r="T3" s="449"/>
      <c r="U3" s="449"/>
      <c r="V3" s="449"/>
      <c r="W3" s="450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0" t="s">
        <v>385</v>
      </c>
      <c r="J6" s="421"/>
      <c r="K6" s="422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9" t="s">
        <v>113</v>
      </c>
      <c r="C7" s="440"/>
      <c r="D7" s="440"/>
      <c r="E7" s="440"/>
      <c r="F7" s="440"/>
      <c r="G7" s="441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25.45584412271571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10</v>
      </c>
      <c r="D9" s="178">
        <v>5</v>
      </c>
      <c r="E9" s="178" t="s">
        <v>119</v>
      </c>
      <c r="F9" s="188">
        <f>PI()*((B9/2)^2)*C9</f>
        <v>96.211275016187415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33.70584412271571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64" t="s">
        <v>286</v>
      </c>
      <c r="J12" s="465"/>
      <c r="K12" s="466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51" t="s">
        <v>124</v>
      </c>
      <c r="C15" s="452"/>
      <c r="D15" s="452"/>
      <c r="E15" s="453"/>
      <c r="F15" s="440" t="s">
        <v>125</v>
      </c>
      <c r="G15" s="441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54" t="s">
        <v>127</v>
      </c>
      <c r="C16" s="455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6" t="s">
        <v>130</v>
      </c>
      <c r="C17" s="457"/>
      <c r="D17" s="198">
        <f>IF(K21=0,K20,K21)</f>
        <v>25.45584412271571</v>
      </c>
      <c r="E17" s="102" t="s">
        <v>128</v>
      </c>
      <c r="F17" s="189">
        <f>B9</f>
        <v>3.5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6" t="s">
        <v>132</v>
      </c>
      <c r="C18" s="457"/>
      <c r="D18" s="176">
        <v>41.5</v>
      </c>
      <c r="E18" s="102" t="s">
        <v>128</v>
      </c>
      <c r="F18" s="458" t="s">
        <v>133</v>
      </c>
      <c r="G18" s="460">
        <f>(PI()*(F17/2)^2*G17)/27+(((B9^2)-(PI()*(B9/2)^2))*(G5/12))/27</f>
        <v>3.5633805561550895</v>
      </c>
      <c r="H18" s="61"/>
      <c r="I18" s="428" t="s">
        <v>131</v>
      </c>
      <c r="J18" s="429"/>
      <c r="K18" s="294"/>
      <c r="N18" s="213"/>
      <c r="X18" s="104"/>
    </row>
    <row r="19" spans="1:24" s="62" customFormat="1" ht="13.5" thickBot="1">
      <c r="B19" s="462" t="s">
        <v>136</v>
      </c>
      <c r="C19" s="463"/>
      <c r="D19" s="176">
        <v>4</v>
      </c>
      <c r="E19" s="102" t="s">
        <v>137</v>
      </c>
      <c r="F19" s="459"/>
      <c r="G19" s="461"/>
      <c r="H19" s="61"/>
      <c r="I19" s="295" t="s">
        <v>134</v>
      </c>
      <c r="J19" s="296" t="s">
        <v>135</v>
      </c>
      <c r="K19" s="297"/>
      <c r="N19" s="187"/>
      <c r="O19" s="184"/>
      <c r="P19" s="423" t="s">
        <v>255</v>
      </c>
      <c r="Q19" s="424"/>
      <c r="R19" s="42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44" t="s">
        <v>138</v>
      </c>
      <c r="C20" s="445"/>
      <c r="D20" s="446" t="s">
        <v>305</v>
      </c>
      <c r="E20" s="447"/>
      <c r="F20" s="180" t="s">
        <v>139</v>
      </c>
      <c r="G20" s="191">
        <f>SteelArea/DrilledPierArea</f>
        <v>2.1653733753999368E-3</v>
      </c>
      <c r="H20" s="61"/>
      <c r="I20" s="298">
        <v>18</v>
      </c>
      <c r="J20" s="289">
        <v>18</v>
      </c>
      <c r="K20" s="299">
        <f>SQRT(I20^2+J20^2)</f>
        <v>25.45584412271571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6" t="s">
        <v>140</v>
      </c>
      <c r="J21" s="427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32" t="s">
        <v>141</v>
      </c>
      <c r="C22" s="433"/>
      <c r="D22" s="433"/>
      <c r="E22" s="433"/>
      <c r="F22" s="433"/>
      <c r="G22" s="434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23" t="s">
        <v>142</v>
      </c>
      <c r="J23" s="424"/>
      <c r="K23" s="425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435" t="s">
        <v>143</v>
      </c>
      <c r="C24" s="436"/>
      <c r="D24" s="436"/>
      <c r="E24" s="436"/>
      <c r="F24" s="436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7" t="s">
        <v>145</v>
      </c>
      <c r="C25" s="438"/>
      <c r="D25" s="438"/>
      <c r="E25" s="438"/>
      <c r="F25" s="438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9" t="s">
        <v>148</v>
      </c>
      <c r="C28" s="440"/>
      <c r="D28" s="440"/>
      <c r="E28" s="440"/>
      <c r="F28" s="440"/>
      <c r="G28" s="441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396" t="s">
        <v>272</v>
      </c>
      <c r="U28" s="397"/>
      <c r="V28" s="397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42" t="s">
        <v>150</v>
      </c>
      <c r="C29" s="443"/>
      <c r="D29" s="443"/>
      <c r="E29" s="192">
        <f>G18</f>
        <v>3.5633805561550895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01" t="s">
        <v>153</v>
      </c>
      <c r="C30" s="402"/>
      <c r="D30" s="402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25.45584412271571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5.5441558772842896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143'-0"</v>
      </c>
      <c r="F33" s="167" t="s">
        <v>161</v>
      </c>
      <c r="G33" s="110" t="str">
        <f>Q36</f>
        <v>[11'-11.0"]</v>
      </c>
      <c r="H33" s="61"/>
      <c r="I33" s="407" t="str">
        <f>IF(J32&lt;&gt;E32,"Be  sure to verify that the tie size is correct for the selected pier diameter!","")</f>
        <v/>
      </c>
      <c r="J33" s="408"/>
      <c r="K33" s="409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01" t="s">
        <v>162</v>
      </c>
      <c r="C34" s="402"/>
      <c r="D34" s="402"/>
      <c r="E34" s="194" t="str">
        <f>VLOOKUP(F17,Table2567363421[[DIA (FT)]:[SIZE]],3,FALSE)&amp;" - "&amp;VLOOKUP(F17,Table2567363421[[DIA (FT)]:[SIZE]],4,FALSE)</f>
        <v>5 - #7</v>
      </c>
      <c r="F34" s="111"/>
      <c r="G34" s="112"/>
      <c r="H34"/>
      <c r="I34" s="410"/>
      <c r="J34" s="411"/>
      <c r="K34" s="412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E35*VLOOKUP(F17,Table2567363421[[DIA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9" t="s">
        <v>164</v>
      </c>
      <c r="C37" s="400"/>
      <c r="D37" s="400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143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143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FTG B (DP)</v>
      </c>
      <c r="C39" s="366"/>
      <c r="D39" s="366"/>
      <c r="E39" s="366"/>
      <c r="F39" s="9"/>
      <c r="G39" s="10"/>
      <c r="I39" s="413" t="s">
        <v>313</v>
      </c>
      <c r="J39" s="414"/>
      <c r="K39" s="415"/>
      <c r="N39" s="8"/>
      <c r="O39" s="10"/>
      <c r="P39" s="169" t="s">
        <v>307</v>
      </c>
      <c r="Q39" s="258">
        <f>(Q37-Q38)*12</f>
        <v>0</v>
      </c>
      <c r="R39" s="15" t="s">
        <v>128</v>
      </c>
      <c r="S39" s="8"/>
      <c r="T39" s="9"/>
      <c r="U39" s="10"/>
    </row>
    <row r="40" spans="1:25" ht="15.75" thickBot="1">
      <c r="B40" s="384" t="s">
        <v>189</v>
      </c>
      <c r="C40" s="363"/>
      <c r="D40" s="363"/>
      <c r="E40" s="363"/>
      <c r="G40" s="12"/>
      <c r="I40" s="251"/>
      <c r="J40" s="416"/>
      <c r="K40" s="417"/>
      <c r="N40" s="13"/>
      <c r="O40" s="15"/>
      <c r="S40" s="13"/>
      <c r="T40" s="14"/>
      <c r="U40" s="15"/>
    </row>
    <row r="41" spans="1:25">
      <c r="B41" s="11"/>
      <c r="C41" s="398" t="str">
        <f>TEXT(G18,"0.0")&amp;" CU. YDS. CONCRETE"</f>
        <v>3.6 CU. YDS. CONCRETE</v>
      </c>
      <c r="D41" s="398"/>
      <c r="G41" s="12"/>
      <c r="I41" s="252"/>
      <c r="J41" s="418"/>
      <c r="K41" s="41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30"/>
      <c r="K43" s="43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143'-0"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I12:K12"/>
    <mergeCell ref="B2:G2"/>
    <mergeCell ref="I2:J2"/>
    <mergeCell ref="N3:W3"/>
    <mergeCell ref="I6:K6"/>
    <mergeCell ref="B7:G7"/>
    <mergeCell ref="B15:E15"/>
    <mergeCell ref="F15:G15"/>
    <mergeCell ref="B16:C16"/>
    <mergeCell ref="B17:C17"/>
    <mergeCell ref="B18:C18"/>
    <mergeCell ref="F18:F19"/>
    <mergeCell ref="G18:G19"/>
    <mergeCell ref="T28:V28"/>
    <mergeCell ref="I18:J18"/>
    <mergeCell ref="B19:C19"/>
    <mergeCell ref="P19:R19"/>
    <mergeCell ref="B20:C20"/>
    <mergeCell ref="D20:E20"/>
    <mergeCell ref="I21:J21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</mergeCells>
  <conditionalFormatting sqref="G24:G25">
    <cfRule type="containsText" dxfId="21" priority="1" operator="containsText" text="OK">
      <formula>NOT(ISERROR(SEARCH("OK",G24)))</formula>
    </cfRule>
    <cfRule type="containsText" dxfId="20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4D9E0EA-0A30-4B21-87AD-2F7CA26C7B8D}">
      <formula1>$N$7:$N$9</formula1>
    </dataValidation>
    <dataValidation type="list" allowBlank="1" showInputMessage="1" showErrorMessage="1" sqref="E9:E13" xr:uid="{111AA9F3-1391-45AC-A368-D7FCEB41E794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1C9D-C2C6-46ED-AECA-8285F388C2BA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439" t="str">
        <f ca="1">MID(CELL("filename",A1),FIND("]",CELL("filename",A1))+1,LEN(CELL("filename",A1))-FIND("]",CELL("filename",A1)))</f>
        <v>FTG C (DP)</v>
      </c>
      <c r="C2" s="440"/>
      <c r="D2" s="440"/>
      <c r="E2" s="440"/>
      <c r="F2" s="440"/>
      <c r="G2" s="441"/>
      <c r="H2" s="63"/>
      <c r="I2" s="423" t="s">
        <v>92</v>
      </c>
      <c r="J2" s="42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448" t="s">
        <v>97</v>
      </c>
      <c r="O3" s="449"/>
      <c r="P3" s="449"/>
      <c r="Q3" s="449"/>
      <c r="R3" s="449"/>
      <c r="S3" s="449"/>
      <c r="T3" s="449"/>
      <c r="U3" s="449"/>
      <c r="V3" s="449"/>
      <c r="W3" s="450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420" t="s">
        <v>385</v>
      </c>
      <c r="J6" s="421"/>
      <c r="K6" s="422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439" t="s">
        <v>113</v>
      </c>
      <c r="C7" s="440"/>
      <c r="D7" s="440"/>
      <c r="E7" s="440"/>
      <c r="F7" s="440"/>
      <c r="G7" s="441"/>
      <c r="I7" s="290" t="s">
        <v>386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391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392</v>
      </c>
      <c r="J9" s="302">
        <f>J8+J7+5+(2*tie_bar_diameter)</f>
        <v>28.048989873223331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393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394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464" t="s">
        <v>286</v>
      </c>
      <c r="J12" s="465"/>
      <c r="K12" s="466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451" t="s">
        <v>124</v>
      </c>
      <c r="C15" s="452"/>
      <c r="D15" s="452"/>
      <c r="E15" s="453"/>
      <c r="F15" s="440" t="s">
        <v>125</v>
      </c>
      <c r="G15" s="441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454" t="s">
        <v>127</v>
      </c>
      <c r="C16" s="455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456" t="s">
        <v>130</v>
      </c>
      <c r="C17" s="457"/>
      <c r="D17" s="198">
        <f>IF(K21=0,K20,K21)</f>
        <v>19.798989873223331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456" t="s">
        <v>132</v>
      </c>
      <c r="C18" s="457"/>
      <c r="D18" s="176">
        <v>41.5</v>
      </c>
      <c r="E18" s="102" t="s">
        <v>128</v>
      </c>
      <c r="F18" s="458" t="s">
        <v>133</v>
      </c>
      <c r="G18" s="460">
        <f>(PI()*(F17/2)^2*G17)/27+(((B9^2)-(PI()*(B9/2)^2))*(G5/12))/27</f>
        <v>2.6179938779914944</v>
      </c>
      <c r="H18" s="61"/>
      <c r="I18" s="428" t="s">
        <v>131</v>
      </c>
      <c r="J18" s="429"/>
      <c r="K18" s="294"/>
      <c r="N18" s="213"/>
      <c r="X18" s="104"/>
    </row>
    <row r="19" spans="1:24" s="62" customFormat="1" ht="13.5" thickBot="1">
      <c r="B19" s="462" t="s">
        <v>136</v>
      </c>
      <c r="C19" s="463"/>
      <c r="D19" s="176">
        <v>4</v>
      </c>
      <c r="E19" s="102" t="s">
        <v>137</v>
      </c>
      <c r="F19" s="459"/>
      <c r="G19" s="461"/>
      <c r="H19" s="61"/>
      <c r="I19" s="295" t="s">
        <v>134</v>
      </c>
      <c r="J19" s="296" t="s">
        <v>135</v>
      </c>
      <c r="K19" s="297"/>
      <c r="N19" s="187"/>
      <c r="O19" s="184"/>
      <c r="P19" s="423" t="s">
        <v>255</v>
      </c>
      <c r="Q19" s="424"/>
      <c r="R19" s="42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444" t="s">
        <v>138</v>
      </c>
      <c r="C20" s="445"/>
      <c r="D20" s="446" t="s">
        <v>305</v>
      </c>
      <c r="E20" s="447"/>
      <c r="F20" s="180" t="s">
        <v>139</v>
      </c>
      <c r="G20" s="191">
        <f>SteelArea/DrilledPierArea</f>
        <v>2.9473137609610251E-3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426" t="s">
        <v>140</v>
      </c>
      <c r="J21" s="427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432" t="s">
        <v>141</v>
      </c>
      <c r="C22" s="433"/>
      <c r="D22" s="433"/>
      <c r="E22" s="433"/>
      <c r="F22" s="433"/>
      <c r="G22" s="434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423" t="s">
        <v>142</v>
      </c>
      <c r="J23" s="424"/>
      <c r="K23" s="425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435" t="s">
        <v>143</v>
      </c>
      <c r="C24" s="436"/>
      <c r="D24" s="436"/>
      <c r="E24" s="436"/>
      <c r="F24" s="436"/>
      <c r="G24" s="105" t="str">
        <f>IF(I31&gt;1.5*D16,"OK","CHK")</f>
        <v>OK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437" t="s">
        <v>145</v>
      </c>
      <c r="C25" s="438"/>
      <c r="D25" s="438"/>
      <c r="E25" s="438"/>
      <c r="F25" s="438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439" t="s">
        <v>148</v>
      </c>
      <c r="C28" s="440"/>
      <c r="D28" s="440"/>
      <c r="E28" s="440"/>
      <c r="F28" s="440"/>
      <c r="G28" s="441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96" t="s">
        <v>272</v>
      </c>
      <c r="U28" s="397"/>
      <c r="V28" s="397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42" t="s">
        <v>150</v>
      </c>
      <c r="C29" s="443"/>
      <c r="D29" s="443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401" t="s">
        <v>153</v>
      </c>
      <c r="C30" s="402"/>
      <c r="D30" s="402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5.2010101267766693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398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407" t="str">
        <f>IF(J32&lt;&gt;E32,"Be  sure to verify that the tie size is correct for the selected pier diameter!","")</f>
        <v/>
      </c>
      <c r="J33" s="408"/>
      <c r="K33" s="409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401" t="s">
        <v>162</v>
      </c>
      <c r="C34" s="402"/>
      <c r="D34" s="402"/>
      <c r="E34" s="194" t="str">
        <f>VLOOKUP(F17,Table2567363422[[DIA (FT)]:[SIZE]],3,FALSE)&amp;" - "&amp;VLOOKUP(F17,Table2567363422[[DIA (FT)]:[SIZE]],4,FALSE)</f>
        <v>5 - #7</v>
      </c>
      <c r="F34" s="111"/>
      <c r="G34" s="112"/>
      <c r="H34"/>
      <c r="I34" s="410"/>
      <c r="J34" s="411"/>
      <c r="K34" s="412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E35*VLOOKUP(F17,Table2567363422[[DIA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399" t="s">
        <v>164</v>
      </c>
      <c r="C37" s="400"/>
      <c r="D37" s="400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365" t="str">
        <f ca="1">MID(CELL("filename",A1),FIND("]",CELL("filename",A1))+1,LEN(CELL("filename",A1))-FIND("]",CELL("filename",A1)))</f>
        <v>FTG C (DP)</v>
      </c>
      <c r="C39" s="366"/>
      <c r="D39" s="366"/>
      <c r="E39" s="366"/>
      <c r="F39" s="9"/>
      <c r="G39" s="10"/>
      <c r="I39" s="413" t="s">
        <v>313</v>
      </c>
      <c r="J39" s="414"/>
      <c r="K39" s="415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384" t="s">
        <v>189</v>
      </c>
      <c r="C40" s="363"/>
      <c r="D40" s="363"/>
      <c r="E40" s="363"/>
      <c r="G40" s="12"/>
      <c r="I40" s="251"/>
      <c r="J40" s="416"/>
      <c r="K40" s="417"/>
      <c r="N40" s="13"/>
      <c r="O40" s="15"/>
      <c r="S40" s="13"/>
      <c r="T40" s="14"/>
      <c r="U40" s="15"/>
    </row>
    <row r="41" spans="1:25">
      <c r="B41" s="11"/>
      <c r="C41" s="398" t="str">
        <f>TEXT(G18,"0.0")&amp;" CU. YDS. CONCRETE"</f>
        <v>2.6 CU. YDS. CONCRETE</v>
      </c>
      <c r="D41" s="398"/>
      <c r="G41" s="12"/>
      <c r="I41" s="252"/>
      <c r="J41" s="418"/>
      <c r="K41" s="41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30"/>
      <c r="K43" s="43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421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I12:K12"/>
    <mergeCell ref="B2:G2"/>
    <mergeCell ref="I2:J2"/>
    <mergeCell ref="N3:W3"/>
    <mergeCell ref="I6:K6"/>
    <mergeCell ref="B7:G7"/>
    <mergeCell ref="B15:E15"/>
    <mergeCell ref="F15:G15"/>
    <mergeCell ref="B16:C16"/>
    <mergeCell ref="B17:C17"/>
    <mergeCell ref="B18:C18"/>
    <mergeCell ref="F18:F19"/>
    <mergeCell ref="G18:G19"/>
    <mergeCell ref="T28:V28"/>
    <mergeCell ref="I18:J18"/>
    <mergeCell ref="B19:C19"/>
    <mergeCell ref="P19:R19"/>
    <mergeCell ref="B20:C20"/>
    <mergeCell ref="D20:E20"/>
    <mergeCell ref="I21:J21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</mergeCells>
  <conditionalFormatting sqref="G24:G25">
    <cfRule type="containsText" dxfId="10" priority="1" operator="containsText" text="OK">
      <formula>NOT(ISERROR(SEARCH("OK",G24)))</formula>
    </cfRule>
    <cfRule type="containsText" dxfId="9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9A5140BE-EB5D-4154-B4F0-5A99804F279A}">
      <formula1>$N$7:$N$9</formula1>
    </dataValidation>
    <dataValidation type="list" allowBlank="1" showInputMessage="1" showErrorMessage="1" sqref="E9:E13" xr:uid="{6D56CD2E-F396-4420-9506-7789DE18946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67" t="s">
        <v>97</v>
      </c>
      <c r="D3" s="468"/>
      <c r="E3" s="468"/>
      <c r="F3" s="468"/>
      <c r="G3" s="468"/>
      <c r="H3" s="469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73</vt:i4>
      </vt:variant>
    </vt:vector>
  </HeadingPairs>
  <TitlesOfParts>
    <vt:vector size="87" baseType="lpstr">
      <vt:lpstr>DP WORKFLOW and GUIDELINES</vt:lpstr>
      <vt:lpstr>INPUT TABLES</vt:lpstr>
      <vt:lpstr>GEOTECH PARAMETERS</vt:lpstr>
      <vt:lpstr>PAD FTGS WORKFLOW AND GUIDELINE</vt:lpstr>
      <vt:lpstr>FOOTING CHECK LIST</vt:lpstr>
      <vt:lpstr>void_FOOTING CHECK LIST</vt:lpstr>
      <vt:lpstr>ProjectFndnTable</vt:lpstr>
      <vt:lpstr>QTO</vt:lpstr>
      <vt:lpstr>TEMPLATE (PAD)</vt:lpstr>
      <vt:lpstr>TEMPLATE (DP)</vt:lpstr>
      <vt:lpstr>FTG A (DP)</vt:lpstr>
      <vt:lpstr>FTG B (DP)</vt:lpstr>
      <vt:lpstr>FTG C (DP)</vt:lpstr>
      <vt:lpstr>REBAR DATA</vt:lpstr>
      <vt:lpstr>BoringNumbers</vt:lpstr>
      <vt:lpstr>'FTG A (DP)'!BottomBarCover</vt:lpstr>
      <vt:lpstr>'FTG B (DP)'!BottomBarCover</vt:lpstr>
      <vt:lpstr>'FTG C (DP)'!BottomBarCover</vt:lpstr>
      <vt:lpstr>BottomBarCover</vt:lpstr>
      <vt:lpstr>'FTG A (DP)'!BottomCover</vt:lpstr>
      <vt:lpstr>'FTG B (DP)'!BottomCover</vt:lpstr>
      <vt:lpstr>'FTG C (DP)'!BottomCover</vt:lpstr>
      <vt:lpstr>BottomCover</vt:lpstr>
      <vt:lpstr>'FTG A (DP)'!CalculatedPierDia_Inches</vt:lpstr>
      <vt:lpstr>'FTG B (DP)'!CalculatedPierDia_Inches</vt:lpstr>
      <vt:lpstr>'FTG C (DP)'!CalculatedPierDia_Inches</vt:lpstr>
      <vt:lpstr>CalculatedPierDia_Inches</vt:lpstr>
      <vt:lpstr>'FTG A (DP)'!CalculatedTieLapLength</vt:lpstr>
      <vt:lpstr>'FTG B (DP)'!CalculatedTieLapLength</vt:lpstr>
      <vt:lpstr>'FTG C (DP)'!CalculatedTieLapLength</vt:lpstr>
      <vt:lpstr>CalculatedTieLapLength</vt:lpstr>
      <vt:lpstr>'GEOTECH PARAMETERS'!COHESION_PHI</vt:lpstr>
      <vt:lpstr>'FTG A (DP)'!DrilledPierArea</vt:lpstr>
      <vt:lpstr>'FTG B (DP)'!DrilledPierArea</vt:lpstr>
      <vt:lpstr>'FTG C (DP)'!DrilledPierArea</vt:lpstr>
      <vt:lpstr>DrilledPierArea</vt:lpstr>
      <vt:lpstr>'GEOTECH PARAMETERS'!PHI_EPSILON</vt:lpstr>
      <vt:lpstr>'GEOTECH PARAMETERS'!PHI_K</vt:lpstr>
      <vt:lpstr>'FTG A (DP)'!pier_edge_dist</vt:lpstr>
      <vt:lpstr>'FTG B (DP)'!pier_edge_dist</vt:lpstr>
      <vt:lpstr>'FTG C (DP)'!pier_edge_dist</vt:lpstr>
      <vt:lpstr>'TEMPLATE (DP)'!pier_edge_dist</vt:lpstr>
      <vt:lpstr>PileWorkbookPath</vt:lpstr>
      <vt:lpstr>'DP WORKFLOW and GUIDELINES'!Print_Area</vt:lpstr>
      <vt:lpstr>'FTG A (DP)'!Print_Area</vt:lpstr>
      <vt:lpstr>'FTG B (DP)'!Print_Area</vt:lpstr>
      <vt:lpstr>'FTG C (DP)'!Print_Area</vt:lpstr>
      <vt:lpstr>'INPUT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B (DP)'!SteelArea</vt:lpstr>
      <vt:lpstr>'FTG C (DP)'!SteelArea</vt:lpstr>
      <vt:lpstr>SteelArea</vt:lpstr>
      <vt:lpstr>StructureList</vt:lpstr>
      <vt:lpstr>'FTG A (DP)'!tie_bar_diameter</vt:lpstr>
      <vt:lpstr>'FTG B (DP)'!tie_bar_diameter</vt:lpstr>
      <vt:lpstr>'FTG C (DP)'!tie_bar_diameter</vt:lpstr>
      <vt:lpstr>tie_bar_diameter</vt:lpstr>
      <vt:lpstr>'FTG A (DP)'!TIE_LAP_DIST</vt:lpstr>
      <vt:lpstr>'FTG B (DP)'!TIE_LAP_DIST</vt:lpstr>
      <vt:lpstr>'FTG C (DP)'!TIE_LAP_DIST</vt:lpstr>
      <vt:lpstr>'TEMPLATE (DP)'!TIE_LAP_DIST</vt:lpstr>
      <vt:lpstr>'FTG A (DP)'!Tie_Spacing</vt:lpstr>
      <vt:lpstr>'FTG B (DP)'!Tie_Spacing</vt:lpstr>
      <vt:lpstr>'FTG C (DP)'!Tie_Spacing</vt:lpstr>
      <vt:lpstr>Tie_Spacing</vt:lpstr>
      <vt:lpstr>TIP_DEFLECTION_PERCENTAGE</vt:lpstr>
      <vt:lpstr>'FTG A (DP)'!TopBarCover</vt:lpstr>
      <vt:lpstr>'FTG B (DP)'!TopBarCover</vt:lpstr>
      <vt:lpstr>'FTG C (DP)'!TopBarCover</vt:lpstr>
      <vt:lpstr>TopBarCover</vt:lpstr>
      <vt:lpstr>'FTG A (DP)'!TopCover</vt:lpstr>
      <vt:lpstr>'FTG B (DP)'!TopCover</vt:lpstr>
      <vt:lpstr>'FTG C (DP)'!TopCover</vt:lpstr>
      <vt:lpstr>TopCover</vt:lpstr>
      <vt:lpstr>'FTG A (DP)'!TopTieQty</vt:lpstr>
      <vt:lpstr>'FTG B (DP)'!TopTieQty</vt:lpstr>
      <vt:lpstr>'FTG C (DP)'!TopTieQty</vt:lpstr>
      <vt:lpstr>TopTieQty</vt:lpstr>
      <vt:lpstr>'FTG A (DP)'!TopTieSpacing</vt:lpstr>
      <vt:lpstr>'FTG B (DP)'!TopTieSpacing</vt:lpstr>
      <vt:lpstr>'FTG C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2026-10-02T01:41:41Z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